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ФОРМА1" sheetId="1" r:id="rId1"/>
    <sheet name="ФОРМА2" sheetId="2" r:id="rId2"/>
    <sheet name="Лист3" sheetId="3" r:id="rId3"/>
  </sheets>
  <externalReferences>
    <externalReference r:id="rId4"/>
  </externalReferences>
  <calcPr calcId="162913" fullPrecision="0"/>
</workbook>
</file>

<file path=xl/calcChain.xml><?xml version="1.0" encoding="utf-8"?>
<calcChain xmlns="http://schemas.openxmlformats.org/spreadsheetml/2006/main">
  <c r="O36" i="1" l="1"/>
  <c r="L36" i="1"/>
  <c r="AA40" i="2" l="1"/>
  <c r="D40" i="2"/>
  <c r="Y33" i="2"/>
  <c r="V33" i="2"/>
  <c r="S33" i="2"/>
  <c r="Q33" i="2"/>
  <c r="D32" i="2"/>
  <c r="AA32" i="2"/>
  <c r="U33" i="2"/>
  <c r="AA31" i="2"/>
  <c r="AA33" i="2" s="1"/>
  <c r="AA30" i="2"/>
  <c r="D30" i="2" s="1"/>
  <c r="AA29" i="2"/>
  <c r="D29" i="2" s="1"/>
  <c r="D31" i="2" l="1"/>
  <c r="D33" i="2" s="1"/>
  <c r="L43" i="1"/>
  <c r="O43" i="1"/>
  <c r="U21" i="2" l="1"/>
  <c r="J14" i="1" l="1"/>
  <c r="O19" i="1"/>
  <c r="M19" i="1"/>
  <c r="K19" i="1"/>
  <c r="L19" i="1"/>
  <c r="N21" i="1"/>
  <c r="K40" i="2" l="1"/>
  <c r="D28" i="2"/>
  <c r="Y28" i="2" s="1"/>
  <c r="D27" i="2"/>
  <c r="Y27" i="2" s="1"/>
  <c r="V26" i="2"/>
  <c r="S26" i="2"/>
  <c r="V25" i="2"/>
  <c r="U25" i="2"/>
  <c r="V24" i="2"/>
  <c r="U24" i="2"/>
  <c r="D21" i="2"/>
  <c r="U16" i="2"/>
  <c r="S16" i="2"/>
  <c r="V23" i="2"/>
  <c r="Y21" i="2"/>
  <c r="Y18" i="2"/>
  <c r="D18" i="2" l="1"/>
  <c r="D25" i="2"/>
  <c r="Y25" i="2" s="1"/>
  <c r="D24" i="2"/>
  <c r="Y24" i="2" s="1"/>
  <c r="D26" i="2"/>
  <c r="AA26" i="2" s="1"/>
  <c r="N31" i="1"/>
  <c r="N30" i="1"/>
  <c r="Y15" i="2" l="1"/>
  <c r="Y16" i="2" s="1"/>
  <c r="D13" i="2"/>
  <c r="AA13" i="2" l="1"/>
  <c r="D15" i="2" l="1"/>
  <c r="Z40" i="2"/>
  <c r="Y40" i="2"/>
  <c r="X40" i="2"/>
  <c r="W40" i="2"/>
  <c r="Q40" i="2"/>
  <c r="P40" i="2"/>
  <c r="O40" i="2"/>
  <c r="N40" i="2"/>
  <c r="L40" i="2"/>
  <c r="G40" i="2"/>
  <c r="F40" i="2"/>
  <c r="J39" i="2"/>
  <c r="V39" i="2" s="1"/>
  <c r="D39" i="2" s="1"/>
  <c r="AA39" i="2" s="1"/>
  <c r="M38" i="2"/>
  <c r="V38" i="2" s="1"/>
  <c r="D38" i="2" s="1"/>
  <c r="AA38" i="2" s="1"/>
  <c r="U37" i="2"/>
  <c r="U40" i="2" s="1"/>
  <c r="U11" i="2" s="1"/>
  <c r="T37" i="2"/>
  <c r="S37" i="2"/>
  <c r="S40" i="2" s="1"/>
  <c r="R37" i="2"/>
  <c r="J37" i="2"/>
  <c r="I37" i="2"/>
  <c r="I40" i="2" s="1"/>
  <c r="H37" i="2"/>
  <c r="H40" i="2" s="1"/>
  <c r="E37" i="2"/>
  <c r="T36" i="2"/>
  <c r="R36" i="2"/>
  <c r="R35" i="2"/>
  <c r="Z33" i="2"/>
  <c r="X33" i="2"/>
  <c r="W33" i="2"/>
  <c r="T33" i="2"/>
  <c r="R33" i="2"/>
  <c r="P33" i="2"/>
  <c r="O33" i="2"/>
  <c r="N33" i="2"/>
  <c r="M33" i="2"/>
  <c r="L33" i="2"/>
  <c r="K33" i="2"/>
  <c r="J33" i="2"/>
  <c r="I33" i="2"/>
  <c r="H33" i="2"/>
  <c r="G33" i="2"/>
  <c r="F33" i="2"/>
  <c r="E33" i="2"/>
  <c r="S23" i="2"/>
  <c r="D23" i="2" s="1"/>
  <c r="AA23" i="2" s="1"/>
  <c r="Q22" i="2"/>
  <c r="V22" i="2" s="1"/>
  <c r="D22" i="2" s="1"/>
  <c r="AA22" i="2" s="1"/>
  <c r="Q20" i="2"/>
  <c r="S19" i="2"/>
  <c r="Z16" i="2"/>
  <c r="X16" i="2"/>
  <c r="W16" i="2"/>
  <c r="Q16" i="2"/>
  <c r="P16" i="2"/>
  <c r="O16" i="2"/>
  <c r="N16" i="2"/>
  <c r="M16" i="2"/>
  <c r="L16" i="2"/>
  <c r="K16" i="2"/>
  <c r="G16" i="2"/>
  <c r="F16" i="2"/>
  <c r="T14" i="2"/>
  <c r="T16" i="2" s="1"/>
  <c r="R14" i="2"/>
  <c r="R16" i="2" s="1"/>
  <c r="J14" i="2"/>
  <c r="J16" i="2" s="1"/>
  <c r="I14" i="2"/>
  <c r="I16" i="2" s="1"/>
  <c r="H14" i="2"/>
  <c r="H16" i="2" s="1"/>
  <c r="E14" i="2"/>
  <c r="I11" i="2" l="1"/>
  <c r="V20" i="2"/>
  <c r="D20" i="2" s="1"/>
  <c r="AA20" i="2" s="1"/>
  <c r="Q11" i="2"/>
  <c r="L11" i="2"/>
  <c r="R40" i="2"/>
  <c r="R11" i="2" s="1"/>
  <c r="H11" i="2"/>
  <c r="K11" i="2"/>
  <c r="J40" i="2"/>
  <c r="J11" i="2" s="1"/>
  <c r="V37" i="2"/>
  <c r="D37" i="2" s="1"/>
  <c r="AA37" i="2" s="1"/>
  <c r="V14" i="2"/>
  <c r="V36" i="2"/>
  <c r="D36" i="2" s="1"/>
  <c r="AA36" i="2" s="1"/>
  <c r="T40" i="2"/>
  <c r="T11" i="2" s="1"/>
  <c r="E40" i="2"/>
  <c r="M40" i="2"/>
  <c r="M11" i="2" s="1"/>
  <c r="V19" i="2"/>
  <c r="V35" i="2"/>
  <c r="E16" i="2"/>
  <c r="D14" i="2" l="1"/>
  <c r="D16" i="2" s="1"/>
  <c r="V16" i="2"/>
  <c r="E11" i="2"/>
  <c r="D35" i="2"/>
  <c r="V40" i="2"/>
  <c r="D19" i="2"/>
  <c r="AA15" i="2"/>
  <c r="AA14" i="2" l="1"/>
  <c r="AA16" i="2" s="1"/>
  <c r="AA35" i="2"/>
  <c r="AA19" i="2"/>
  <c r="N16" i="1" l="1"/>
  <c r="N18" i="1"/>
  <c r="N17" i="1" l="1"/>
  <c r="N19" i="1" s="1"/>
  <c r="M38" i="1"/>
  <c r="M39" i="1"/>
  <c r="N39" i="1" s="1"/>
  <c r="M40" i="1"/>
  <c r="N40" i="1" s="1"/>
  <c r="M41" i="1"/>
  <c r="N41" i="1" s="1"/>
  <c r="M42" i="1"/>
  <c r="M22" i="1"/>
  <c r="M23" i="1"/>
  <c r="N23" i="1" s="1"/>
  <c r="M25" i="1"/>
  <c r="M26" i="1"/>
  <c r="M27" i="1"/>
  <c r="K38" i="1"/>
  <c r="K39" i="1"/>
  <c r="K40" i="1"/>
  <c r="K41" i="1"/>
  <c r="K42" i="1"/>
  <c r="K22" i="1"/>
  <c r="K23" i="1"/>
  <c r="K25" i="1"/>
  <c r="K26" i="1"/>
  <c r="K27" i="1"/>
  <c r="N22" i="1" l="1"/>
  <c r="N36" i="1" s="1"/>
  <c r="M36" i="1"/>
  <c r="K36" i="1"/>
  <c r="K43" i="1"/>
  <c r="N38" i="1"/>
  <c r="N43" i="1" s="1"/>
  <c r="M43" i="1"/>
  <c r="K14" i="1" l="1"/>
  <c r="M14" i="1"/>
  <c r="N14" i="1"/>
  <c r="AA11" i="2" l="1"/>
  <c r="D11" i="2" l="1"/>
  <c r="S11" i="2"/>
  <c r="V11" i="2"/>
  <c r="L14" i="1"/>
  <c r="O14" i="1"/>
  <c r="Y11" i="2"/>
</calcChain>
</file>

<file path=xl/sharedStrings.xml><?xml version="1.0" encoding="utf-8"?>
<sst xmlns="http://schemas.openxmlformats.org/spreadsheetml/2006/main" count="313" uniqueCount="120">
  <si>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</si>
  <si>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№ п/п</t>
  </si>
  <si>
    <t>Адрес МКД</t>
  </si>
  <si>
    <t>Год ввода в эксплуатацию</t>
  </si>
  <si>
    <t>Объекты культурного наследия</t>
  </si>
  <si>
    <t>Количество этажей в МКД</t>
  </si>
  <si>
    <t>кв.м</t>
  </si>
  <si>
    <t>чел.</t>
  </si>
  <si>
    <t>Х</t>
  </si>
  <si>
    <t>РО</t>
  </si>
  <si>
    <t>кирпич</t>
  </si>
  <si>
    <t>г. Кировск, ул. Хибиногорская, д. 33</t>
  </si>
  <si>
    <t>Итого по муниципальному образованию на 2023 год:</t>
  </si>
  <si>
    <t>с мягким наплавляемым покрытием</t>
  </si>
  <si>
    <t>скатная</t>
  </si>
  <si>
    <t>Итого по муниципальному образованию на 2024 год: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</si>
  <si>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</si>
  <si>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</si>
  <si>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</si>
  <si>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</si>
  <si>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4-5</t>
  </si>
  <si>
    <t>Итого по муниципальному образованию на 2025 год: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</si>
  <si>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</si>
  <si>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</si>
  <si>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</si>
  <si>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</si>
  <si>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 xml:space="preserve">кирпич </t>
  </si>
  <si>
    <t>г. Кировск, ул. Мира, д. 14</t>
  </si>
  <si>
    <t>-</t>
  </si>
  <si>
    <t>г. Кировск, ул. Хибиногорская, д. 30</t>
  </si>
  <si>
    <t>1958-1960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</si>
  <si>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муниципального округа город Кировск Мурманской области, на 2023-2025 годы</t>
  </si>
  <si>
    <t>АДРЕСНЫЙ ПЕРЕЧЕНЬ МНОГОКВАРТИРНЫХ ДОМОВ</t>
  </si>
  <si>
    <t>Год завершения последнего капитального ремонта</t>
  </si>
  <si>
    <t>Способ формирования фонда капитального ремонта*</t>
  </si>
  <si>
    <t>Тип крыши**</t>
  </si>
  <si>
    <t>Материал стен***</t>
  </si>
  <si>
    <t>Общая площадь помещений МКД</t>
  </si>
  <si>
    <t>Всего</t>
  </si>
  <si>
    <t>Количество подъездов в МКД</t>
  </si>
  <si>
    <t>Общая площадь МКД****</t>
  </si>
  <si>
    <t>жилые</t>
  </si>
  <si>
    <t>нежилые</t>
  </si>
  <si>
    <t>кв. м</t>
  </si>
  <si>
    <t>кв.м.</t>
  </si>
  <si>
    <t>Количество жителей, проживающих в МКД на дату утверждения краткосрочного плана*****</t>
  </si>
  <si>
    <t>Итого по муниципальному округу на 2023-2025 годы:</t>
  </si>
  <si>
    <t>* - на счетах регионального оператора, на специпальном счете;</t>
  </si>
  <si>
    <t>** – скатная, с мягким наплавляемым покрытием;</t>
  </si>
  <si>
    <t>*** – кирпич, панель, дерево;</t>
  </si>
  <si>
    <t>****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</si>
  <si>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***** - заполняется на основании справки о регистрации по форме № 9</t>
  </si>
  <si>
    <t>2021</t>
  </si>
  <si>
    <t>х</t>
  </si>
  <si>
    <t>Форма 2</t>
  </si>
  <si>
    <t>ПЛАНИРУЕМЫЕ ВИДЫ РАБОТ (УСЛУГ) ПО КАЖДОМУ КОНТКРЕТНОМУ МНОГОКВАРТИРНОМУ ДОМУ</t>
  </si>
  <si>
    <t>Предельная стоимость капитального ремонта*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</si>
  <si>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</si>
  <si>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</si>
  <si>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</si>
  <si>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</si>
  <si>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</si>
  <si>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</si>
  <si>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t>Ремонт или замена лифтового оборудования**</t>
  </si>
  <si>
    <t>Ремонт крыши***²²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</si>
  <si>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</si>
  <si>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фасада****</t>
  </si>
  <si>
    <t>Ремонт фундамента, в т.ч. восстановление отмостки</t>
  </si>
  <si>
    <t>В том числе:</t>
  </si>
  <si>
    <t>Разработка проектной документации,включая оценку технического состояния МКД, инженерные изыскания, проведение экспертизы проектной документации*****</t>
  </si>
  <si>
    <t>Строительный контроль******</t>
  </si>
  <si>
    <t>Авторский надзор*******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</si>
  <si>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</si>
  <si>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</si>
  <si>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</si>
  <si>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МКД</t>
  </si>
  <si>
    <t>Иные не запрещенные законом источники средств</t>
  </si>
  <si>
    <t>горячего водоснабжения</t>
  </si>
  <si>
    <t>в том числе водоподогревателя (-ей)</t>
  </si>
  <si>
    <t>холодного водоснабжения</t>
  </si>
  <si>
    <t>водоотведения</t>
  </si>
  <si>
    <t>теплоснабжения</t>
  </si>
  <si>
    <t>в том числе индивидуального(-ых) теплового(-ых)  пункта(-ов)</t>
  </si>
  <si>
    <t>электроснабжения</t>
  </si>
  <si>
    <t>газоснабжения</t>
  </si>
  <si>
    <t xml:space="preserve">руб. </t>
  </si>
  <si>
    <t>руб.</t>
  </si>
  <si>
    <t>ед.</t>
  </si>
  <si>
    <t>Итого по Муниципальному округу на 2023-2025 годы</t>
  </si>
  <si>
    <t>Итого по Муниципальному округу на 2023 год:</t>
  </si>
  <si>
    <t>Итого по Муниципальному округу на 2024 год:</t>
  </si>
  <si>
    <t>Итого по Муниципальному округу на 2025 год:</t>
  </si>
  <si>
    <t>* – предельная стоимость работ, выполняемых за счет средств фонда капитального ремонта, формируемого на счете НКО «ФКР МО», рассчитывается в соответствии с предельной стоимостью работ, установленной постановлением Правительства Мурманской области от 31.03.2014 № 170-ПП.</t>
  </si>
  <si>
    <t>** – включая  ремонт лифтовых шахт, машинных и блочных помещений;</t>
  </si>
  <si>
    <t>*** – в том числе ремонт или замена системы водоотвода с заменой или восстановлением водосточных труб;</t>
  </si>
  <si>
    <t>**** – в том числе утепление, замена или восстановление водосточных труб, ремонт отмостки;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</si>
  <si>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</si>
  <si>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</si>
  <si>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</si>
  <si>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Приложение</t>
  </si>
  <si>
    <t>г. Кировск, пр. Ленина, д. 7</t>
  </si>
  <si>
    <t>г. Кировск, пр. Ленина, д. 9</t>
  </si>
  <si>
    <t>г. Кировск, ул. Хибиногорская, д. 29</t>
  </si>
  <si>
    <t>г. Кировск, ул. Кирова, д. 31</t>
  </si>
  <si>
    <t>г. Кировск, пр. Ленина, д. 7а</t>
  </si>
  <si>
    <t>г. Кировск, пр. Ленина, д. 7б</t>
  </si>
  <si>
    <t>бетон</t>
  </si>
  <si>
    <t>4</t>
  </si>
  <si>
    <t>2 158,40</t>
  </si>
  <si>
    <t>830,90</t>
  </si>
  <si>
    <t>1124,20</t>
  </si>
  <si>
    <t>2 109,20</t>
  </si>
  <si>
    <t>1615,7</t>
  </si>
  <si>
    <t>159,6</t>
  </si>
  <si>
    <t>Итого ОБ за 2024 год - протянуть формулу</t>
  </si>
  <si>
    <t>г. Кировск, ул. Советская, д. 4</t>
  </si>
  <si>
    <t>г. Кировск, ул. Советская, д. 6</t>
  </si>
  <si>
    <t>5</t>
  </si>
  <si>
    <t>г. Кировск, ул. Мира, д. 3</t>
  </si>
  <si>
    <t>г. Кировск, ул. Юбилейная,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</si>
</sst>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[$-419]General"/>
    <numFmt numFmtId="167" formatCode="#,##0.00\ _₽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166" fontId="19" fillId="0" borderId="0" applyBorder="0" applyProtection="0"/>
  </cellStyleXfs>
  <cellXfs count="176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3" fontId="13" fillId="2" borderId="1" xfId="3" applyNumberFormat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9" fontId="13" fillId="2" borderId="1" xfId="3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0" fillId="2" borderId="0" xfId="0" applyFill="1"/>
    <xf numFmtId="43" fontId="0" fillId="2" borderId="0" xfId="0" applyNumberFormat="1" applyFill="1"/>
    <xf numFmtId="43" fontId="0" fillId="2" borderId="0" xfId="1" applyFont="1" applyFill="1"/>
    <xf numFmtId="0" fontId="6" fillId="2" borderId="1" xfId="0" applyFont="1" applyFill="1" applyBorder="1" applyAlignment="1">
      <alignment horizontal="center" vertical="center" textRotation="90" wrapText="1"/>
    </xf>
    <xf numFmtId="43" fontId="6" fillId="2" borderId="3" xfId="1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 wrapText="1"/>
    </xf>
    <xf numFmtId="43" fontId="23" fillId="2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0" fontId="18" fillId="2" borderId="1" xfId="3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 wrapText="1"/>
    </xf>
    <xf numFmtId="0" fontId="18" fillId="2" borderId="1" xfId="3" applyFont="1" applyFill="1" applyBorder="1" applyAlignment="1">
      <alignment vertical="center"/>
    </xf>
    <xf numFmtId="43" fontId="17" fillId="2" borderId="1" xfId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43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4" fontId="18" fillId="2" borderId="1" xfId="2" applyFont="1" applyFill="1" applyBorder="1" applyAlignment="1">
      <alignment horizontal="right" vertical="center" wrapText="1"/>
    </xf>
    <xf numFmtId="43" fontId="10" fillId="2" borderId="1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164" fontId="18" fillId="0" borderId="1" xfId="2" applyFont="1" applyFill="1" applyBorder="1" applyAlignment="1">
      <alignment horizontal="right" vertical="center" wrapText="1"/>
    </xf>
    <xf numFmtId="43" fontId="6" fillId="0" borderId="1" xfId="0" applyNumberFormat="1" applyFont="1" applyFill="1" applyBorder="1" applyAlignment="1">
      <alignment horizontal="right" vertical="center" wrapText="1"/>
    </xf>
    <xf numFmtId="0" fontId="18" fillId="0" borderId="1" xfId="3" applyFont="1" applyFill="1" applyBorder="1" applyAlignment="1">
      <alignment vertical="center"/>
    </xf>
    <xf numFmtId="4" fontId="18" fillId="0" borderId="1" xfId="3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43" fontId="17" fillId="2" borderId="1" xfId="1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right" vertical="center" wrapText="1"/>
    </xf>
    <xf numFmtId="43" fontId="17" fillId="2" borderId="1" xfId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right" vertical="center" wrapText="1"/>
    </xf>
    <xf numFmtId="43" fontId="7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43" fontId="6" fillId="2" borderId="1" xfId="0" applyNumberFormat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43" fontId="6" fillId="0" borderId="3" xfId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right" vertical="center" wrapText="1"/>
    </xf>
    <xf numFmtId="43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3" fillId="0" borderId="1" xfId="3" applyFont="1" applyFill="1" applyBorder="1" applyAlignment="1">
      <alignment horizontal="left" vertical="center"/>
    </xf>
    <xf numFmtId="0" fontId="18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4" fillId="2" borderId="1" xfId="5" applyNumberFormat="1" applyFont="1" applyFill="1" applyBorder="1" applyAlignment="1" applyProtection="1">
      <alignment horizontal="center" vertical="center"/>
    </xf>
    <xf numFmtId="4" fontId="13" fillId="2" borderId="1" xfId="3" applyNumberFormat="1" applyFont="1" applyFill="1" applyBorder="1" applyAlignment="1">
      <alignment horizontal="left" vertical="center"/>
    </xf>
    <xf numFmtId="0" fontId="13" fillId="2" borderId="1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3" fillId="2" borderId="4" xfId="3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164" fontId="25" fillId="2" borderId="1" xfId="0" applyNumberFormat="1" applyFont="1" applyFill="1" applyBorder="1" applyAlignment="1">
      <alignment horizontal="right" vertical="center" wrapText="1"/>
    </xf>
    <xf numFmtId="43" fontId="1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43" fontId="9" fillId="2" borderId="0" xfId="1" applyFont="1" applyFill="1" applyAlignment="1"/>
    <xf numFmtId="49" fontId="9" fillId="2" borderId="0" xfId="0" applyNumberFormat="1" applyFont="1" applyFill="1"/>
    <xf numFmtId="49" fontId="9" fillId="2" borderId="0" xfId="1" applyNumberFormat="1" applyFont="1" applyFill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4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</cellXfs>
  <cellStyles count="6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kludova.en\Desktop\&#1056;&#1072;&#1073;&#1086;&#1095;&#1072;&#1103;\&#1087;&#1086;&#1089;&#1090;&#1072;&#1085;&#1086;&#1074;&#1083;&#1077;&#1085;&#1080;&#1103;\&#1082;&#1088;&#1072;&#1090;&#1082;&#1086;&#1089;&#1088;&#1086;&#1095;&#1082;&#1072;%20&#1085;&#1072;%202023-2025\&#1042;&#1053;&#1045;&#1057;&#1045;&#1053;&#1048;&#1045;%20&#1048;&#1047;&#1052;&#1045;&#1053;&#1045;&#1053;&#1048;&#1049;%20&#1055;&#1054;%20&#1042;&#1054;&#1044;&#1054;&#1055;&#1054;&#1044;&#1054;&#1043;&#1056;&#1045;&#1042;&#1040;&#1058;&#1045;&#1051;&#1071;&#1052;\&#1041;&#1077;&#1079;%20&#1074;&#1086;&#1076;&#1086;&#1087;&#1086;&#1076;&#1086;&#1075;&#1088;&#1077;&#1074;&#1072;&#1090;&#1077;&#1083;&#1103;%20&#1074;%20&#1043;&#104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 1"/>
      <sheetName val="Разд 2"/>
      <sheetName val="Разд 3"/>
    </sheetNames>
    <sheetDataSet>
      <sheetData sheetId="0">
        <row r="23">
          <cell r="K23">
            <v>4640.1000000000004</v>
          </cell>
          <cell r="M23">
            <v>3301.6</v>
          </cell>
        </row>
        <row r="24">
          <cell r="K24">
            <v>6109.1</v>
          </cell>
          <cell r="M24">
            <v>4491.3999999999996</v>
          </cell>
        </row>
        <row r="25">
          <cell r="K25">
            <v>1740.2</v>
          </cell>
          <cell r="M25">
            <v>1593.1</v>
          </cell>
        </row>
        <row r="26">
          <cell r="K26">
            <v>1666.4</v>
          </cell>
          <cell r="M26">
            <v>1490.9</v>
          </cell>
        </row>
        <row r="27">
          <cell r="K27">
            <v>6197</v>
          </cell>
          <cell r="M27">
            <v>4215.3999999999996</v>
          </cell>
        </row>
        <row r="30">
          <cell r="K30">
            <v>3517.1</v>
          </cell>
          <cell r="M30">
            <v>2481.9</v>
          </cell>
        </row>
        <row r="31">
          <cell r="K31">
            <v>2664.5</v>
          </cell>
          <cell r="M31">
            <v>1261</v>
          </cell>
        </row>
        <row r="32">
          <cell r="K32">
            <v>3634.9</v>
          </cell>
          <cell r="M32">
            <v>2996.3</v>
          </cell>
        </row>
        <row r="33">
          <cell r="K33">
            <v>5543.5</v>
          </cell>
          <cell r="M33">
            <v>3448.2</v>
          </cell>
        </row>
        <row r="34">
          <cell r="K34">
            <v>6197</v>
          </cell>
          <cell r="M34">
            <v>4215.3999999999996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topLeftCell="A7" zoomScale="110" zoomScaleNormal="110" workbookViewId="0">
      <pane ySplit="7" topLeftCell="A14" activePane="bottomLeft" state="frozen"/>
      <selection activeCell="A7" sqref="A7"/>
      <selection pane="bottomLeft" activeCell="A7" sqref="A7"/>
    </sheetView>
  </sheetViews>
  <sheetFormatPr defaultRowHeight="15" x14ac:dyDescent="0.25"/>
  <cols>
    <col min="1" max="1" width="6.85546875" style="34" customWidth="1"/>
    <col min="2" max="2" width="45.140625" style="34" customWidth="1"/>
    <col min="3" max="4" width="12.28515625" style="34" customWidth="1"/>
    <col min="5" max="5" width="9.7109375" style="34" bestFit="1" customWidth="1"/>
    <col min="6" max="6" width="10.28515625" style="34" customWidth="1"/>
    <col min="7" max="7" width="21.5703125" style="34" customWidth="1"/>
    <col min="8" max="8" width="18.28515625" style="34" customWidth="1"/>
    <col min="9" max="11" width="12.85546875" style="34" customWidth="1"/>
    <col min="12" max="13" width="10.5703125" style="34" customWidth="1"/>
    <col min="14" max="14" width="11.28515625" style="34" customWidth="1"/>
    <col min="15" max="15" width="12" style="34" customWidth="1"/>
    <col min="16" max="16384" width="9.140625" style="34"/>
  </cols>
  <sheetData>
    <row r="1" spans="1:15" ht="18.75" customHeight="1" x14ac:dyDescent="0.3">
      <c r="A1" s="10"/>
      <c r="B1" s="10"/>
      <c r="C1" s="10"/>
      <c r="D1" s="10"/>
      <c r="E1" s="10"/>
      <c r="F1" s="10"/>
      <c r="G1" s="10"/>
      <c r="H1" s="10"/>
      <c r="I1" s="11"/>
      <c r="J1" s="11"/>
      <c r="K1" s="11"/>
      <c r="L1" s="121" t="s">
        <v>99</v>
      </c>
      <c r="M1" s="121"/>
      <c r="N1" s="121"/>
      <c r="O1" s="121"/>
    </row>
    <row r="2" spans="1:15" ht="51" customHeight="1" x14ac:dyDescent="0.3">
      <c r="A2" s="10"/>
      <c r="B2" s="10"/>
      <c r="C2" s="10"/>
      <c r="D2" s="10"/>
      <c r="E2" s="10"/>
      <c r="F2" s="10"/>
      <c r="G2" s="10"/>
      <c r="H2" s="10"/>
      <c r="I2" s="11"/>
      <c r="J2" s="11"/>
      <c r="K2" s="11"/>
      <c r="L2" s="121"/>
      <c r="M2" s="121"/>
      <c r="N2" s="121"/>
      <c r="O2" s="121"/>
    </row>
    <row r="3" spans="1:15" ht="18.75" customHeigh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21"/>
      <c r="M3" s="121"/>
      <c r="N3" s="121"/>
      <c r="O3" s="121"/>
    </row>
    <row r="4" spans="1:15" ht="56.25" customHeight="1" x14ac:dyDescent="0.3">
      <c r="A4" s="129" t="s">
        <v>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5" ht="18.75" customHeight="1" x14ac:dyDescent="0.3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5" ht="15.75" x14ac:dyDescent="0.25">
      <c r="A6" s="131" t="s">
        <v>32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ht="15.75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24"/>
      <c r="M7" s="124"/>
      <c r="N7" s="124"/>
      <c r="O7" s="124"/>
    </row>
    <row r="8" spans="1:15" ht="15.75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24"/>
      <c r="M8" s="124"/>
      <c r="N8" s="124"/>
      <c r="O8" s="124"/>
    </row>
    <row r="9" spans="1:15" ht="15.75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25"/>
      <c r="M9" s="125"/>
      <c r="N9" s="125"/>
      <c r="O9" s="125"/>
    </row>
    <row r="10" spans="1:15" ht="91.5" customHeight="1" x14ac:dyDescent="0.25">
      <c r="A10" s="126" t="s">
        <v>1</v>
      </c>
      <c r="B10" s="126" t="s">
        <v>2</v>
      </c>
      <c r="C10" s="122" t="s">
        <v>3</v>
      </c>
      <c r="D10" s="122" t="s">
        <v>33</v>
      </c>
      <c r="E10" s="122" t="s">
        <v>4</v>
      </c>
      <c r="F10" s="122" t="s">
        <v>34</v>
      </c>
      <c r="G10" s="122" t="s">
        <v>35</v>
      </c>
      <c r="H10" s="122" t="s">
        <v>36</v>
      </c>
      <c r="I10" s="122" t="s">
        <v>5</v>
      </c>
      <c r="J10" s="122" t="s">
        <v>39</v>
      </c>
      <c r="K10" s="122" t="s">
        <v>40</v>
      </c>
      <c r="L10" s="133" t="s">
        <v>37</v>
      </c>
      <c r="M10" s="134"/>
      <c r="N10" s="135"/>
      <c r="O10" s="122" t="s">
        <v>45</v>
      </c>
    </row>
    <row r="11" spans="1:15" ht="51.75" customHeight="1" x14ac:dyDescent="0.25">
      <c r="A11" s="127"/>
      <c r="B11" s="127"/>
      <c r="C11" s="123"/>
      <c r="D11" s="123"/>
      <c r="E11" s="123"/>
      <c r="F11" s="123"/>
      <c r="G11" s="123"/>
      <c r="H11" s="123"/>
      <c r="I11" s="123"/>
      <c r="J11" s="123"/>
      <c r="K11" s="132"/>
      <c r="L11" s="37" t="s">
        <v>38</v>
      </c>
      <c r="M11" s="37" t="s">
        <v>41</v>
      </c>
      <c r="N11" s="102" t="s">
        <v>42</v>
      </c>
      <c r="O11" s="132"/>
    </row>
    <row r="12" spans="1:15" ht="23.25" customHeight="1" x14ac:dyDescent="0.25">
      <c r="A12" s="128"/>
      <c r="B12" s="128"/>
      <c r="C12" s="123"/>
      <c r="D12" s="123"/>
      <c r="E12" s="132"/>
      <c r="F12" s="132"/>
      <c r="G12" s="123"/>
      <c r="H12" s="123"/>
      <c r="I12" s="123"/>
      <c r="J12" s="123"/>
      <c r="K12" s="103" t="s">
        <v>43</v>
      </c>
      <c r="L12" s="2" t="s">
        <v>6</v>
      </c>
      <c r="M12" s="2" t="s">
        <v>44</v>
      </c>
      <c r="N12" s="2" t="s">
        <v>44</v>
      </c>
      <c r="O12" s="4" t="s">
        <v>7</v>
      </c>
    </row>
    <row r="13" spans="1:15" x14ac:dyDescent="0.2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</row>
    <row r="14" spans="1:15" ht="26.25" customHeight="1" x14ac:dyDescent="0.25">
      <c r="A14" s="141" t="s">
        <v>46</v>
      </c>
      <c r="B14" s="141"/>
      <c r="C14" s="13" t="s">
        <v>8</v>
      </c>
      <c r="D14" s="13" t="s">
        <v>8</v>
      </c>
      <c r="E14" s="13" t="s">
        <v>8</v>
      </c>
      <c r="F14" s="13" t="s">
        <v>8</v>
      </c>
      <c r="G14" s="13" t="s">
        <v>8</v>
      </c>
      <c r="H14" s="13" t="s">
        <v>8</v>
      </c>
      <c r="I14" s="13" t="s">
        <v>8</v>
      </c>
      <c r="J14" s="14">
        <f>J16+J17+J18+J21+J22+J23+J24+J26+J25+J27+J28+J29+J30+J31+J38+J39+J40+J41+J42</f>
        <v>69</v>
      </c>
      <c r="K14" s="15">
        <f>K19+K36+K43</f>
        <v>79921.3</v>
      </c>
      <c r="L14" s="15">
        <f>L19+L36+L43</f>
        <v>71164.7</v>
      </c>
      <c r="M14" s="15">
        <f>M19+M36+M43</f>
        <v>57029.8</v>
      </c>
      <c r="N14" s="15">
        <f>N19+N36+N43</f>
        <v>10911.3</v>
      </c>
      <c r="O14" s="14">
        <f>O19+O36+O43</f>
        <v>1815</v>
      </c>
    </row>
    <row r="15" spans="1:15" ht="27" customHeight="1" x14ac:dyDescent="0.25">
      <c r="A15" s="138">
        <v>2023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</row>
    <row r="16" spans="1:15" ht="26.25" customHeight="1" x14ac:dyDescent="0.25">
      <c r="A16" s="16">
        <v>1</v>
      </c>
      <c r="B16" s="17" t="s">
        <v>29</v>
      </c>
      <c r="C16" s="18" t="s">
        <v>30</v>
      </c>
      <c r="D16" s="18" t="s">
        <v>28</v>
      </c>
      <c r="E16" s="19" t="s">
        <v>28</v>
      </c>
      <c r="F16" s="20" t="s">
        <v>9</v>
      </c>
      <c r="G16" s="4" t="s">
        <v>14</v>
      </c>
      <c r="H16" s="4" t="s">
        <v>10</v>
      </c>
      <c r="I16" s="21">
        <v>4</v>
      </c>
      <c r="J16" s="21">
        <v>5</v>
      </c>
      <c r="K16" s="22">
        <v>5029.5</v>
      </c>
      <c r="L16" s="22">
        <v>4129</v>
      </c>
      <c r="M16" s="22">
        <v>3270.1</v>
      </c>
      <c r="N16" s="22">
        <f>L16-M16</f>
        <v>858.9</v>
      </c>
      <c r="O16" s="23">
        <v>99</v>
      </c>
    </row>
    <row r="17" spans="1:15" ht="24.75" customHeight="1" x14ac:dyDescent="0.25">
      <c r="A17" s="4">
        <v>2</v>
      </c>
      <c r="B17" s="17" t="s">
        <v>11</v>
      </c>
      <c r="C17" s="4">
        <v>1956</v>
      </c>
      <c r="D17" s="4">
        <v>2022</v>
      </c>
      <c r="E17" s="4" t="s">
        <v>28</v>
      </c>
      <c r="F17" s="20" t="s">
        <v>9</v>
      </c>
      <c r="G17" s="4" t="s">
        <v>14</v>
      </c>
      <c r="H17" s="4" t="s">
        <v>10</v>
      </c>
      <c r="I17" s="4">
        <v>5</v>
      </c>
      <c r="J17" s="4">
        <v>4</v>
      </c>
      <c r="K17" s="24">
        <v>4640.1000000000004</v>
      </c>
      <c r="L17" s="24">
        <v>4225.7</v>
      </c>
      <c r="M17" s="24">
        <v>3301.6</v>
      </c>
      <c r="N17" s="24">
        <f>L17-M17</f>
        <v>924.1</v>
      </c>
      <c r="O17" s="4">
        <v>75</v>
      </c>
    </row>
    <row r="18" spans="1:15" ht="24.75" customHeight="1" x14ac:dyDescent="0.25">
      <c r="A18" s="4">
        <v>3</v>
      </c>
      <c r="B18" s="17" t="s">
        <v>27</v>
      </c>
      <c r="C18" s="4">
        <v>1965</v>
      </c>
      <c r="D18" s="4"/>
      <c r="E18" s="4" t="s">
        <v>28</v>
      </c>
      <c r="F18" s="20" t="s">
        <v>9</v>
      </c>
      <c r="G18" s="4" t="s">
        <v>13</v>
      </c>
      <c r="H18" s="4" t="s">
        <v>10</v>
      </c>
      <c r="I18" s="4">
        <v>5</v>
      </c>
      <c r="J18" s="4">
        <v>4</v>
      </c>
      <c r="K18" s="24">
        <v>3446.3</v>
      </c>
      <c r="L18" s="24">
        <v>3184</v>
      </c>
      <c r="M18" s="24">
        <v>2860.7</v>
      </c>
      <c r="N18" s="24">
        <f>L18-M18</f>
        <v>323.3</v>
      </c>
      <c r="O18" s="4">
        <v>107</v>
      </c>
    </row>
    <row r="19" spans="1:15" ht="24" customHeight="1" x14ac:dyDescent="0.25">
      <c r="A19" s="136" t="s">
        <v>12</v>
      </c>
      <c r="B19" s="137"/>
      <c r="C19" s="13" t="s">
        <v>8</v>
      </c>
      <c r="D19" s="14" t="s">
        <v>53</v>
      </c>
      <c r="E19" s="13" t="s">
        <v>8</v>
      </c>
      <c r="F19" s="13" t="s">
        <v>8</v>
      </c>
      <c r="G19" s="13" t="s">
        <v>8</v>
      </c>
      <c r="H19" s="13" t="s">
        <v>8</v>
      </c>
      <c r="I19" s="13" t="s">
        <v>8</v>
      </c>
      <c r="J19" s="4" t="s">
        <v>53</v>
      </c>
      <c r="K19" s="55">
        <f>K16+K17+K18</f>
        <v>13115.9</v>
      </c>
      <c r="L19" s="25">
        <f>SUM(L16:L18)</f>
        <v>11538.7</v>
      </c>
      <c r="M19" s="26">
        <f>M16+M17+M18</f>
        <v>9432.4</v>
      </c>
      <c r="N19" s="26">
        <f>N16+N17+N18</f>
        <v>2106.3000000000002</v>
      </c>
      <c r="O19" s="14">
        <f>SUM(O16:O18)</f>
        <v>281</v>
      </c>
    </row>
    <row r="20" spans="1:15" ht="27" customHeight="1" x14ac:dyDescent="0.25">
      <c r="A20" s="138">
        <v>2024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40"/>
    </row>
    <row r="21" spans="1:15" ht="27" customHeight="1" x14ac:dyDescent="0.25">
      <c r="A21" s="53">
        <v>4</v>
      </c>
      <c r="B21" s="91" t="s">
        <v>102</v>
      </c>
      <c r="C21" s="93">
        <v>1958</v>
      </c>
      <c r="D21" s="93">
        <v>2021</v>
      </c>
      <c r="E21" s="4" t="s">
        <v>28</v>
      </c>
      <c r="F21" s="4" t="s">
        <v>9</v>
      </c>
      <c r="G21" s="4" t="s">
        <v>14</v>
      </c>
      <c r="H21" s="4" t="s">
        <v>10</v>
      </c>
      <c r="I21" s="4">
        <v>4</v>
      </c>
      <c r="J21" s="4">
        <v>6</v>
      </c>
      <c r="K21" s="6">
        <v>6607.1</v>
      </c>
      <c r="L21" s="98">
        <v>5017.1000000000004</v>
      </c>
      <c r="M21" s="98">
        <v>3879.1</v>
      </c>
      <c r="N21" s="98">
        <f>L21-M21</f>
        <v>1138</v>
      </c>
      <c r="O21" s="95">
        <v>125</v>
      </c>
    </row>
    <row r="22" spans="1:15" ht="24.75" customHeight="1" x14ac:dyDescent="0.25">
      <c r="A22" s="53">
        <v>5</v>
      </c>
      <c r="B22" s="17" t="s">
        <v>11</v>
      </c>
      <c r="C22" s="27">
        <v>1956</v>
      </c>
      <c r="D22" s="27">
        <v>2022</v>
      </c>
      <c r="E22" s="4" t="s">
        <v>28</v>
      </c>
      <c r="F22" s="28" t="s">
        <v>9</v>
      </c>
      <c r="G22" s="4" t="s">
        <v>14</v>
      </c>
      <c r="H22" s="4" t="s">
        <v>10</v>
      </c>
      <c r="I22" s="1">
        <v>5</v>
      </c>
      <c r="J22" s="21">
        <v>4</v>
      </c>
      <c r="K22" s="6">
        <f>'[1]Разд 1'!K23</f>
        <v>4640.1000000000004</v>
      </c>
      <c r="L22" s="8">
        <v>4225.7</v>
      </c>
      <c r="M22" s="6">
        <f>'[1]Разд 1'!M23</f>
        <v>3301.6</v>
      </c>
      <c r="N22" s="6">
        <f>ROUND(L22-M22,2)</f>
        <v>924.1</v>
      </c>
      <c r="O22" s="1">
        <v>75</v>
      </c>
    </row>
    <row r="23" spans="1:15" ht="23.25" customHeight="1" x14ac:dyDescent="0.25">
      <c r="A23" s="53">
        <v>6</v>
      </c>
      <c r="B23" s="17" t="s">
        <v>16</v>
      </c>
      <c r="C23" s="27">
        <v>1959</v>
      </c>
      <c r="D23" s="27" t="s">
        <v>28</v>
      </c>
      <c r="E23" s="29" t="s">
        <v>28</v>
      </c>
      <c r="F23" s="28" t="s">
        <v>9</v>
      </c>
      <c r="G23" s="4" t="s">
        <v>14</v>
      </c>
      <c r="H23" s="4" t="s">
        <v>10</v>
      </c>
      <c r="I23" s="1">
        <v>5</v>
      </c>
      <c r="J23" s="4">
        <v>4</v>
      </c>
      <c r="K23" s="6">
        <f>'[1]Разд 1'!K24</f>
        <v>6109.1</v>
      </c>
      <c r="L23" s="97">
        <v>5569.2</v>
      </c>
      <c r="M23" s="6">
        <f>'[1]Разд 1'!M24</f>
        <v>4491.3999999999996</v>
      </c>
      <c r="N23" s="6">
        <f>L23-M23</f>
        <v>1077.8</v>
      </c>
      <c r="O23" s="99">
        <v>132</v>
      </c>
    </row>
    <row r="24" spans="1:15" ht="23.25" customHeight="1" x14ac:dyDescent="0.25">
      <c r="A24" s="53">
        <v>7</v>
      </c>
      <c r="B24" s="91" t="s">
        <v>103</v>
      </c>
      <c r="C24" s="92">
        <v>1963</v>
      </c>
      <c r="D24" s="27" t="s">
        <v>28</v>
      </c>
      <c r="E24" s="29" t="s">
        <v>28</v>
      </c>
      <c r="F24" s="28" t="s">
        <v>9</v>
      </c>
      <c r="G24" s="18" t="s">
        <v>13</v>
      </c>
      <c r="H24" s="4" t="s">
        <v>10</v>
      </c>
      <c r="I24" s="1">
        <v>5</v>
      </c>
      <c r="J24" s="4">
        <v>3</v>
      </c>
      <c r="K24" s="6">
        <v>3187.2</v>
      </c>
      <c r="L24" s="104">
        <v>2488.9</v>
      </c>
      <c r="M24" s="105">
        <v>1652.2</v>
      </c>
      <c r="N24" s="106" t="s">
        <v>28</v>
      </c>
      <c r="O24" s="107">
        <v>82</v>
      </c>
    </row>
    <row r="25" spans="1:15" ht="23.25" customHeight="1" x14ac:dyDescent="0.25">
      <c r="A25" s="53">
        <v>8</v>
      </c>
      <c r="B25" s="17" t="s">
        <v>17</v>
      </c>
      <c r="C25" s="27">
        <v>1960</v>
      </c>
      <c r="D25" s="27" t="s">
        <v>28</v>
      </c>
      <c r="E25" s="29" t="s">
        <v>28</v>
      </c>
      <c r="F25" s="28" t="s">
        <v>9</v>
      </c>
      <c r="G25" s="18" t="s">
        <v>13</v>
      </c>
      <c r="H25" s="4" t="s">
        <v>26</v>
      </c>
      <c r="I25" s="3">
        <v>5</v>
      </c>
      <c r="J25" s="4">
        <v>2</v>
      </c>
      <c r="K25" s="7">
        <f>'[1]Разд 1'!K25</f>
        <v>1740.2</v>
      </c>
      <c r="L25" s="97">
        <v>1593.1</v>
      </c>
      <c r="M25" s="7">
        <f>'[1]Разд 1'!M25</f>
        <v>1593.1</v>
      </c>
      <c r="N25" s="7" t="s">
        <v>28</v>
      </c>
      <c r="O25" s="3">
        <v>59</v>
      </c>
    </row>
    <row r="26" spans="1:15" ht="23.25" customHeight="1" x14ac:dyDescent="0.25">
      <c r="A26" s="53">
        <v>9</v>
      </c>
      <c r="B26" s="17" t="s">
        <v>18</v>
      </c>
      <c r="C26" s="30">
        <v>1961</v>
      </c>
      <c r="D26" s="30" t="s">
        <v>28</v>
      </c>
      <c r="E26" s="29" t="s">
        <v>28</v>
      </c>
      <c r="F26" s="30" t="s">
        <v>9</v>
      </c>
      <c r="G26" s="18" t="s">
        <v>13</v>
      </c>
      <c r="H26" s="4" t="s">
        <v>10</v>
      </c>
      <c r="I26" s="4">
        <v>5</v>
      </c>
      <c r="J26" s="4">
        <v>2</v>
      </c>
      <c r="K26" s="8">
        <f>'[1]Разд 1'!K26</f>
        <v>1666.4</v>
      </c>
      <c r="L26" s="97">
        <v>1490.9</v>
      </c>
      <c r="M26" s="8">
        <f>'[1]Разд 1'!M26</f>
        <v>1490.9</v>
      </c>
      <c r="N26" s="8" t="s">
        <v>28</v>
      </c>
      <c r="O26" s="4">
        <v>48</v>
      </c>
    </row>
    <row r="27" spans="1:15" ht="23.25" customHeight="1" x14ac:dyDescent="0.25">
      <c r="A27" s="53">
        <v>10</v>
      </c>
      <c r="B27" s="100" t="s">
        <v>19</v>
      </c>
      <c r="C27" s="31">
        <v>1949</v>
      </c>
      <c r="D27" s="31" t="s">
        <v>52</v>
      </c>
      <c r="E27" s="32" t="s">
        <v>28</v>
      </c>
      <c r="F27" s="30" t="s">
        <v>9</v>
      </c>
      <c r="G27" s="18" t="s">
        <v>14</v>
      </c>
      <c r="H27" s="4" t="s">
        <v>10</v>
      </c>
      <c r="I27" s="5" t="s">
        <v>20</v>
      </c>
      <c r="J27" s="21">
        <v>5</v>
      </c>
      <c r="K27" s="8">
        <f>'[1]Разд 1'!K27</f>
        <v>6197</v>
      </c>
      <c r="L27" s="97">
        <v>4215.3999999999996</v>
      </c>
      <c r="M27" s="8">
        <f>'[1]Разд 1'!M27</f>
        <v>4215.3999999999996</v>
      </c>
      <c r="N27" s="8" t="s">
        <v>28</v>
      </c>
      <c r="O27" s="3">
        <v>122</v>
      </c>
    </row>
    <row r="28" spans="1:15" ht="23.25" customHeight="1" x14ac:dyDescent="0.25">
      <c r="A28" s="53">
        <v>11</v>
      </c>
      <c r="B28" s="91" t="s">
        <v>104</v>
      </c>
      <c r="C28" s="94">
        <v>1935</v>
      </c>
      <c r="D28" s="30" t="s">
        <v>28</v>
      </c>
      <c r="E28" s="32" t="s">
        <v>28</v>
      </c>
      <c r="F28" s="30" t="s">
        <v>9</v>
      </c>
      <c r="G28" s="18" t="s">
        <v>14</v>
      </c>
      <c r="H28" s="4" t="s">
        <v>106</v>
      </c>
      <c r="I28" s="5" t="s">
        <v>107</v>
      </c>
      <c r="J28" s="21">
        <v>2</v>
      </c>
      <c r="K28" s="4" t="s">
        <v>108</v>
      </c>
      <c r="L28" s="98">
        <v>1955.1</v>
      </c>
      <c r="M28" s="8" t="s">
        <v>109</v>
      </c>
      <c r="N28" s="8" t="s">
        <v>110</v>
      </c>
      <c r="O28" s="95">
        <v>30</v>
      </c>
    </row>
    <row r="29" spans="1:15" ht="23.25" customHeight="1" x14ac:dyDescent="0.25">
      <c r="A29" s="52">
        <v>12</v>
      </c>
      <c r="B29" s="91" t="s">
        <v>105</v>
      </c>
      <c r="C29" s="94">
        <v>1935</v>
      </c>
      <c r="D29" s="30" t="s">
        <v>28</v>
      </c>
      <c r="E29" s="32" t="s">
        <v>28</v>
      </c>
      <c r="F29" s="30" t="s">
        <v>9</v>
      </c>
      <c r="G29" s="18" t="s">
        <v>14</v>
      </c>
      <c r="H29" s="4" t="s">
        <v>106</v>
      </c>
      <c r="I29" s="5" t="s">
        <v>107</v>
      </c>
      <c r="J29" s="21">
        <v>2</v>
      </c>
      <c r="K29" s="4" t="s">
        <v>111</v>
      </c>
      <c r="L29" s="98">
        <v>1715.6</v>
      </c>
      <c r="M29" s="98" t="s">
        <v>112</v>
      </c>
      <c r="N29" s="98" t="s">
        <v>113</v>
      </c>
      <c r="O29" s="95">
        <v>68</v>
      </c>
    </row>
    <row r="30" spans="1:15" s="62" customFormat="1" ht="24.75" customHeight="1" x14ac:dyDescent="0.25">
      <c r="A30" s="52">
        <v>13</v>
      </c>
      <c r="B30" s="91" t="s">
        <v>100</v>
      </c>
      <c r="C30" s="95">
        <v>1940</v>
      </c>
      <c r="D30" s="95">
        <v>2017</v>
      </c>
      <c r="E30" s="95" t="s">
        <v>28</v>
      </c>
      <c r="F30" s="96" t="s">
        <v>9</v>
      </c>
      <c r="G30" s="95" t="s">
        <v>14</v>
      </c>
      <c r="H30" s="95" t="s">
        <v>10</v>
      </c>
      <c r="I30" s="95">
        <v>5</v>
      </c>
      <c r="J30" s="95">
        <v>2</v>
      </c>
      <c r="K30" s="8">
        <v>2133.6</v>
      </c>
      <c r="L30" s="98">
        <v>1779.5</v>
      </c>
      <c r="M30" s="98">
        <v>1291.3</v>
      </c>
      <c r="N30" s="98">
        <f>L30-M30</f>
        <v>488.2</v>
      </c>
      <c r="O30" s="95">
        <v>25</v>
      </c>
    </row>
    <row r="31" spans="1:15" s="62" customFormat="1" ht="24.75" customHeight="1" x14ac:dyDescent="0.25">
      <c r="A31" s="52">
        <v>14</v>
      </c>
      <c r="B31" s="91" t="s">
        <v>101</v>
      </c>
      <c r="C31" s="95">
        <v>1952</v>
      </c>
      <c r="D31" s="95">
        <v>2017</v>
      </c>
      <c r="E31" s="95" t="s">
        <v>28</v>
      </c>
      <c r="F31" s="96" t="s">
        <v>9</v>
      </c>
      <c r="G31" s="95" t="s">
        <v>14</v>
      </c>
      <c r="H31" s="95" t="s">
        <v>10</v>
      </c>
      <c r="I31" s="95">
        <v>5</v>
      </c>
      <c r="J31" s="95">
        <v>2</v>
      </c>
      <c r="K31" s="8">
        <v>2133.6</v>
      </c>
      <c r="L31" s="98">
        <v>1821.6</v>
      </c>
      <c r="M31" s="98">
        <v>1459.7</v>
      </c>
      <c r="N31" s="98">
        <f>L31-M31</f>
        <v>361.9</v>
      </c>
      <c r="O31" s="95">
        <v>37</v>
      </c>
    </row>
    <row r="32" spans="1:15" ht="24.75" customHeight="1" x14ac:dyDescent="0.25">
      <c r="A32" s="52">
        <v>15</v>
      </c>
      <c r="B32" s="115" t="s">
        <v>115</v>
      </c>
      <c r="C32" s="27">
        <v>1962</v>
      </c>
      <c r="D32" s="27">
        <v>2010</v>
      </c>
      <c r="E32" s="4" t="s">
        <v>28</v>
      </c>
      <c r="F32" s="28" t="s">
        <v>9</v>
      </c>
      <c r="G32" s="18" t="s">
        <v>13</v>
      </c>
      <c r="H32" s="4" t="s">
        <v>10</v>
      </c>
      <c r="I32" s="5" t="s">
        <v>117</v>
      </c>
      <c r="J32" s="21">
        <v>3</v>
      </c>
      <c r="K32" s="8">
        <v>2714.2</v>
      </c>
      <c r="L32" s="8">
        <v>2519.9</v>
      </c>
      <c r="M32" s="8">
        <v>2519.9</v>
      </c>
      <c r="N32" s="8" t="s">
        <v>28</v>
      </c>
      <c r="O32" s="3">
        <v>61</v>
      </c>
    </row>
    <row r="33" spans="1:15" ht="24.75" customHeight="1" x14ac:dyDescent="0.25">
      <c r="A33" s="52">
        <v>16</v>
      </c>
      <c r="B33" s="115" t="s">
        <v>116</v>
      </c>
      <c r="C33" s="27">
        <v>1962</v>
      </c>
      <c r="D33" s="27">
        <v>2000</v>
      </c>
      <c r="E33" s="4" t="s">
        <v>28</v>
      </c>
      <c r="F33" s="28" t="s">
        <v>9</v>
      </c>
      <c r="G33" s="18" t="s">
        <v>13</v>
      </c>
      <c r="H33" s="4" t="s">
        <v>10</v>
      </c>
      <c r="I33" s="5" t="s">
        <v>117</v>
      </c>
      <c r="J33" s="21">
        <v>3</v>
      </c>
      <c r="K33" s="8">
        <v>2722.6</v>
      </c>
      <c r="L33" s="8">
        <v>2524.1</v>
      </c>
      <c r="M33" s="8">
        <v>2524.1</v>
      </c>
      <c r="N33" s="8" t="s">
        <v>28</v>
      </c>
      <c r="O33" s="3">
        <v>87</v>
      </c>
    </row>
    <row r="34" spans="1:15" ht="24.75" customHeight="1" x14ac:dyDescent="0.25">
      <c r="A34" s="52">
        <v>17</v>
      </c>
      <c r="B34" s="115" t="s">
        <v>118</v>
      </c>
      <c r="C34" s="27">
        <v>1962</v>
      </c>
      <c r="D34" s="4" t="s">
        <v>28</v>
      </c>
      <c r="E34" s="4" t="s">
        <v>28</v>
      </c>
      <c r="F34" s="20" t="s">
        <v>9</v>
      </c>
      <c r="G34" s="18" t="s">
        <v>13</v>
      </c>
      <c r="H34" s="4" t="s">
        <v>10</v>
      </c>
      <c r="I34" s="4">
        <v>5</v>
      </c>
      <c r="J34" s="4">
        <v>3</v>
      </c>
      <c r="K34" s="8">
        <v>2688.8</v>
      </c>
      <c r="L34" s="8">
        <v>2507.4</v>
      </c>
      <c r="M34" s="8">
        <v>2436</v>
      </c>
      <c r="N34" s="8">
        <v>71.400000000000006</v>
      </c>
      <c r="O34" s="4">
        <v>86</v>
      </c>
    </row>
    <row r="35" spans="1:15" ht="24.75" customHeight="1" x14ac:dyDescent="0.25">
      <c r="A35" s="52">
        <v>18</v>
      </c>
      <c r="B35" s="115" t="s">
        <v>119</v>
      </c>
      <c r="C35" s="27">
        <v>1962</v>
      </c>
      <c r="D35" s="4" t="s">
        <v>28</v>
      </c>
      <c r="E35" s="4" t="s">
        <v>28</v>
      </c>
      <c r="F35" s="20" t="s">
        <v>9</v>
      </c>
      <c r="G35" s="18" t="s">
        <v>13</v>
      </c>
      <c r="H35" s="4" t="s">
        <v>10</v>
      </c>
      <c r="I35" s="4">
        <v>5</v>
      </c>
      <c r="J35" s="4">
        <v>3</v>
      </c>
      <c r="K35" s="8">
        <v>2708.5</v>
      </c>
      <c r="L35" s="8">
        <v>2527.6</v>
      </c>
      <c r="M35" s="8">
        <v>2339.9</v>
      </c>
      <c r="N35" s="8">
        <v>187.7</v>
      </c>
      <c r="O35" s="4">
        <v>73</v>
      </c>
    </row>
    <row r="36" spans="1:15" ht="24" customHeight="1" x14ac:dyDescent="0.25">
      <c r="A36" s="136" t="s">
        <v>15</v>
      </c>
      <c r="B36" s="137"/>
      <c r="C36" s="13" t="s">
        <v>8</v>
      </c>
      <c r="D36" s="13"/>
      <c r="E36" s="13" t="s">
        <v>8</v>
      </c>
      <c r="F36" s="13" t="s">
        <v>8</v>
      </c>
      <c r="G36" s="13" t="s">
        <v>8</v>
      </c>
      <c r="H36" s="13" t="s">
        <v>8</v>
      </c>
      <c r="I36" s="13" t="s">
        <v>8</v>
      </c>
      <c r="J36" s="13" t="s">
        <v>8</v>
      </c>
      <c r="K36" s="15">
        <f>SUM(K21:K35)</f>
        <v>45248.4</v>
      </c>
      <c r="L36" s="25">
        <f>SUM(L21:L35)</f>
        <v>41951.1</v>
      </c>
      <c r="M36" s="25">
        <f>SUM(M21:M35)</f>
        <v>33194.6</v>
      </c>
      <c r="N36" s="9">
        <f>N21+N22+N23+N28+N29+N30+N31+N34+N35</f>
        <v>5532.9</v>
      </c>
      <c r="O36" s="56">
        <f>SUM(O21:O35)</f>
        <v>1110</v>
      </c>
    </row>
    <row r="37" spans="1:15" ht="23.25" customHeight="1" x14ac:dyDescent="0.25">
      <c r="A37" s="138">
        <v>2025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40"/>
    </row>
    <row r="38" spans="1:15" ht="24.75" customHeight="1" x14ac:dyDescent="0.25">
      <c r="A38" s="4">
        <v>19</v>
      </c>
      <c r="B38" s="17" t="s">
        <v>22</v>
      </c>
      <c r="C38" s="27">
        <v>1957</v>
      </c>
      <c r="D38" s="27">
        <v>2020</v>
      </c>
      <c r="E38" s="4" t="s">
        <v>28</v>
      </c>
      <c r="F38" s="28" t="s">
        <v>9</v>
      </c>
      <c r="G38" s="4" t="s">
        <v>14</v>
      </c>
      <c r="H38" s="4" t="s">
        <v>10</v>
      </c>
      <c r="I38" s="4">
        <v>4</v>
      </c>
      <c r="J38" s="21">
        <v>4</v>
      </c>
      <c r="K38" s="8">
        <f>'[1]Разд 1'!K30</f>
        <v>3517.1</v>
      </c>
      <c r="L38" s="8">
        <v>3210.5</v>
      </c>
      <c r="M38" s="8">
        <f>'[1]Разд 1'!M30</f>
        <v>2481.9</v>
      </c>
      <c r="N38" s="8">
        <f>L38-M38</f>
        <v>728.6</v>
      </c>
      <c r="O38" s="4">
        <v>68</v>
      </c>
    </row>
    <row r="39" spans="1:15" ht="24.75" customHeight="1" x14ac:dyDescent="0.25">
      <c r="A39" s="4">
        <v>20</v>
      </c>
      <c r="B39" s="101" t="s">
        <v>23</v>
      </c>
      <c r="C39" s="27">
        <v>1957</v>
      </c>
      <c r="D39" s="27">
        <v>2019</v>
      </c>
      <c r="E39" s="4" t="s">
        <v>28</v>
      </c>
      <c r="F39" s="28" t="s">
        <v>9</v>
      </c>
      <c r="G39" s="4" t="s">
        <v>14</v>
      </c>
      <c r="H39" s="4" t="s">
        <v>10</v>
      </c>
      <c r="I39" s="1">
        <v>4</v>
      </c>
      <c r="J39" s="4">
        <v>3</v>
      </c>
      <c r="K39" s="6">
        <f>'[1]Разд 1'!K31</f>
        <v>2664.5</v>
      </c>
      <c r="L39" s="8">
        <v>2229.8000000000002</v>
      </c>
      <c r="M39" s="6">
        <f>'[1]Разд 1'!M31</f>
        <v>1261</v>
      </c>
      <c r="N39" s="6">
        <f>L39-M39</f>
        <v>968.8</v>
      </c>
      <c r="O39" s="4">
        <v>64</v>
      </c>
    </row>
    <row r="40" spans="1:15" ht="24.75" customHeight="1" x14ac:dyDescent="0.25">
      <c r="A40" s="4">
        <v>21</v>
      </c>
      <c r="B40" s="17" t="s">
        <v>24</v>
      </c>
      <c r="C40" s="27">
        <v>1957</v>
      </c>
      <c r="D40" s="27">
        <v>2022</v>
      </c>
      <c r="E40" s="4" t="s">
        <v>28</v>
      </c>
      <c r="F40" s="28" t="s">
        <v>9</v>
      </c>
      <c r="G40" s="4" t="s">
        <v>14</v>
      </c>
      <c r="H40" s="4" t="s">
        <v>10</v>
      </c>
      <c r="I40" s="4">
        <v>4</v>
      </c>
      <c r="J40" s="4">
        <v>4</v>
      </c>
      <c r="K40" s="8">
        <f>'[1]Разд 1'!K32</f>
        <v>3634.9</v>
      </c>
      <c r="L40" s="8">
        <v>3301.4</v>
      </c>
      <c r="M40" s="8">
        <f>'[1]Разд 1'!M32</f>
        <v>2996.3</v>
      </c>
      <c r="N40" s="8">
        <f>L40-M40</f>
        <v>305.10000000000002</v>
      </c>
      <c r="O40" s="4">
        <v>82</v>
      </c>
    </row>
    <row r="41" spans="1:15" ht="24.75" customHeight="1" x14ac:dyDescent="0.25">
      <c r="A41" s="4">
        <v>22</v>
      </c>
      <c r="B41" s="17" t="s">
        <v>25</v>
      </c>
      <c r="C41" s="27">
        <v>1953</v>
      </c>
      <c r="D41" s="27">
        <v>2022</v>
      </c>
      <c r="E41" s="4" t="s">
        <v>28</v>
      </c>
      <c r="F41" s="28" t="s">
        <v>9</v>
      </c>
      <c r="G41" s="4" t="s">
        <v>14</v>
      </c>
      <c r="H41" s="4" t="s">
        <v>10</v>
      </c>
      <c r="I41" s="1">
        <v>4</v>
      </c>
      <c r="J41" s="4">
        <v>6</v>
      </c>
      <c r="K41" s="6">
        <f>'[1]Разд 1'!K33</f>
        <v>5543.5</v>
      </c>
      <c r="L41" s="8">
        <v>4717.8</v>
      </c>
      <c r="M41" s="6">
        <f>'[1]Разд 1'!M33</f>
        <v>3448.2</v>
      </c>
      <c r="N41" s="6">
        <f>L41-M41</f>
        <v>1269.5999999999999</v>
      </c>
      <c r="O41" s="4">
        <v>88</v>
      </c>
    </row>
    <row r="42" spans="1:15" ht="24.75" customHeight="1" x14ac:dyDescent="0.25">
      <c r="A42" s="4">
        <v>23</v>
      </c>
      <c r="B42" s="101" t="s">
        <v>19</v>
      </c>
      <c r="C42" s="27">
        <v>1949</v>
      </c>
      <c r="D42" s="27">
        <v>2021</v>
      </c>
      <c r="E42" s="4" t="s">
        <v>28</v>
      </c>
      <c r="F42" s="28" t="s">
        <v>9</v>
      </c>
      <c r="G42" s="4" t="s">
        <v>14</v>
      </c>
      <c r="H42" s="4" t="s">
        <v>10</v>
      </c>
      <c r="I42" s="5" t="s">
        <v>20</v>
      </c>
      <c r="J42" s="21">
        <v>5</v>
      </c>
      <c r="K42" s="8">
        <f>'[1]Разд 1'!K34</f>
        <v>6197</v>
      </c>
      <c r="L42" s="8">
        <v>4215.3999999999996</v>
      </c>
      <c r="M42" s="8">
        <f>'[1]Разд 1'!M34</f>
        <v>4215.3999999999996</v>
      </c>
      <c r="N42" s="8" t="s">
        <v>28</v>
      </c>
      <c r="O42" s="3">
        <v>122</v>
      </c>
    </row>
    <row r="43" spans="1:15" ht="24" customHeight="1" x14ac:dyDescent="0.25">
      <c r="A43" s="136" t="s">
        <v>21</v>
      </c>
      <c r="B43" s="137"/>
      <c r="C43" s="13" t="s">
        <v>8</v>
      </c>
      <c r="D43" s="13" t="s">
        <v>8</v>
      </c>
      <c r="E43" s="13" t="s">
        <v>8</v>
      </c>
      <c r="F43" s="13" t="s">
        <v>8</v>
      </c>
      <c r="G43" s="13" t="s">
        <v>8</v>
      </c>
      <c r="H43" s="13" t="s">
        <v>8</v>
      </c>
      <c r="I43" s="13" t="s">
        <v>8</v>
      </c>
      <c r="J43" s="13" t="s">
        <v>8</v>
      </c>
      <c r="K43" s="15">
        <f>SUM(K38:K42)</f>
        <v>21557</v>
      </c>
      <c r="L43" s="25">
        <f>SUM(L38:L42)</f>
        <v>17674.900000000001</v>
      </c>
      <c r="M43" s="15">
        <f>SUM(M38:M42)</f>
        <v>14402.8</v>
      </c>
      <c r="N43" s="15">
        <f>SUM(N38:N41)</f>
        <v>3272.1</v>
      </c>
      <c r="O43" s="56">
        <f>SUM(O38:O42)</f>
        <v>424</v>
      </c>
    </row>
    <row r="44" spans="1:15" ht="17.25" customHeight="1" x14ac:dyDescent="0.25">
      <c r="A44" s="144" t="s">
        <v>47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15" customHeight="1" x14ac:dyDescent="0.25">
      <c r="A45" s="143" t="s">
        <v>48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</row>
    <row r="46" spans="1:15" ht="15.75" customHeight="1" x14ac:dyDescent="0.25">
      <c r="A46" s="142" t="s">
        <v>49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</row>
    <row r="47" spans="1:15" ht="15" customHeight="1" x14ac:dyDescent="0.25">
      <c r="A47" s="142" t="s">
        <v>50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</row>
    <row r="48" spans="1:15" ht="15" customHeight="1" x14ac:dyDescent="0.25">
      <c r="A48" s="142" t="s">
        <v>51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</row>
  </sheetData>
  <mergeCells count="30">
    <mergeCell ref="A48:O48"/>
    <mergeCell ref="A46:O46"/>
    <mergeCell ref="A36:B36"/>
    <mergeCell ref="A37:O37"/>
    <mergeCell ref="A45:O45"/>
    <mergeCell ref="A43:B43"/>
    <mergeCell ref="A44:O44"/>
    <mergeCell ref="A19:B19"/>
    <mergeCell ref="A20:O20"/>
    <mergeCell ref="A14:B14"/>
    <mergeCell ref="A15:O15"/>
    <mergeCell ref="A47:O47"/>
    <mergeCell ref="B10:B12"/>
    <mergeCell ref="A10:A12"/>
    <mergeCell ref="A4:O4"/>
    <mergeCell ref="A5:O5"/>
    <mergeCell ref="A6:O6"/>
    <mergeCell ref="G10:G12"/>
    <mergeCell ref="F10:F12"/>
    <mergeCell ref="E10:E12"/>
    <mergeCell ref="D10:D12"/>
    <mergeCell ref="L10:N10"/>
    <mergeCell ref="K10:K11"/>
    <mergeCell ref="O10:O11"/>
    <mergeCell ref="L1:O3"/>
    <mergeCell ref="J10:J12"/>
    <mergeCell ref="I10:I12"/>
    <mergeCell ref="H10:H12"/>
    <mergeCell ref="C10:C12"/>
    <mergeCell ref="L7:O9"/>
  </mergeCells>
  <printOptions horizontalCentered="1" verticalCentered="1"/>
  <pageMargins left="0.70866141732283472" right="0.52" top="0.74803149606299213" bottom="0.36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topLeftCell="A6" zoomScale="110" zoomScaleNormal="110" workbookViewId="0">
      <pane ySplit="4" topLeftCell="A10" activePane="bottomLeft" state="frozen"/>
      <selection activeCell="A6" sqref="A6"/>
      <selection pane="bottomLeft" activeCell="AE6" sqref="A6:XFD6"/>
    </sheetView>
  </sheetViews>
  <sheetFormatPr defaultRowHeight="15" x14ac:dyDescent="0.25"/>
  <cols>
    <col min="1" max="1" width="4.85546875" style="33" customWidth="1"/>
    <col min="2" max="2" width="28.42578125" style="34" customWidth="1"/>
    <col min="3" max="3" width="9.140625" style="34"/>
    <col min="4" max="4" width="16.28515625" style="34" customWidth="1"/>
    <col min="5" max="5" width="15.5703125" style="34" bestFit="1" customWidth="1"/>
    <col min="6" max="6" width="6.28515625" style="34" customWidth="1"/>
    <col min="7" max="7" width="14" style="34" bestFit="1" customWidth="1"/>
    <col min="8" max="8" width="14" style="36" bestFit="1" customWidth="1"/>
    <col min="9" max="9" width="15.85546875" style="34" customWidth="1"/>
    <col min="10" max="10" width="16.85546875" style="34" customWidth="1"/>
    <col min="11" max="11" width="9.28515625" style="34" bestFit="1" customWidth="1"/>
    <col min="12" max="12" width="15.140625" style="34" customWidth="1"/>
    <col min="13" max="13" width="13.28515625" style="34" customWidth="1"/>
    <col min="14" max="14" width="13" style="34" bestFit="1" customWidth="1"/>
    <col min="15" max="15" width="7.28515625" style="34" customWidth="1"/>
    <col min="16" max="16" width="14.140625" style="34" customWidth="1"/>
    <col min="17" max="17" width="16.5703125" style="34" bestFit="1" customWidth="1"/>
    <col min="18" max="18" width="13.85546875" style="34" customWidth="1"/>
    <col min="19" max="19" width="16.5703125" style="34" bestFit="1" customWidth="1"/>
    <col min="20" max="20" width="15.5703125" style="34" customWidth="1"/>
    <col min="21" max="21" width="14.42578125" style="34" customWidth="1"/>
    <col min="22" max="22" width="14.42578125" style="34" bestFit="1" customWidth="1"/>
    <col min="23" max="23" width="10.5703125" style="34" bestFit="1" customWidth="1"/>
    <col min="24" max="24" width="9.28515625" style="34" bestFit="1" customWidth="1"/>
    <col min="25" max="25" width="14.85546875" style="34" customWidth="1"/>
    <col min="26" max="26" width="12.140625" style="34" customWidth="1"/>
    <col min="27" max="27" width="16.140625" style="34" customWidth="1"/>
    <col min="28" max="30" width="9.140625" style="34"/>
    <col min="31" max="31" width="15.28515625" style="34" bestFit="1" customWidth="1"/>
    <col min="32" max="16384" width="9.140625" style="34"/>
  </cols>
  <sheetData>
    <row r="1" spans="1:32" x14ac:dyDescent="0.25">
      <c r="E1" s="35"/>
      <c r="R1" s="35"/>
      <c r="V1" s="35"/>
    </row>
    <row r="2" spans="1:32" ht="18.75" x14ac:dyDescent="0.25">
      <c r="A2" s="155" t="s">
        <v>54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61"/>
      <c r="AF2" s="161"/>
    </row>
    <row r="3" spans="1:32" ht="20.25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1"/>
      <c r="AF3" s="161"/>
    </row>
    <row r="4" spans="1:32" ht="15.75" x14ac:dyDescent="0.25">
      <c r="A4" s="163" t="s">
        <v>55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1"/>
      <c r="AF4" s="161"/>
    </row>
    <row r="5" spans="1:32" ht="15" customHeight="1" x14ac:dyDescent="0.25">
      <c r="A5" s="122" t="s">
        <v>1</v>
      </c>
      <c r="B5" s="122" t="s">
        <v>2</v>
      </c>
      <c r="C5" s="122" t="s">
        <v>56</v>
      </c>
      <c r="D5" s="150" t="s">
        <v>57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64" t="s">
        <v>58</v>
      </c>
      <c r="Y5" s="165"/>
      <c r="Z5" s="165"/>
      <c r="AA5" s="165"/>
      <c r="AB5" s="166"/>
      <c r="AC5" s="122" t="s">
        <v>59</v>
      </c>
      <c r="AD5" s="122" t="s">
        <v>60</v>
      </c>
      <c r="AE5" s="49"/>
      <c r="AF5" s="49"/>
    </row>
    <row r="6" spans="1:32" ht="15" customHeight="1" x14ac:dyDescent="0.25">
      <c r="A6" s="123"/>
      <c r="B6" s="123"/>
      <c r="C6" s="123"/>
      <c r="D6" s="122" t="s">
        <v>61</v>
      </c>
      <c r="E6" s="164" t="s">
        <v>62</v>
      </c>
      <c r="F6" s="165"/>
      <c r="G6" s="165"/>
      <c r="H6" s="165"/>
      <c r="I6" s="165"/>
      <c r="J6" s="165"/>
      <c r="K6" s="165"/>
      <c r="L6" s="165"/>
      <c r="M6" s="165"/>
      <c r="N6" s="166"/>
      <c r="O6" s="170" t="s">
        <v>63</v>
      </c>
      <c r="P6" s="171"/>
      <c r="Q6" s="122" t="s">
        <v>64</v>
      </c>
      <c r="R6" s="122" t="s">
        <v>65</v>
      </c>
      <c r="S6" s="122" t="s">
        <v>66</v>
      </c>
      <c r="T6" s="122" t="s">
        <v>67</v>
      </c>
      <c r="U6" s="150" t="s">
        <v>68</v>
      </c>
      <c r="V6" s="151"/>
      <c r="W6" s="152"/>
      <c r="X6" s="167"/>
      <c r="Y6" s="168"/>
      <c r="Z6" s="168"/>
      <c r="AA6" s="168"/>
      <c r="AB6" s="169"/>
      <c r="AC6" s="123"/>
      <c r="AD6" s="123"/>
      <c r="AE6" s="49"/>
      <c r="AF6" s="49"/>
    </row>
    <row r="7" spans="1:32" ht="52.5" customHeight="1" x14ac:dyDescent="0.25">
      <c r="A7" s="123"/>
      <c r="B7" s="123"/>
      <c r="C7" s="123"/>
      <c r="D7" s="123"/>
      <c r="E7" s="167"/>
      <c r="F7" s="168"/>
      <c r="G7" s="168"/>
      <c r="H7" s="168"/>
      <c r="I7" s="168"/>
      <c r="J7" s="168"/>
      <c r="K7" s="168"/>
      <c r="L7" s="168"/>
      <c r="M7" s="168"/>
      <c r="N7" s="169"/>
      <c r="O7" s="172"/>
      <c r="P7" s="173"/>
      <c r="Q7" s="123"/>
      <c r="R7" s="123"/>
      <c r="S7" s="123"/>
      <c r="T7" s="123"/>
      <c r="U7" s="122" t="s">
        <v>69</v>
      </c>
      <c r="V7" s="122" t="s">
        <v>70</v>
      </c>
      <c r="W7" s="122" t="s">
        <v>71</v>
      </c>
      <c r="X7" s="122" t="s">
        <v>72</v>
      </c>
      <c r="Y7" s="122" t="s">
        <v>73</v>
      </c>
      <c r="Z7" s="122" t="s">
        <v>74</v>
      </c>
      <c r="AA7" s="122" t="s">
        <v>75</v>
      </c>
      <c r="AB7" s="122" t="s">
        <v>76</v>
      </c>
      <c r="AC7" s="123"/>
      <c r="AD7" s="123"/>
      <c r="AE7" s="49"/>
      <c r="AF7" s="49"/>
    </row>
    <row r="8" spans="1:32" ht="72" x14ac:dyDescent="0.25">
      <c r="A8" s="123"/>
      <c r="B8" s="123"/>
      <c r="C8" s="132"/>
      <c r="D8" s="132"/>
      <c r="E8" s="37" t="s">
        <v>77</v>
      </c>
      <c r="F8" s="157" t="s">
        <v>78</v>
      </c>
      <c r="G8" s="158"/>
      <c r="H8" s="38" t="s">
        <v>79</v>
      </c>
      <c r="I8" s="37" t="s">
        <v>80</v>
      </c>
      <c r="J8" s="37" t="s">
        <v>81</v>
      </c>
      <c r="K8" s="157" t="s">
        <v>82</v>
      </c>
      <c r="L8" s="158"/>
      <c r="M8" s="37" t="s">
        <v>83</v>
      </c>
      <c r="N8" s="37" t="s">
        <v>84</v>
      </c>
      <c r="O8" s="174"/>
      <c r="P8" s="175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23"/>
      <c r="AD8" s="123"/>
      <c r="AE8" s="49"/>
      <c r="AF8" s="49"/>
    </row>
    <row r="9" spans="1:32" x14ac:dyDescent="0.25">
      <c r="A9" s="132"/>
      <c r="B9" s="132"/>
      <c r="C9" s="39" t="s">
        <v>85</v>
      </c>
      <c r="D9" s="39" t="s">
        <v>86</v>
      </c>
      <c r="E9" s="39" t="s">
        <v>86</v>
      </c>
      <c r="F9" s="39" t="s">
        <v>87</v>
      </c>
      <c r="G9" s="39" t="s">
        <v>86</v>
      </c>
      <c r="H9" s="40" t="s">
        <v>86</v>
      </c>
      <c r="I9" s="39" t="s">
        <v>86</v>
      </c>
      <c r="J9" s="39" t="s">
        <v>86</v>
      </c>
      <c r="K9" s="39" t="s">
        <v>87</v>
      </c>
      <c r="L9" s="39" t="s">
        <v>86</v>
      </c>
      <c r="M9" s="39" t="s">
        <v>86</v>
      </c>
      <c r="N9" s="39" t="s">
        <v>86</v>
      </c>
      <c r="O9" s="39" t="s">
        <v>87</v>
      </c>
      <c r="P9" s="39" t="s">
        <v>86</v>
      </c>
      <c r="Q9" s="39" t="s">
        <v>86</v>
      </c>
      <c r="R9" s="39" t="s">
        <v>86</v>
      </c>
      <c r="S9" s="39" t="s">
        <v>86</v>
      </c>
      <c r="T9" s="39" t="s">
        <v>86</v>
      </c>
      <c r="U9" s="39" t="s">
        <v>86</v>
      </c>
      <c r="V9" s="39" t="s">
        <v>86</v>
      </c>
      <c r="W9" s="39" t="s">
        <v>86</v>
      </c>
      <c r="X9" s="39" t="s">
        <v>86</v>
      </c>
      <c r="Y9" s="39" t="s">
        <v>86</v>
      </c>
      <c r="Z9" s="39" t="s">
        <v>86</v>
      </c>
      <c r="AA9" s="39" t="s">
        <v>86</v>
      </c>
      <c r="AB9" s="39" t="s">
        <v>86</v>
      </c>
      <c r="AC9" s="132"/>
      <c r="AD9" s="132"/>
      <c r="AE9" s="49"/>
      <c r="AF9" s="49"/>
    </row>
    <row r="10" spans="1:32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41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2">
        <v>14</v>
      </c>
      <c r="O10" s="2">
        <v>15</v>
      </c>
      <c r="P10" s="2">
        <v>16</v>
      </c>
      <c r="Q10" s="2">
        <v>17</v>
      </c>
      <c r="R10" s="2">
        <v>18</v>
      </c>
      <c r="S10" s="2">
        <v>19</v>
      </c>
      <c r="T10" s="2">
        <v>20</v>
      </c>
      <c r="U10" s="2">
        <v>21</v>
      </c>
      <c r="V10" s="2">
        <v>22</v>
      </c>
      <c r="W10" s="2">
        <v>23</v>
      </c>
      <c r="X10" s="2">
        <v>24</v>
      </c>
      <c r="Y10" s="2">
        <v>25</v>
      </c>
      <c r="Z10" s="2">
        <v>26</v>
      </c>
      <c r="AA10" s="2">
        <v>27</v>
      </c>
      <c r="AB10" s="2">
        <v>28</v>
      </c>
      <c r="AC10" s="2">
        <v>29</v>
      </c>
      <c r="AD10" s="2">
        <v>30</v>
      </c>
      <c r="AE10" s="49"/>
      <c r="AF10" s="49"/>
    </row>
    <row r="11" spans="1:32" ht="30.75" customHeight="1" x14ac:dyDescent="0.25">
      <c r="A11" s="159" t="s">
        <v>88</v>
      </c>
      <c r="B11" s="160"/>
      <c r="C11" s="69"/>
      <c r="D11" s="71">
        <f>D16+D33+D40</f>
        <v>451957439.02999997</v>
      </c>
      <c r="E11" s="71">
        <f>E16+E40</f>
        <v>4737279.2300000004</v>
      </c>
      <c r="F11" s="71">
        <v>0</v>
      </c>
      <c r="G11" s="71" t="s">
        <v>28</v>
      </c>
      <c r="H11" s="71">
        <f>H16+H40</f>
        <v>4592330.26</v>
      </c>
      <c r="I11" s="71">
        <f>I16+I40</f>
        <v>6360890.0800000001</v>
      </c>
      <c r="J11" s="71">
        <f>J16+J40</f>
        <v>20080441.66</v>
      </c>
      <c r="K11" s="71">
        <f>K16+K40</f>
        <v>3</v>
      </c>
      <c r="L11" s="71">
        <f>L16+L40</f>
        <v>7503453.7199999997</v>
      </c>
      <c r="M11" s="71">
        <f>M40</f>
        <v>3256791.7</v>
      </c>
      <c r="N11" s="71" t="s">
        <v>28</v>
      </c>
      <c r="O11" s="71" t="s">
        <v>28</v>
      </c>
      <c r="P11" s="71" t="s">
        <v>28</v>
      </c>
      <c r="Q11" s="71">
        <f>Q16+Q33+Q40</f>
        <v>183402129.12</v>
      </c>
      <c r="R11" s="71">
        <f>R16+R40</f>
        <v>20069811.68</v>
      </c>
      <c r="S11" s="71">
        <f>S16+S33+S40</f>
        <v>166371425.74000001</v>
      </c>
      <c r="T11" s="71">
        <f>T16+T40</f>
        <v>11078081.83</v>
      </c>
      <c r="U11" s="71">
        <f>U16+U33+U40</f>
        <v>18052181.899999999</v>
      </c>
      <c r="V11" s="71">
        <f>V16+V33+V40</f>
        <v>6452622.1100000003</v>
      </c>
      <c r="W11" s="71"/>
      <c r="X11" s="71"/>
      <c r="Y11" s="71">
        <f>Y16+Y33+Y40</f>
        <v>176957419.24000001</v>
      </c>
      <c r="Z11" s="71"/>
      <c r="AA11" s="71">
        <f>AA16+AA33+AA40</f>
        <v>275000019.79000002</v>
      </c>
      <c r="AB11" s="70"/>
      <c r="AC11" s="70"/>
      <c r="AD11" s="70"/>
      <c r="AE11" s="50"/>
      <c r="AF11" s="49"/>
    </row>
    <row r="12" spans="1:32" x14ac:dyDescent="0.25">
      <c r="A12" s="153">
        <v>2023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49"/>
      <c r="AF12" s="49"/>
    </row>
    <row r="13" spans="1:32" ht="24" customHeight="1" x14ac:dyDescent="0.25">
      <c r="A13" s="52">
        <v>1</v>
      </c>
      <c r="B13" s="43" t="s">
        <v>29</v>
      </c>
      <c r="C13" s="43"/>
      <c r="D13" s="70">
        <f>Q13+S13+U13+V13</f>
        <v>69141094.030000001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>
        <v>28264202.41</v>
      </c>
      <c r="R13" s="70"/>
      <c r="S13" s="70">
        <v>37794347.369999997</v>
      </c>
      <c r="T13" s="70"/>
      <c r="U13" s="70">
        <v>2091666</v>
      </c>
      <c r="V13" s="70">
        <v>990878.25</v>
      </c>
      <c r="W13" s="70"/>
      <c r="X13" s="70"/>
      <c r="Y13" s="70"/>
      <c r="Z13" s="70"/>
      <c r="AA13" s="70">
        <f>Q13+S13+U13+V13</f>
        <v>69141094.030000001</v>
      </c>
      <c r="AB13" s="70"/>
      <c r="AC13" s="68">
        <v>2023</v>
      </c>
      <c r="AD13" s="68">
        <v>2024</v>
      </c>
      <c r="AE13" s="51"/>
      <c r="AF13" s="51"/>
    </row>
    <row r="14" spans="1:32" ht="27" customHeight="1" x14ac:dyDescent="0.25">
      <c r="A14" s="52">
        <v>2</v>
      </c>
      <c r="B14" s="43" t="s">
        <v>11</v>
      </c>
      <c r="C14" s="43"/>
      <c r="D14" s="70">
        <f>E14+G14+H14+I14+J14+L14+M14+N14+P14+Q14+R14+S14+T14+V14+U14+W14</f>
        <v>32521563.59</v>
      </c>
      <c r="E14" s="70">
        <f>ROUND(4225.7*660.21,2)</f>
        <v>2789849.4</v>
      </c>
      <c r="F14" s="70"/>
      <c r="G14" s="70"/>
      <c r="H14" s="70">
        <f>ROUND(4225.7*620.83,2)</f>
        <v>2623441.33</v>
      </c>
      <c r="I14" s="70">
        <f>ROUND(4225.7*665.62,2)</f>
        <v>2812710.43</v>
      </c>
      <c r="J14" s="70">
        <f>ROUND(4225.7*3201.73,2)</f>
        <v>13529550.460000001</v>
      </c>
      <c r="K14" s="70">
        <v>1</v>
      </c>
      <c r="L14" s="70">
        <v>2501151.2400000002</v>
      </c>
      <c r="M14" s="70"/>
      <c r="N14" s="70"/>
      <c r="O14" s="70"/>
      <c r="P14" s="70"/>
      <c r="Q14" s="70"/>
      <c r="R14" s="70">
        <f>ROUND(4225.7*706.71,2)</f>
        <v>2986344.45</v>
      </c>
      <c r="S14" s="70"/>
      <c r="T14" s="70">
        <f>ROUND(4225.7*1135.41,2)</f>
        <v>4797902.04</v>
      </c>
      <c r="U14" s="70"/>
      <c r="V14" s="70">
        <f>ROUND((E14+G14+H14+I14+J14+L14+R14+T14)*1.5%,2)</f>
        <v>480614.24</v>
      </c>
      <c r="W14" s="70"/>
      <c r="X14" s="70"/>
      <c r="Y14" s="70"/>
      <c r="Z14" s="70"/>
      <c r="AA14" s="70">
        <f>D14</f>
        <v>32521563.59</v>
      </c>
      <c r="AB14" s="70"/>
      <c r="AC14" s="68">
        <v>2023</v>
      </c>
      <c r="AD14" s="68">
        <v>2023</v>
      </c>
      <c r="AE14" s="49"/>
      <c r="AF14" s="49"/>
    </row>
    <row r="15" spans="1:32" ht="21.75" customHeight="1" x14ac:dyDescent="0.25">
      <c r="A15" s="52">
        <v>3</v>
      </c>
      <c r="B15" s="43" t="s">
        <v>27</v>
      </c>
      <c r="C15" s="43"/>
      <c r="D15" s="70">
        <f>E15+G15+H15+I15+J15+L15+M15+N15+P15+Q15+R15+S15+T15+V15+U15+W15</f>
        <v>12028579.49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>
        <v>11181714.060000001</v>
      </c>
      <c r="R15" s="70"/>
      <c r="S15" s="70"/>
      <c r="T15" s="70"/>
      <c r="U15" s="70">
        <v>635996.76</v>
      </c>
      <c r="V15" s="70">
        <v>210868.67</v>
      </c>
      <c r="W15" s="70"/>
      <c r="X15" s="70"/>
      <c r="Y15" s="70">
        <f>Q15+U15+V15</f>
        <v>12028579.49</v>
      </c>
      <c r="Z15" s="70"/>
      <c r="AA15" s="70">
        <f>D15-Y15</f>
        <v>0</v>
      </c>
      <c r="AB15" s="70"/>
      <c r="AC15" s="68">
        <v>2022</v>
      </c>
      <c r="AD15" s="68">
        <v>2023</v>
      </c>
      <c r="AE15" s="49"/>
      <c r="AF15" s="49"/>
    </row>
    <row r="16" spans="1:32" ht="28.5" customHeight="1" x14ac:dyDescent="0.25">
      <c r="A16" s="156" t="s">
        <v>89</v>
      </c>
      <c r="B16" s="156"/>
      <c r="C16" s="43"/>
      <c r="D16" s="47">
        <f>D15+D14+D13</f>
        <v>113691237.11</v>
      </c>
      <c r="E16" s="47">
        <f t="shared" ref="E16:R16" si="0">SUM(E13:E15)</f>
        <v>2789849.4</v>
      </c>
      <c r="F16" s="47">
        <f t="shared" si="0"/>
        <v>0</v>
      </c>
      <c r="G16" s="47">
        <f t="shared" si="0"/>
        <v>0</v>
      </c>
      <c r="H16" s="47">
        <f t="shared" si="0"/>
        <v>2623441.33</v>
      </c>
      <c r="I16" s="47">
        <f t="shared" si="0"/>
        <v>2812710.43</v>
      </c>
      <c r="J16" s="47">
        <f t="shared" si="0"/>
        <v>13529550.460000001</v>
      </c>
      <c r="K16" s="47">
        <f t="shared" si="0"/>
        <v>1</v>
      </c>
      <c r="L16" s="47">
        <f t="shared" si="0"/>
        <v>2501151.2400000002</v>
      </c>
      <c r="M16" s="47">
        <f t="shared" si="0"/>
        <v>0</v>
      </c>
      <c r="N16" s="47">
        <f t="shared" si="0"/>
        <v>0</v>
      </c>
      <c r="O16" s="47">
        <f t="shared" si="0"/>
        <v>0</v>
      </c>
      <c r="P16" s="47">
        <f t="shared" si="0"/>
        <v>0</v>
      </c>
      <c r="Q16" s="47">
        <f t="shared" si="0"/>
        <v>39445916.469999999</v>
      </c>
      <c r="R16" s="47">
        <f t="shared" si="0"/>
        <v>2986344.45</v>
      </c>
      <c r="S16" s="47">
        <f>S13</f>
        <v>37794347.369999997</v>
      </c>
      <c r="T16" s="47">
        <f t="shared" ref="T16:AA16" si="1">SUM(T13:T15)</f>
        <v>4797902.04</v>
      </c>
      <c r="U16" s="47">
        <f t="shared" si="1"/>
        <v>2727662.76</v>
      </c>
      <c r="V16" s="47">
        <f t="shared" si="1"/>
        <v>1682361.16</v>
      </c>
      <c r="W16" s="47">
        <f t="shared" si="1"/>
        <v>0</v>
      </c>
      <c r="X16" s="47">
        <f t="shared" si="1"/>
        <v>0</v>
      </c>
      <c r="Y16" s="47">
        <f t="shared" si="1"/>
        <v>12028579.49</v>
      </c>
      <c r="Z16" s="47">
        <f t="shared" si="1"/>
        <v>0</v>
      </c>
      <c r="AA16" s="47">
        <f t="shared" si="1"/>
        <v>101662657.62</v>
      </c>
      <c r="AB16" s="47"/>
      <c r="AC16" s="71" t="s">
        <v>53</v>
      </c>
      <c r="AD16" s="71" t="s">
        <v>53</v>
      </c>
      <c r="AE16" s="49"/>
      <c r="AF16" s="49"/>
    </row>
    <row r="17" spans="1:32" x14ac:dyDescent="0.25">
      <c r="A17" s="153">
        <v>2024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49"/>
      <c r="AF17" s="49"/>
    </row>
    <row r="18" spans="1:32" ht="21.75" customHeight="1" x14ac:dyDescent="0.25">
      <c r="A18" s="52">
        <v>4</v>
      </c>
      <c r="B18" s="44" t="s">
        <v>102</v>
      </c>
      <c r="C18" s="58"/>
      <c r="D18" s="70">
        <f>Y18</f>
        <v>24243264.98</v>
      </c>
      <c r="E18" s="72"/>
      <c r="F18" s="72"/>
      <c r="G18" s="72"/>
      <c r="H18" s="73"/>
      <c r="I18" s="72"/>
      <c r="J18" s="72"/>
      <c r="K18" s="72"/>
      <c r="L18" s="72"/>
      <c r="M18" s="73"/>
      <c r="N18" s="73"/>
      <c r="O18" s="73"/>
      <c r="P18" s="73"/>
      <c r="Q18" s="72"/>
      <c r="R18" s="72"/>
      <c r="S18" s="63">
        <v>22591614.760000002</v>
      </c>
      <c r="T18" s="72"/>
      <c r="U18" s="54">
        <v>1312776</v>
      </c>
      <c r="V18" s="63">
        <v>338874.22</v>
      </c>
      <c r="W18" s="72"/>
      <c r="X18" s="72"/>
      <c r="Y18" s="63">
        <f>V18+U18+S18</f>
        <v>24243264.98</v>
      </c>
      <c r="Z18" s="72"/>
      <c r="AA18" s="72"/>
      <c r="AB18" s="72"/>
      <c r="AC18" s="68">
        <v>2024</v>
      </c>
      <c r="AD18" s="68">
        <v>2025</v>
      </c>
      <c r="AE18" s="57"/>
      <c r="AF18" s="57"/>
    </row>
    <row r="19" spans="1:32" ht="21.75" customHeight="1" x14ac:dyDescent="0.25">
      <c r="A19" s="52">
        <v>5</v>
      </c>
      <c r="B19" s="44" t="s">
        <v>11</v>
      </c>
      <c r="C19" s="42"/>
      <c r="D19" s="70">
        <f>E19+G19+H19+I19+J19+L19+M19+N19+P19+Q19+R19+S19+T19+V19+U19+W19</f>
        <v>14735539.25</v>
      </c>
      <c r="E19" s="70"/>
      <c r="F19" s="74"/>
      <c r="G19" s="70"/>
      <c r="H19" s="75"/>
      <c r="I19" s="76"/>
      <c r="J19" s="76"/>
      <c r="K19" s="77"/>
      <c r="L19" s="70"/>
      <c r="M19" s="78"/>
      <c r="N19" s="78"/>
      <c r="O19" s="78"/>
      <c r="P19" s="78"/>
      <c r="Q19" s="79"/>
      <c r="R19" s="70"/>
      <c r="S19" s="54">
        <f>ROUND(4225.7*3435.59,2)</f>
        <v>14517772.66</v>
      </c>
      <c r="T19" s="76"/>
      <c r="U19" s="79"/>
      <c r="V19" s="80">
        <f>S19*1.5%</f>
        <v>217766.59</v>
      </c>
      <c r="W19" s="79"/>
      <c r="X19" s="79"/>
      <c r="Y19" s="79"/>
      <c r="Z19" s="79"/>
      <c r="AA19" s="80">
        <f>D19</f>
        <v>14735539.25</v>
      </c>
      <c r="AB19" s="77"/>
      <c r="AC19" s="77">
        <v>2024</v>
      </c>
      <c r="AD19" s="77">
        <v>2024</v>
      </c>
      <c r="AE19" s="49"/>
      <c r="AF19" s="49"/>
    </row>
    <row r="20" spans="1:32" ht="21.75" customHeight="1" x14ac:dyDescent="0.25">
      <c r="A20" s="52">
        <v>6</v>
      </c>
      <c r="B20" s="44" t="s">
        <v>16</v>
      </c>
      <c r="C20" s="42"/>
      <c r="D20" s="70">
        <f t="shared" ref="D20:D23" si="2">E20+G20+H20+I20+J20+L20+M20+N20+P20+Q20+R20+S20+T20+V20+U20+W20</f>
        <v>21792379.010000002</v>
      </c>
      <c r="E20" s="79"/>
      <c r="F20" s="79"/>
      <c r="G20" s="77"/>
      <c r="H20" s="75"/>
      <c r="I20" s="77"/>
      <c r="J20" s="77"/>
      <c r="K20" s="77"/>
      <c r="L20" s="77"/>
      <c r="M20" s="78"/>
      <c r="N20" s="78"/>
      <c r="O20" s="78"/>
      <c r="P20" s="78"/>
      <c r="Q20" s="70">
        <f>ROUND(5569.2*3855.19,2)</f>
        <v>21470324.149999999</v>
      </c>
      <c r="R20" s="79"/>
      <c r="S20" s="79"/>
      <c r="T20" s="79"/>
      <c r="U20" s="79"/>
      <c r="V20" s="80">
        <f>Q20*1.5%</f>
        <v>322054.86</v>
      </c>
      <c r="W20" s="79"/>
      <c r="X20" s="79"/>
      <c r="Y20" s="79"/>
      <c r="Z20" s="79"/>
      <c r="AA20" s="80">
        <f t="shared" ref="AA20:AA22" si="3">D20</f>
        <v>21792379.010000002</v>
      </c>
      <c r="AB20" s="77"/>
      <c r="AC20" s="77">
        <v>2024</v>
      </c>
      <c r="AD20" s="77">
        <v>2024</v>
      </c>
      <c r="AE20" s="49"/>
      <c r="AF20" s="49"/>
    </row>
    <row r="21" spans="1:32" ht="21.75" customHeight="1" x14ac:dyDescent="0.25">
      <c r="A21" s="52">
        <v>7</v>
      </c>
      <c r="B21" s="44" t="s">
        <v>103</v>
      </c>
      <c r="C21" s="42"/>
      <c r="D21" s="70">
        <f>Q21+U21+V21</f>
        <v>12921006.1</v>
      </c>
      <c r="E21" s="70"/>
      <c r="F21" s="74"/>
      <c r="G21" s="70"/>
      <c r="H21" s="75"/>
      <c r="I21" s="76"/>
      <c r="J21" s="76"/>
      <c r="K21" s="77"/>
      <c r="L21" s="70"/>
      <c r="M21" s="78"/>
      <c r="N21" s="78"/>
      <c r="O21" s="78"/>
      <c r="P21" s="78"/>
      <c r="Q21" s="70">
        <v>10930494.84</v>
      </c>
      <c r="R21" s="70"/>
      <c r="S21" s="54"/>
      <c r="T21" s="76"/>
      <c r="U21" s="110">
        <f>765134.64+1061419.2</f>
        <v>1826553.84</v>
      </c>
      <c r="V21" s="80">
        <v>163957.42000000001</v>
      </c>
      <c r="W21" s="79"/>
      <c r="X21" s="79"/>
      <c r="Y21" s="80">
        <f>V21+U21+Q21</f>
        <v>12921006.1</v>
      </c>
      <c r="Z21" s="79"/>
      <c r="AA21" s="80"/>
      <c r="AB21" s="77"/>
      <c r="AC21" s="77">
        <v>2024</v>
      </c>
      <c r="AD21" s="77">
        <v>2025</v>
      </c>
      <c r="AE21" s="108"/>
      <c r="AF21" s="108"/>
    </row>
    <row r="22" spans="1:32" ht="21.75" customHeight="1" x14ac:dyDescent="0.25">
      <c r="A22" s="52">
        <v>8</v>
      </c>
      <c r="B22" s="46" t="s">
        <v>17</v>
      </c>
      <c r="C22" s="42"/>
      <c r="D22" s="70">
        <f t="shared" si="2"/>
        <v>5848870.3799999999</v>
      </c>
      <c r="E22" s="79"/>
      <c r="F22" s="79"/>
      <c r="G22" s="77"/>
      <c r="H22" s="75"/>
      <c r="I22" s="77"/>
      <c r="J22" s="77"/>
      <c r="K22" s="77"/>
      <c r="L22" s="77"/>
      <c r="M22" s="78"/>
      <c r="N22" s="78"/>
      <c r="O22" s="78"/>
      <c r="P22" s="78"/>
      <c r="Q22" s="70">
        <f>ROUND(1593.1*3617.12,2)</f>
        <v>5762433.8700000001</v>
      </c>
      <c r="R22" s="79"/>
      <c r="S22" s="79"/>
      <c r="T22" s="79"/>
      <c r="U22" s="79"/>
      <c r="V22" s="80">
        <f>Q22*1.5%</f>
        <v>86436.51</v>
      </c>
      <c r="W22" s="79"/>
      <c r="X22" s="79"/>
      <c r="Y22" s="79"/>
      <c r="Z22" s="79"/>
      <c r="AA22" s="80">
        <f t="shared" si="3"/>
        <v>5848870.3799999999</v>
      </c>
      <c r="AB22" s="77"/>
      <c r="AC22" s="77">
        <v>2024</v>
      </c>
      <c r="AD22" s="77">
        <v>2024</v>
      </c>
      <c r="AE22" s="49"/>
      <c r="AF22" s="49"/>
    </row>
    <row r="23" spans="1:32" ht="21.75" customHeight="1" x14ac:dyDescent="0.25">
      <c r="A23" s="52">
        <v>9</v>
      </c>
      <c r="B23" s="46" t="s">
        <v>18</v>
      </c>
      <c r="C23" s="42"/>
      <c r="D23" s="70">
        <f t="shared" si="2"/>
        <v>23798199.57</v>
      </c>
      <c r="E23" s="79"/>
      <c r="F23" s="79"/>
      <c r="G23" s="77"/>
      <c r="H23" s="75"/>
      <c r="I23" s="77"/>
      <c r="J23" s="77"/>
      <c r="K23" s="77"/>
      <c r="L23" s="77"/>
      <c r="M23" s="78"/>
      <c r="N23" s="78"/>
      <c r="O23" s="78"/>
      <c r="P23" s="78"/>
      <c r="Q23" s="82">
        <v>11196450.550000001</v>
      </c>
      <c r="R23" s="79"/>
      <c r="S23" s="70">
        <f>ROUND(1490.9*7721.3,2)</f>
        <v>11511686.17</v>
      </c>
      <c r="T23" s="79"/>
      <c r="U23" s="109">
        <v>749440.8</v>
      </c>
      <c r="V23" s="64">
        <f>172675.29+167946.76</f>
        <v>340622.05</v>
      </c>
      <c r="W23" s="79"/>
      <c r="X23" s="79"/>
      <c r="Y23" s="82">
        <v>12113838.109999999</v>
      </c>
      <c r="Z23" s="79"/>
      <c r="AA23" s="64">
        <f>D23-Y23</f>
        <v>11684361.460000001</v>
      </c>
      <c r="AB23" s="77"/>
      <c r="AC23" s="68">
        <v>2024</v>
      </c>
      <c r="AD23" s="68">
        <v>2025</v>
      </c>
      <c r="AE23" s="49"/>
      <c r="AF23" s="49"/>
    </row>
    <row r="24" spans="1:32" ht="21.75" customHeight="1" x14ac:dyDescent="0.25">
      <c r="A24" s="52">
        <v>10</v>
      </c>
      <c r="B24" s="65" t="s">
        <v>104</v>
      </c>
      <c r="C24" s="60"/>
      <c r="D24" s="81">
        <f>E24+G24+H24+I24+J24+L24+M24+N24+P24+Q24+R24+S24+T24+V24+U24+W24</f>
        <v>29430773.27</v>
      </c>
      <c r="E24" s="83"/>
      <c r="F24" s="83"/>
      <c r="G24" s="68"/>
      <c r="H24" s="84"/>
      <c r="I24" s="68"/>
      <c r="J24" s="68"/>
      <c r="K24" s="68"/>
      <c r="L24" s="68"/>
      <c r="M24" s="85"/>
      <c r="N24" s="85"/>
      <c r="O24" s="85"/>
      <c r="P24" s="85"/>
      <c r="Q24" s="81">
        <v>13869926.6</v>
      </c>
      <c r="R24" s="83"/>
      <c r="S24" s="81">
        <v>13397909.130000001</v>
      </c>
      <c r="T24" s="83"/>
      <c r="U24" s="109">
        <f>948229.2+805690.8</f>
        <v>1753920</v>
      </c>
      <c r="V24" s="82">
        <f>208048.9+200968.64</f>
        <v>409017.54</v>
      </c>
      <c r="W24" s="83"/>
      <c r="X24" s="83"/>
      <c r="Y24" s="64">
        <f>D24</f>
        <v>29430773.27</v>
      </c>
      <c r="Z24" s="83"/>
      <c r="AA24" s="64"/>
      <c r="AB24" s="68"/>
      <c r="AC24" s="68">
        <v>2024</v>
      </c>
      <c r="AD24" s="68">
        <v>2025</v>
      </c>
      <c r="AE24" s="57"/>
      <c r="AF24" s="57"/>
    </row>
    <row r="25" spans="1:32" ht="21.75" customHeight="1" x14ac:dyDescent="0.25">
      <c r="A25" s="52">
        <v>11</v>
      </c>
      <c r="B25" s="65" t="s">
        <v>105</v>
      </c>
      <c r="C25" s="60"/>
      <c r="D25" s="81">
        <f>E25+G25+H25+I25+J25+L25+M25+N25+P25+Q25+R25+S25+T25+V25+U25+W25</f>
        <v>25878589.239999998</v>
      </c>
      <c r="E25" s="83"/>
      <c r="F25" s="83"/>
      <c r="G25" s="68"/>
      <c r="H25" s="84"/>
      <c r="I25" s="68"/>
      <c r="J25" s="68"/>
      <c r="K25" s="68"/>
      <c r="L25" s="68"/>
      <c r="M25" s="85"/>
      <c r="N25" s="85"/>
      <c r="O25" s="85"/>
      <c r="P25" s="85"/>
      <c r="Q25" s="81">
        <v>11259817.52</v>
      </c>
      <c r="R25" s="83"/>
      <c r="S25" s="81">
        <v>12528730.699999999</v>
      </c>
      <c r="T25" s="83"/>
      <c r="U25" s="109">
        <f>939344.4+793868.4</f>
        <v>1733212.8</v>
      </c>
      <c r="V25" s="82">
        <f>168897.26+187930.96</f>
        <v>356828.22</v>
      </c>
      <c r="W25" s="83"/>
      <c r="X25" s="83"/>
      <c r="Y25" s="64">
        <f>D25</f>
        <v>25878589.239999998</v>
      </c>
      <c r="Z25" s="83"/>
      <c r="AA25" s="64"/>
      <c r="AB25" s="68"/>
      <c r="AC25" s="68">
        <v>2024</v>
      </c>
      <c r="AD25" s="68">
        <v>2025</v>
      </c>
      <c r="AE25" s="57"/>
      <c r="AF25" s="57"/>
    </row>
    <row r="26" spans="1:32" ht="21.75" customHeight="1" x14ac:dyDescent="0.25">
      <c r="A26" s="52">
        <v>12</v>
      </c>
      <c r="B26" s="66" t="s">
        <v>19</v>
      </c>
      <c r="C26" s="60"/>
      <c r="D26" s="81">
        <f t="shared" ref="D26:D28" si="4">E26+G26+H26+I26+J26+L26+M26+N26+P26+Q26+R26+S26+T26+V26+U26+W26</f>
        <v>41683775.170000002</v>
      </c>
      <c r="E26" s="83"/>
      <c r="F26" s="83"/>
      <c r="G26" s="68"/>
      <c r="H26" s="84"/>
      <c r="I26" s="68"/>
      <c r="J26" s="68"/>
      <c r="K26" s="68"/>
      <c r="L26" s="68"/>
      <c r="M26" s="85"/>
      <c r="N26" s="85"/>
      <c r="O26" s="85"/>
      <c r="P26" s="85"/>
      <c r="Q26" s="82">
        <v>24742613.68</v>
      </c>
      <c r="R26" s="86"/>
      <c r="S26" s="87">
        <f>ROUND(4215.4*3435.59,2)</f>
        <v>14482386.09</v>
      </c>
      <c r="T26" s="86"/>
      <c r="U26" s="109">
        <v>1870400.4</v>
      </c>
      <c r="V26" s="64">
        <f>217235.79+371139.21</f>
        <v>588375</v>
      </c>
      <c r="W26" s="83"/>
      <c r="X26" s="83"/>
      <c r="Y26" s="64">
        <v>26984153.289999999</v>
      </c>
      <c r="Z26" s="83"/>
      <c r="AA26" s="64">
        <f>D26-Y26</f>
        <v>14699621.880000001</v>
      </c>
      <c r="AB26" s="68"/>
      <c r="AC26" s="68">
        <v>2024</v>
      </c>
      <c r="AD26" s="68">
        <v>2025</v>
      </c>
      <c r="AE26" s="49"/>
      <c r="AF26" s="49"/>
    </row>
    <row r="27" spans="1:32" s="62" customFormat="1" ht="21.75" customHeight="1" x14ac:dyDescent="0.25">
      <c r="A27" s="52">
        <v>13</v>
      </c>
      <c r="B27" s="59" t="s">
        <v>100</v>
      </c>
      <c r="C27" s="67"/>
      <c r="D27" s="81">
        <f t="shared" si="4"/>
        <v>16674518.98</v>
      </c>
      <c r="E27" s="88"/>
      <c r="F27" s="88"/>
      <c r="G27" s="68"/>
      <c r="H27" s="84"/>
      <c r="I27" s="68"/>
      <c r="J27" s="68"/>
      <c r="K27" s="68"/>
      <c r="L27" s="68"/>
      <c r="M27" s="85"/>
      <c r="N27" s="85"/>
      <c r="O27" s="85"/>
      <c r="P27" s="85"/>
      <c r="Q27" s="81"/>
      <c r="R27" s="88"/>
      <c r="S27" s="111">
        <v>15402650.42</v>
      </c>
      <c r="T27" s="88"/>
      <c r="U27" s="70">
        <v>1041984</v>
      </c>
      <c r="V27" s="81">
        <v>229884.56</v>
      </c>
      <c r="W27" s="88"/>
      <c r="X27" s="88"/>
      <c r="Y27" s="64">
        <f t="shared" ref="Y27:Y28" si="5">D27</f>
        <v>16674518.98</v>
      </c>
      <c r="Z27" s="88"/>
      <c r="AA27" s="64"/>
      <c r="AB27" s="68"/>
      <c r="AC27" s="68">
        <v>2023</v>
      </c>
      <c r="AD27" s="68">
        <v>2024</v>
      </c>
      <c r="AE27" s="61"/>
      <c r="AF27" s="61"/>
    </row>
    <row r="28" spans="1:32" s="62" customFormat="1" ht="21.75" customHeight="1" x14ac:dyDescent="0.25">
      <c r="A28" s="52">
        <v>14</v>
      </c>
      <c r="B28" s="59" t="s">
        <v>101</v>
      </c>
      <c r="C28" s="67"/>
      <c r="D28" s="81">
        <f t="shared" si="4"/>
        <v>16682695.779999999</v>
      </c>
      <c r="E28" s="88"/>
      <c r="F28" s="88"/>
      <c r="G28" s="68"/>
      <c r="H28" s="84"/>
      <c r="I28" s="68"/>
      <c r="J28" s="68"/>
      <c r="K28" s="68"/>
      <c r="L28" s="68"/>
      <c r="M28" s="85"/>
      <c r="N28" s="85"/>
      <c r="O28" s="85"/>
      <c r="P28" s="85"/>
      <c r="Q28" s="81"/>
      <c r="R28" s="88"/>
      <c r="S28" s="111">
        <v>15402650.42</v>
      </c>
      <c r="T28" s="88"/>
      <c r="U28" s="70">
        <v>1050160.8</v>
      </c>
      <c r="V28" s="81">
        <v>229884.56</v>
      </c>
      <c r="W28" s="88"/>
      <c r="X28" s="88"/>
      <c r="Y28" s="64">
        <f t="shared" si="5"/>
        <v>16682695.779999999</v>
      </c>
      <c r="Z28" s="88"/>
      <c r="AA28" s="64"/>
      <c r="AB28" s="68"/>
      <c r="AC28" s="68">
        <v>2023</v>
      </c>
      <c r="AD28" s="68">
        <v>2024</v>
      </c>
      <c r="AE28" s="61"/>
      <c r="AF28" s="61"/>
    </row>
    <row r="29" spans="1:32" ht="21.75" customHeight="1" x14ac:dyDescent="0.25">
      <c r="A29" s="52">
        <v>15</v>
      </c>
      <c r="B29" s="48" t="s">
        <v>115</v>
      </c>
      <c r="C29" s="116"/>
      <c r="D29" s="70">
        <f>AA29</f>
        <v>11908514.18</v>
      </c>
      <c r="E29" s="117"/>
      <c r="F29" s="117"/>
      <c r="G29" s="77"/>
      <c r="H29" s="75"/>
      <c r="I29" s="77"/>
      <c r="J29" s="77"/>
      <c r="K29" s="77"/>
      <c r="L29" s="77"/>
      <c r="M29" s="78"/>
      <c r="N29" s="78"/>
      <c r="O29" s="78"/>
      <c r="P29" s="78"/>
      <c r="Q29" s="118">
        <v>11181703.460000001</v>
      </c>
      <c r="R29" s="117"/>
      <c r="S29" s="77"/>
      <c r="T29" s="117"/>
      <c r="U29" s="70">
        <v>559085.17000000004</v>
      </c>
      <c r="V29" s="80">
        <v>167725.54999999999</v>
      </c>
      <c r="W29" s="117"/>
      <c r="X29" s="117"/>
      <c r="Y29" s="80"/>
      <c r="Z29" s="117"/>
      <c r="AA29" s="80">
        <f>Q29+U29+V29</f>
        <v>11908514.18</v>
      </c>
      <c r="AB29" s="77"/>
      <c r="AC29" s="77">
        <v>2024</v>
      </c>
      <c r="AD29" s="77">
        <v>2025</v>
      </c>
      <c r="AE29" s="108"/>
      <c r="AF29" s="108"/>
    </row>
    <row r="30" spans="1:32" ht="21.75" customHeight="1" x14ac:dyDescent="0.25">
      <c r="A30" s="52">
        <v>16</v>
      </c>
      <c r="B30" s="48" t="s">
        <v>116</v>
      </c>
      <c r="C30" s="116"/>
      <c r="D30" s="70">
        <f>AA30</f>
        <v>11928362.51</v>
      </c>
      <c r="E30" s="117"/>
      <c r="F30" s="117"/>
      <c r="G30" s="77"/>
      <c r="H30" s="75"/>
      <c r="I30" s="77"/>
      <c r="J30" s="77"/>
      <c r="K30" s="77"/>
      <c r="L30" s="77"/>
      <c r="M30" s="78"/>
      <c r="N30" s="78"/>
      <c r="O30" s="78"/>
      <c r="P30" s="78"/>
      <c r="Q30" s="118">
        <v>11200340.380000001</v>
      </c>
      <c r="R30" s="117"/>
      <c r="S30" s="77"/>
      <c r="T30" s="117"/>
      <c r="U30" s="70">
        <v>560017.02</v>
      </c>
      <c r="V30" s="80">
        <v>168005.11</v>
      </c>
      <c r="W30" s="117"/>
      <c r="X30" s="117"/>
      <c r="Y30" s="80"/>
      <c r="Z30" s="117"/>
      <c r="AA30" s="80">
        <f>SUM(Q30:V30)</f>
        <v>11928362.51</v>
      </c>
      <c r="AB30" s="77"/>
      <c r="AC30" s="77">
        <v>2024</v>
      </c>
      <c r="AD30" s="77">
        <v>2025</v>
      </c>
      <c r="AE30" s="108"/>
      <c r="AF30" s="108"/>
    </row>
    <row r="31" spans="1:32" ht="21.75" customHeight="1" x14ac:dyDescent="0.25">
      <c r="A31" s="52">
        <v>17</v>
      </c>
      <c r="B31" s="48" t="s">
        <v>118</v>
      </c>
      <c r="C31" s="116"/>
      <c r="D31" s="70">
        <f>AA31</f>
        <v>11849441.83</v>
      </c>
      <c r="E31" s="117"/>
      <c r="F31" s="117"/>
      <c r="G31" s="77"/>
      <c r="H31" s="75"/>
      <c r="I31" s="77"/>
      <c r="J31" s="77"/>
      <c r="K31" s="77"/>
      <c r="L31" s="77"/>
      <c r="M31" s="78"/>
      <c r="N31" s="78"/>
      <c r="O31" s="78"/>
      <c r="P31" s="78"/>
      <c r="Q31" s="70">
        <v>11126236.460000001</v>
      </c>
      <c r="R31" s="117"/>
      <c r="S31" s="77"/>
      <c r="T31" s="117"/>
      <c r="U31" s="70">
        <v>556311.81999999995</v>
      </c>
      <c r="V31" s="70">
        <v>166893.54999999999</v>
      </c>
      <c r="W31" s="117"/>
      <c r="X31" s="117"/>
      <c r="Y31" s="80"/>
      <c r="Z31" s="119"/>
      <c r="AA31" s="80">
        <f>Q31+U31+V31</f>
        <v>11849441.83</v>
      </c>
      <c r="AB31" s="77"/>
      <c r="AC31" s="77">
        <v>2024</v>
      </c>
      <c r="AD31" s="77">
        <v>2025</v>
      </c>
      <c r="AE31" s="108"/>
      <c r="AF31" s="108"/>
    </row>
    <row r="32" spans="1:32" ht="21.75" customHeight="1" x14ac:dyDescent="0.25">
      <c r="A32" s="52">
        <v>18</v>
      </c>
      <c r="B32" s="48" t="s">
        <v>119</v>
      </c>
      <c r="C32" s="116"/>
      <c r="D32" s="70">
        <f>AA32</f>
        <v>11944902.77</v>
      </c>
      <c r="E32" s="117"/>
      <c r="F32" s="117"/>
      <c r="G32" s="77"/>
      <c r="H32" s="75"/>
      <c r="I32" s="77"/>
      <c r="J32" s="77"/>
      <c r="K32" s="77"/>
      <c r="L32" s="77"/>
      <c r="M32" s="78"/>
      <c r="N32" s="78"/>
      <c r="O32" s="78"/>
      <c r="P32" s="78"/>
      <c r="Q32" s="70">
        <v>11215871.140000001</v>
      </c>
      <c r="R32" s="117"/>
      <c r="S32" s="77"/>
      <c r="T32" s="117"/>
      <c r="U32" s="70">
        <v>560793.56000000006</v>
      </c>
      <c r="V32" s="70">
        <v>168238.07</v>
      </c>
      <c r="W32" s="117"/>
      <c r="X32" s="117"/>
      <c r="Y32" s="80"/>
      <c r="Z32" s="117"/>
      <c r="AA32" s="80">
        <f>V32+U32+Q32</f>
        <v>11944902.77</v>
      </c>
      <c r="AB32" s="77"/>
      <c r="AC32" s="77">
        <v>2024</v>
      </c>
      <c r="AD32" s="77">
        <v>2025</v>
      </c>
      <c r="AE32" s="108"/>
      <c r="AF32" s="108"/>
    </row>
    <row r="33" spans="1:32" ht="21.75" customHeight="1" x14ac:dyDescent="0.25">
      <c r="A33" s="156" t="s">
        <v>90</v>
      </c>
      <c r="B33" s="156"/>
      <c r="C33" s="45"/>
      <c r="D33" s="120">
        <f>SUM(D18:D32)</f>
        <v>281320833.01999998</v>
      </c>
      <c r="E33" s="120">
        <f t="shared" ref="E33:R33" si="6">SUM(E19:E26)</f>
        <v>0</v>
      </c>
      <c r="F33" s="120">
        <f t="shared" si="6"/>
        <v>0</v>
      </c>
      <c r="G33" s="120">
        <f t="shared" si="6"/>
        <v>0</v>
      </c>
      <c r="H33" s="47">
        <f t="shared" si="6"/>
        <v>0</v>
      </c>
      <c r="I33" s="120">
        <f t="shared" si="6"/>
        <v>0</v>
      </c>
      <c r="J33" s="120">
        <f t="shared" si="6"/>
        <v>0</v>
      </c>
      <c r="K33" s="120">
        <f t="shared" si="6"/>
        <v>0</v>
      </c>
      <c r="L33" s="120">
        <f t="shared" si="6"/>
        <v>0</v>
      </c>
      <c r="M33" s="120">
        <f t="shared" si="6"/>
        <v>0</v>
      </c>
      <c r="N33" s="120">
        <f t="shared" si="6"/>
        <v>0</v>
      </c>
      <c r="O33" s="120">
        <f t="shared" si="6"/>
        <v>0</v>
      </c>
      <c r="P33" s="120">
        <f t="shared" si="6"/>
        <v>0</v>
      </c>
      <c r="Q33" s="120">
        <f>SUM(Q18:Q32)</f>
        <v>143956212.65000001</v>
      </c>
      <c r="R33" s="120">
        <f t="shared" si="6"/>
        <v>0</v>
      </c>
      <c r="S33" s="120">
        <f>SUM(S18:S32)</f>
        <v>119835400.34999999</v>
      </c>
      <c r="T33" s="120">
        <f>SUM(T19:T26)</f>
        <v>0</v>
      </c>
      <c r="U33" s="120">
        <f>SUM(U18:U32)</f>
        <v>13574656.210000001</v>
      </c>
      <c r="V33" s="120">
        <f>SUM(V18:V32)</f>
        <v>3954563.81</v>
      </c>
      <c r="W33" s="120">
        <f>SUM(W19:W26)</f>
        <v>0</v>
      </c>
      <c r="X33" s="120">
        <f>SUM(X19:X26)</f>
        <v>0</v>
      </c>
      <c r="Y33" s="120">
        <f>SUM(Y18:Y32)</f>
        <v>164928839.75</v>
      </c>
      <c r="Z33" s="120">
        <f>SUM(Z19:Z26)</f>
        <v>0</v>
      </c>
      <c r="AA33" s="120">
        <f>SUM(AA18:AA32)</f>
        <v>116391993.27</v>
      </c>
      <c r="AB33" s="113"/>
      <c r="AC33" s="90" t="s">
        <v>53</v>
      </c>
      <c r="AD33" s="90" t="s">
        <v>53</v>
      </c>
      <c r="AE33" s="49"/>
      <c r="AF33" s="49"/>
    </row>
    <row r="34" spans="1:32" x14ac:dyDescent="0.25">
      <c r="A34" s="153">
        <v>2025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49"/>
      <c r="AF34" s="49"/>
    </row>
    <row r="35" spans="1:32" ht="21.75" customHeight="1" x14ac:dyDescent="0.25">
      <c r="A35" s="52">
        <v>19</v>
      </c>
      <c r="B35" s="46" t="s">
        <v>22</v>
      </c>
      <c r="C35" s="42"/>
      <c r="D35" s="70">
        <f>E35+G35+H35+I35+J35+L35+M35+N35+P35+Q35+R35+S35+T35+V35+U35+W35</f>
        <v>6368231.4199999999</v>
      </c>
      <c r="E35" s="70"/>
      <c r="F35" s="74"/>
      <c r="G35" s="70"/>
      <c r="H35" s="75"/>
      <c r="I35" s="76"/>
      <c r="J35" s="76"/>
      <c r="K35" s="77"/>
      <c r="L35" s="70"/>
      <c r="M35" s="78"/>
      <c r="N35" s="78"/>
      <c r="O35" s="78"/>
      <c r="P35" s="78"/>
      <c r="Q35" s="79"/>
      <c r="R35" s="70">
        <f>ROUND(3210.5*1954.25,2)</f>
        <v>6274119.6299999999</v>
      </c>
      <c r="S35" s="54"/>
      <c r="T35" s="76"/>
      <c r="U35" s="79"/>
      <c r="V35" s="80">
        <f>ROUND((E35+G35+H35+I35+J35+L35+M35+N35+P35+Q35+R35+S35+T35)*1.5%,2)</f>
        <v>94111.79</v>
      </c>
      <c r="W35" s="79"/>
      <c r="X35" s="79"/>
      <c r="Y35" s="79"/>
      <c r="Z35" s="79"/>
      <c r="AA35" s="80">
        <f>D35</f>
        <v>6368231.4199999999</v>
      </c>
      <c r="AB35" s="77"/>
      <c r="AC35" s="77">
        <v>2025</v>
      </c>
      <c r="AD35" s="77">
        <v>2025</v>
      </c>
      <c r="AE35" s="49"/>
      <c r="AF35" s="49"/>
    </row>
    <row r="36" spans="1:32" ht="24.75" customHeight="1" x14ac:dyDescent="0.25">
      <c r="A36" s="52">
        <v>20</v>
      </c>
      <c r="B36" s="48" t="s">
        <v>23</v>
      </c>
      <c r="C36" s="42"/>
      <c r="D36" s="70">
        <f t="shared" ref="D36:D39" si="7">E36+G36+H36+I36+J36+L36+M36+N36+P36+Q36+R36+S36+T36+V36+U36+W36</f>
        <v>6992663.7300000004</v>
      </c>
      <c r="E36" s="79"/>
      <c r="F36" s="79"/>
      <c r="G36" s="77"/>
      <c r="H36" s="75"/>
      <c r="I36" s="77"/>
      <c r="J36" s="77"/>
      <c r="K36" s="77"/>
      <c r="L36" s="77"/>
      <c r="M36" s="78"/>
      <c r="N36" s="78"/>
      <c r="O36" s="78"/>
      <c r="P36" s="78"/>
      <c r="Q36" s="70"/>
      <c r="R36" s="70">
        <f>ROUND(2229.8*1954.25,2)</f>
        <v>4357586.6500000004</v>
      </c>
      <c r="S36" s="79"/>
      <c r="T36" s="70">
        <f>ROUND(2229.8*1135.41,2)</f>
        <v>2531737.2200000002</v>
      </c>
      <c r="U36" s="79"/>
      <c r="V36" s="80">
        <f t="shared" ref="V36:V39" si="8">ROUND((E36+G36+H36+I36+J36+L36+M36+N36+P36+Q36+R36+S36+T36)*1.5%,2)</f>
        <v>103339.86</v>
      </c>
      <c r="W36" s="79"/>
      <c r="X36" s="79"/>
      <c r="Y36" s="79"/>
      <c r="Z36" s="79"/>
      <c r="AA36" s="80">
        <f t="shared" ref="AA36:AA39" si="9">D36</f>
        <v>6992663.7300000004</v>
      </c>
      <c r="AB36" s="77"/>
      <c r="AC36" s="77">
        <v>2025</v>
      </c>
      <c r="AD36" s="77">
        <v>2025</v>
      </c>
      <c r="AE36" s="49"/>
      <c r="AF36" s="49"/>
    </row>
    <row r="37" spans="1:32" ht="24.75" customHeight="1" x14ac:dyDescent="0.25">
      <c r="A37" s="52">
        <v>21</v>
      </c>
      <c r="B37" s="44" t="s">
        <v>24</v>
      </c>
      <c r="C37" s="42"/>
      <c r="D37" s="70">
        <f t="shared" si="7"/>
        <v>34011334.740000002</v>
      </c>
      <c r="E37" s="70">
        <f>ROUND(3301.4*589.88,2)</f>
        <v>1947429.83</v>
      </c>
      <c r="F37" s="77"/>
      <c r="G37" s="70"/>
      <c r="H37" s="75">
        <f>ROUND(3301.4*596.38,2)</f>
        <v>1968888.93</v>
      </c>
      <c r="I37" s="70">
        <f>ROUND(3301.4*1074.75,2)</f>
        <v>3548179.65</v>
      </c>
      <c r="J37" s="70">
        <f>ROUND(3301.4*871.5,2)</f>
        <v>2877170.1</v>
      </c>
      <c r="K37" s="77">
        <v>1</v>
      </c>
      <c r="L37" s="70">
        <v>2501151.2400000002</v>
      </c>
      <c r="M37" s="78"/>
      <c r="N37" s="78"/>
      <c r="O37" s="78"/>
      <c r="P37" s="78"/>
      <c r="Q37" s="70"/>
      <c r="R37" s="70">
        <f>ROUND(3301.4*1954.25,2)</f>
        <v>6451760.9500000002</v>
      </c>
      <c r="S37" s="70">
        <f>ROUND(3301.4*2647.87,2)</f>
        <v>8741678.0199999996</v>
      </c>
      <c r="T37" s="70">
        <f>ROUND(3301.4*1135.41,2)</f>
        <v>3748442.57</v>
      </c>
      <c r="U37" s="70">
        <f>1305714.03+444148.9</f>
        <v>1749862.93</v>
      </c>
      <c r="V37" s="80">
        <f t="shared" si="8"/>
        <v>476770.52</v>
      </c>
      <c r="W37" s="79"/>
      <c r="X37" s="79"/>
      <c r="Y37" s="79"/>
      <c r="Z37" s="79"/>
      <c r="AA37" s="80">
        <f t="shared" si="9"/>
        <v>34011334.740000002</v>
      </c>
      <c r="AB37" s="77"/>
      <c r="AC37" s="77">
        <v>2025</v>
      </c>
      <c r="AD37" s="77">
        <v>2025</v>
      </c>
      <c r="AE37" s="49"/>
      <c r="AF37" s="49"/>
    </row>
    <row r="38" spans="1:32" ht="24.75" customHeight="1" x14ac:dyDescent="0.25">
      <c r="A38" s="52">
        <v>22</v>
      </c>
      <c r="B38" s="44" t="s">
        <v>25</v>
      </c>
      <c r="C38" s="42"/>
      <c r="D38" s="70">
        <f t="shared" si="7"/>
        <v>3305643.58</v>
      </c>
      <c r="E38" s="79"/>
      <c r="F38" s="79"/>
      <c r="G38" s="77"/>
      <c r="H38" s="75"/>
      <c r="I38" s="77"/>
      <c r="J38" s="70"/>
      <c r="K38" s="77"/>
      <c r="L38" s="70"/>
      <c r="M38" s="75">
        <f>ROUND(690.32*4717.8,2)</f>
        <v>3256791.7</v>
      </c>
      <c r="N38" s="78"/>
      <c r="O38" s="78"/>
      <c r="P38" s="78"/>
      <c r="Q38" s="79"/>
      <c r="R38" s="79"/>
      <c r="S38" s="70"/>
      <c r="T38" s="79"/>
      <c r="U38" s="79"/>
      <c r="V38" s="80">
        <f t="shared" si="8"/>
        <v>48851.88</v>
      </c>
      <c r="W38" s="79"/>
      <c r="X38" s="79"/>
      <c r="Y38" s="79"/>
      <c r="Z38" s="79"/>
      <c r="AA38" s="80">
        <f t="shared" si="9"/>
        <v>3305643.58</v>
      </c>
      <c r="AB38" s="77"/>
      <c r="AC38" s="77">
        <v>2025</v>
      </c>
      <c r="AD38" s="77">
        <v>2025</v>
      </c>
      <c r="AE38" s="49"/>
      <c r="AF38" s="49"/>
    </row>
    <row r="39" spans="1:32" ht="24.75" customHeight="1" x14ac:dyDescent="0.25">
      <c r="A39" s="52">
        <v>23</v>
      </c>
      <c r="B39" s="48" t="s">
        <v>19</v>
      </c>
      <c r="C39" s="42"/>
      <c r="D39" s="70">
        <f t="shared" si="7"/>
        <v>6267495.4299999997</v>
      </c>
      <c r="E39" s="79"/>
      <c r="F39" s="79"/>
      <c r="G39" s="77"/>
      <c r="H39" s="75"/>
      <c r="I39" s="77"/>
      <c r="J39" s="70">
        <f>ROUND(4215.4*871.5,2)</f>
        <v>3673721.1</v>
      </c>
      <c r="K39" s="77">
        <v>1</v>
      </c>
      <c r="L39" s="70">
        <v>2501151.2400000002</v>
      </c>
      <c r="M39" s="78"/>
      <c r="N39" s="78"/>
      <c r="O39" s="78"/>
      <c r="P39" s="78"/>
      <c r="Q39" s="79"/>
      <c r="R39" s="79"/>
      <c r="S39" s="70"/>
      <c r="T39" s="79"/>
      <c r="U39" s="79"/>
      <c r="V39" s="80">
        <f t="shared" si="8"/>
        <v>92623.09</v>
      </c>
      <c r="W39" s="79"/>
      <c r="X39" s="79"/>
      <c r="Y39" s="79"/>
      <c r="Z39" s="79"/>
      <c r="AA39" s="80">
        <f t="shared" si="9"/>
        <v>6267495.4299999997</v>
      </c>
      <c r="AB39" s="77"/>
      <c r="AC39" s="77">
        <v>2025</v>
      </c>
      <c r="AD39" s="77">
        <v>2025</v>
      </c>
      <c r="AE39" s="49"/>
      <c r="AF39" s="49"/>
    </row>
    <row r="40" spans="1:32" ht="21.75" customHeight="1" x14ac:dyDescent="0.25">
      <c r="A40" s="156" t="s">
        <v>91</v>
      </c>
      <c r="B40" s="156"/>
      <c r="C40" s="45"/>
      <c r="D40" s="89">
        <f>SUM(D35:D39)</f>
        <v>56945368.899999999</v>
      </c>
      <c r="E40" s="89">
        <f t="shared" ref="E40:Z40" si="10">SUM(E35:E39)</f>
        <v>1947429.83</v>
      </c>
      <c r="F40" s="89">
        <f t="shared" si="10"/>
        <v>0</v>
      </c>
      <c r="G40" s="89">
        <f t="shared" si="10"/>
        <v>0</v>
      </c>
      <c r="H40" s="71">
        <f t="shared" si="10"/>
        <v>1968888.93</v>
      </c>
      <c r="I40" s="89">
        <f t="shared" si="10"/>
        <v>3548179.65</v>
      </c>
      <c r="J40" s="89">
        <f t="shared" si="10"/>
        <v>6550891.2000000002</v>
      </c>
      <c r="K40" s="112">
        <f>K39+K37</f>
        <v>2</v>
      </c>
      <c r="L40" s="89">
        <f t="shared" si="10"/>
        <v>5002302.4800000004</v>
      </c>
      <c r="M40" s="89">
        <f t="shared" si="10"/>
        <v>3256791.7</v>
      </c>
      <c r="N40" s="89">
        <f t="shared" si="10"/>
        <v>0</v>
      </c>
      <c r="O40" s="89">
        <f t="shared" si="10"/>
        <v>0</v>
      </c>
      <c r="P40" s="89">
        <f t="shared" si="10"/>
        <v>0</v>
      </c>
      <c r="Q40" s="89">
        <f t="shared" si="10"/>
        <v>0</v>
      </c>
      <c r="R40" s="89">
        <f t="shared" si="10"/>
        <v>17083467.23</v>
      </c>
      <c r="S40" s="89">
        <f t="shared" si="10"/>
        <v>8741678.0199999996</v>
      </c>
      <c r="T40" s="89">
        <f t="shared" si="10"/>
        <v>6280179.79</v>
      </c>
      <c r="U40" s="89">
        <f t="shared" si="10"/>
        <v>1749862.93</v>
      </c>
      <c r="V40" s="89">
        <f t="shared" si="10"/>
        <v>815697.14</v>
      </c>
      <c r="W40" s="89">
        <f t="shared" si="10"/>
        <v>0</v>
      </c>
      <c r="X40" s="89">
        <f t="shared" si="10"/>
        <v>0</v>
      </c>
      <c r="Y40" s="89">
        <f t="shared" si="10"/>
        <v>0</v>
      </c>
      <c r="Z40" s="89">
        <f t="shared" si="10"/>
        <v>0</v>
      </c>
      <c r="AA40" s="89">
        <f>SUM(AA35:AA39)</f>
        <v>56945368.899999999</v>
      </c>
      <c r="AB40" s="90"/>
      <c r="AC40" s="90" t="s">
        <v>53</v>
      </c>
      <c r="AD40" s="90" t="s">
        <v>53</v>
      </c>
      <c r="AE40" s="49"/>
      <c r="AF40" s="49"/>
    </row>
    <row r="42" spans="1:32" x14ac:dyDescent="0.25">
      <c r="A42" s="145" t="s">
        <v>92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Y42" s="154" t="s">
        <v>114</v>
      </c>
      <c r="Z42" s="154"/>
      <c r="AA42" s="154"/>
      <c r="AB42" s="154"/>
      <c r="AC42" s="154"/>
      <c r="AD42" s="154"/>
    </row>
    <row r="43" spans="1:32" x14ac:dyDescent="0.25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35"/>
    </row>
    <row r="44" spans="1:32" x14ac:dyDescent="0.25">
      <c r="A44" s="145" t="s">
        <v>93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</row>
    <row r="45" spans="1:32" x14ac:dyDescent="0.25">
      <c r="A45" s="145" t="s">
        <v>94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</row>
    <row r="46" spans="1:32" x14ac:dyDescent="0.25">
      <c r="A46" s="145" t="s">
        <v>95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</row>
    <row r="47" spans="1:32" x14ac:dyDescent="0.25">
      <c r="A47" s="145" t="s">
        <v>96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</row>
    <row r="48" spans="1:32" x14ac:dyDescent="0.25">
      <c r="A48" s="145" t="s">
        <v>97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49" spans="1:18" x14ac:dyDescent="0.25">
      <c r="A49" s="145" t="s">
        <v>98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</row>
    <row r="50" spans="1:18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</row>
    <row r="51" spans="1:18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</row>
    <row r="52" spans="1:18" x14ac:dyDescent="0.25">
      <c r="A52" s="146"/>
      <c r="B52" s="146"/>
      <c r="C52" s="146"/>
      <c r="D52" s="146"/>
      <c r="E52" s="146"/>
      <c r="F52" s="146"/>
      <c r="G52" s="146"/>
      <c r="H52" s="147"/>
      <c r="I52" s="146"/>
      <c r="J52" s="146"/>
      <c r="K52" s="146"/>
      <c r="L52" s="146"/>
      <c r="M52" s="146"/>
      <c r="N52" s="146"/>
      <c r="O52" s="146"/>
      <c r="P52" s="146"/>
    </row>
    <row r="53" spans="1:18" x14ac:dyDescent="0.25">
      <c r="A53" s="148"/>
      <c r="B53" s="148"/>
      <c r="C53" s="148"/>
      <c r="D53" s="148"/>
      <c r="E53" s="148"/>
      <c r="F53" s="148"/>
      <c r="G53" s="148"/>
      <c r="H53" s="149"/>
      <c r="I53" s="148"/>
      <c r="J53" s="148"/>
      <c r="K53" s="148"/>
      <c r="L53" s="148"/>
      <c r="M53" s="148"/>
      <c r="N53" s="148"/>
      <c r="O53" s="148"/>
      <c r="P53" s="148"/>
    </row>
    <row r="54" spans="1:18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</row>
  </sheetData>
  <mergeCells count="50">
    <mergeCell ref="AE2:AE4"/>
    <mergeCell ref="A33:B33"/>
    <mergeCell ref="AF2:AF4"/>
    <mergeCell ref="A3:AD3"/>
    <mergeCell ref="A4:AD4"/>
    <mergeCell ref="A5:A9"/>
    <mergeCell ref="B5:B9"/>
    <mergeCell ref="C5:C8"/>
    <mergeCell ref="D5:W5"/>
    <mergeCell ref="X5:AB6"/>
    <mergeCell ref="E6:N7"/>
    <mergeCell ref="O6:P8"/>
    <mergeCell ref="Q6:Q8"/>
    <mergeCell ref="R6:R8"/>
    <mergeCell ref="Z7:Z8"/>
    <mergeCell ref="AD5:AD9"/>
    <mergeCell ref="A2:AD2"/>
    <mergeCell ref="A17:AD17"/>
    <mergeCell ref="A40:B40"/>
    <mergeCell ref="S6:S8"/>
    <mergeCell ref="AA7:AA8"/>
    <mergeCell ref="AB7:AB8"/>
    <mergeCell ref="F8:G8"/>
    <mergeCell ref="K8:L8"/>
    <mergeCell ref="A12:AD12"/>
    <mergeCell ref="A16:B16"/>
    <mergeCell ref="U7:U8"/>
    <mergeCell ref="V7:V8"/>
    <mergeCell ref="W7:W8"/>
    <mergeCell ref="X7:X8"/>
    <mergeCell ref="A11:B11"/>
    <mergeCell ref="AC5:AC9"/>
    <mergeCell ref="T6:T8"/>
    <mergeCell ref="D6:D8"/>
    <mergeCell ref="Y7:Y8"/>
    <mergeCell ref="A42:P43"/>
    <mergeCell ref="U6:W6"/>
    <mergeCell ref="A34:AD34"/>
    <mergeCell ref="Y42:AD42"/>
    <mergeCell ref="A44:P44"/>
    <mergeCell ref="A51:P51"/>
    <mergeCell ref="A52:P52"/>
    <mergeCell ref="A53:P53"/>
    <mergeCell ref="A54:P54"/>
    <mergeCell ref="A45:P45"/>
    <mergeCell ref="A46:P46"/>
    <mergeCell ref="A47:P47"/>
    <mergeCell ref="A48:P48"/>
    <mergeCell ref="A49:P49"/>
    <mergeCell ref="A50:R50"/>
  </mergeCells>
  <pageMargins left="0.32" right="0.22" top="0.74803149606299213" bottom="0.74803149606299213" header="0.31496062992125984" footer="0.31496062992125984"/>
  <pageSetup paperSize="9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ФОРМА1</vt:lpstr>
      <vt:lpstr>ФОРМА2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2024-04-22T08:55:07Z</dcterms:modified>
</cp:coreProperties>
</file>