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ФОРМА1" sheetId="1" r:id="rId1"/>
    <sheet name="ФОРМА2" sheetId="2" r:id="rId2"/>
    <sheet name="Лист3" sheetId="3" r:id="rId3"/>
  </sheets>
  <externalReferences>
    <externalReference r:id="rId4"/>
  </externalReferences>
  <calcPr calcId="152511" fullPrecision="0"/>
</workbook>
</file>

<file path=xl/calcChain.xml><?xml version="1.0" encoding="utf-8"?>
<calcChain xmlns="http://schemas.openxmlformats.org/spreadsheetml/2006/main">
  <c r="D13" i="2" l="1"/>
  <c r="V13" i="2"/>
  <c r="R11" i="2" l="1"/>
  <c r="K11" i="2"/>
  <c r="Y15" i="2"/>
  <c r="D15" i="2"/>
  <c r="AA13" i="2"/>
  <c r="Z30" i="2"/>
  <c r="Y30" i="2"/>
  <c r="X30" i="2"/>
  <c r="W30" i="2"/>
  <c r="Q30" i="2"/>
  <c r="P30" i="2"/>
  <c r="O30" i="2"/>
  <c r="N30" i="2"/>
  <c r="L30" i="2"/>
  <c r="K30" i="2"/>
  <c r="G30" i="2"/>
  <c r="F30" i="2"/>
  <c r="J29" i="2"/>
  <c r="V29" i="2" s="1"/>
  <c r="D29" i="2" s="1"/>
  <c r="AA29" i="2" s="1"/>
  <c r="M28" i="2"/>
  <c r="V28" i="2" s="1"/>
  <c r="D28" i="2" s="1"/>
  <c r="AA28" i="2" s="1"/>
  <c r="U27" i="2"/>
  <c r="U30" i="2" s="1"/>
  <c r="T27" i="2"/>
  <c r="S27" i="2"/>
  <c r="S30" i="2" s="1"/>
  <c r="R27" i="2"/>
  <c r="J27" i="2"/>
  <c r="J30" i="2" s="1"/>
  <c r="I27" i="2"/>
  <c r="I30" i="2" s="1"/>
  <c r="H27" i="2"/>
  <c r="H30" i="2" s="1"/>
  <c r="E27" i="2"/>
  <c r="T26" i="2"/>
  <c r="R26" i="2"/>
  <c r="R25" i="2"/>
  <c r="R30" i="2" s="1"/>
  <c r="Z23" i="2"/>
  <c r="Y23" i="2"/>
  <c r="X23" i="2"/>
  <c r="W23" i="2"/>
  <c r="U23" i="2"/>
  <c r="T23" i="2"/>
  <c r="R23" i="2"/>
  <c r="P23" i="2"/>
  <c r="O23" i="2"/>
  <c r="N23" i="2"/>
  <c r="M23" i="2"/>
  <c r="L23" i="2"/>
  <c r="K23" i="2"/>
  <c r="J23" i="2"/>
  <c r="I23" i="2"/>
  <c r="H23" i="2"/>
  <c r="G23" i="2"/>
  <c r="F23" i="2"/>
  <c r="E23" i="2"/>
  <c r="S22" i="2"/>
  <c r="V22" i="2" s="1"/>
  <c r="D22" i="2" s="1"/>
  <c r="AA22" i="2" s="1"/>
  <c r="S21" i="2"/>
  <c r="V21" i="2" s="1"/>
  <c r="D21" i="2" s="1"/>
  <c r="AA21" i="2" s="1"/>
  <c r="Q20" i="2"/>
  <c r="V20" i="2" s="1"/>
  <c r="D20" i="2" s="1"/>
  <c r="AA20" i="2" s="1"/>
  <c r="Q19" i="2"/>
  <c r="V19" i="2" s="1"/>
  <c r="D19" i="2" s="1"/>
  <c r="AA19" i="2" s="1"/>
  <c r="S18" i="2"/>
  <c r="S23" i="2" s="1"/>
  <c r="Z16" i="2"/>
  <c r="X16" i="2"/>
  <c r="W16" i="2"/>
  <c r="U16" i="2"/>
  <c r="U11" i="2" s="1"/>
  <c r="S16" i="2"/>
  <c r="S11" i="2" s="1"/>
  <c r="Q16" i="2"/>
  <c r="P16" i="2"/>
  <c r="O16" i="2"/>
  <c r="N16" i="2"/>
  <c r="M16" i="2"/>
  <c r="L16" i="2"/>
  <c r="L11" i="2" s="1"/>
  <c r="K16" i="2"/>
  <c r="I16" i="2"/>
  <c r="I11" i="2" s="1"/>
  <c r="G16" i="2"/>
  <c r="F16" i="2"/>
  <c r="T14" i="2"/>
  <c r="T16" i="2" s="1"/>
  <c r="R14" i="2"/>
  <c r="R16" i="2" s="1"/>
  <c r="J14" i="2"/>
  <c r="J16" i="2" s="1"/>
  <c r="J11" i="2" s="1"/>
  <c r="I14" i="2"/>
  <c r="H14" i="2"/>
  <c r="H16" i="2" s="1"/>
  <c r="H11" i="2" s="1"/>
  <c r="E14" i="2"/>
  <c r="V27" i="2" l="1"/>
  <c r="D27" i="2" s="1"/>
  <c r="AA27" i="2" s="1"/>
  <c r="V14" i="2"/>
  <c r="V16" i="2" s="1"/>
  <c r="V26" i="2"/>
  <c r="D26" i="2" s="1"/>
  <c r="AA26" i="2" s="1"/>
  <c r="T30" i="2"/>
  <c r="T11" i="2" s="1"/>
  <c r="D14" i="2"/>
  <c r="Q23" i="2"/>
  <c r="Q11" i="2" s="1"/>
  <c r="E30" i="2"/>
  <c r="M30" i="2"/>
  <c r="M11" i="2" s="1"/>
  <c r="Y16" i="2"/>
  <c r="Y11" i="2" s="1"/>
  <c r="V18" i="2"/>
  <c r="V25" i="2"/>
  <c r="E16" i="2"/>
  <c r="E11" i="2" s="1"/>
  <c r="D16" i="2" l="1"/>
  <c r="AA14" i="2"/>
  <c r="D25" i="2"/>
  <c r="V30" i="2"/>
  <c r="V23" i="2"/>
  <c r="V11" i="2" s="1"/>
  <c r="D18" i="2"/>
  <c r="AA15" i="2"/>
  <c r="AA25" i="2" l="1"/>
  <c r="AA30" i="2" s="1"/>
  <c r="D30" i="2"/>
  <c r="AA18" i="2"/>
  <c r="AA23" i="2" s="1"/>
  <c r="D23" i="2"/>
  <c r="D11" i="2" s="1"/>
  <c r="AA16" i="2"/>
  <c r="AA11" i="2" l="1"/>
  <c r="J12" i="1"/>
  <c r="K17" i="1"/>
  <c r="M17" i="1"/>
  <c r="N14" i="1" l="1"/>
  <c r="N16" i="1"/>
  <c r="N15" i="1" l="1"/>
  <c r="N17" i="1" s="1"/>
  <c r="M26" i="1"/>
  <c r="N26" i="1" s="1"/>
  <c r="M27" i="1"/>
  <c r="N27" i="1" s="1"/>
  <c r="M28" i="1"/>
  <c r="N28" i="1" s="1"/>
  <c r="M29" i="1"/>
  <c r="N29" i="1" s="1"/>
  <c r="M30" i="1"/>
  <c r="M31" i="1"/>
  <c r="M19" i="1"/>
  <c r="N19" i="1" s="1"/>
  <c r="M20" i="1"/>
  <c r="N20" i="1" s="1"/>
  <c r="M21" i="1"/>
  <c r="M22" i="1"/>
  <c r="M23" i="1"/>
  <c r="M24" i="1"/>
  <c r="K26" i="1"/>
  <c r="K27" i="1"/>
  <c r="K28" i="1"/>
  <c r="K29" i="1"/>
  <c r="K30" i="1"/>
  <c r="K31" i="1"/>
  <c r="K19" i="1"/>
  <c r="K20" i="1"/>
  <c r="K21" i="1"/>
  <c r="K22" i="1"/>
  <c r="K23" i="1"/>
  <c r="K24" i="1"/>
  <c r="N24" i="1" l="1"/>
  <c r="N31" i="1"/>
  <c r="K12" i="1"/>
  <c r="M12" i="1"/>
  <c r="N12" i="1" l="1"/>
  <c r="L17" i="1"/>
  <c r="O17" i="1" l="1"/>
  <c r="L24" i="1" l="1"/>
  <c r="O31" i="1" l="1"/>
  <c r="L31" i="1" l="1"/>
  <c r="L12" i="1" s="1"/>
  <c r="O24" i="1" l="1"/>
  <c r="O12" i="1" s="1"/>
</calcChain>
</file>

<file path=xl/sharedStrings.xml><?xml version="1.0" encoding="utf-8"?>
<sst xmlns="http://schemas.openxmlformats.org/spreadsheetml/2006/main" count="235" uniqueCount="101">
  <si>
    <r>
      <t>Форма</t>
    </r>
    <r>
      <rPr>
        <b/>
        <sz val="14"/>
        <color rgb="FFFFFFFF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</t>
    </r>
  </si>
  <si>
    <t>№ п/п</t>
  </si>
  <si>
    <t>Адрес МКД</t>
  </si>
  <si>
    <t>Год ввода в эксплуатацию</t>
  </si>
  <si>
    <t>Объекты культурного наследия</t>
  </si>
  <si>
    <t>Количество этажей в МКД</t>
  </si>
  <si>
    <t>кв.м</t>
  </si>
  <si>
    <t>чел.</t>
  </si>
  <si>
    <t>Х</t>
  </si>
  <si>
    <t>РО</t>
  </si>
  <si>
    <t>кирпич</t>
  </si>
  <si>
    <t>г. Кировск, ул. Хибиногорская, д. 33</t>
  </si>
  <si>
    <t>Итого по муниципальному образованию на 2023 год:</t>
  </si>
  <si>
    <t>Муниципальное образование Ковдорский муниципальный округ Мурманской области</t>
  </si>
  <si>
    <t>с мягким наплавляемым покрытием</t>
  </si>
  <si>
    <t>скатная</t>
  </si>
  <si>
    <t>Итого по муниципальному образованию на 2024 год: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</si>
  <si>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</si>
  <si>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</si>
  <si>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</si>
  <si>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</si>
  <si>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4-5</t>
  </si>
  <si>
    <t>Итого по муниципальному образованию на 2025 год:</t>
  </si>
  <si>
    <t>г. Кировск, пр. Ленина, д. 19</t>
  </si>
  <si>
    <t>г. Кировск, пр. Ленина, д. 23а</t>
  </si>
  <si>
    <t>г. Кировск, ул. Кирова, д. 17</t>
  </si>
  <si>
    <t>г. Кировск, пр. Ленина, д.5</t>
  </si>
  <si>
    <t xml:space="preserve">кирпич </t>
  </si>
  <si>
    <t>г. Кировск, ул. Мира, д. 14</t>
  </si>
  <si>
    <t>-</t>
  </si>
  <si>
    <t>г. Кировск, ул. Хибиногорская, д. 30</t>
  </si>
  <si>
    <t>1958-1960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</si>
  <si>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муниципального округа город Кировск Мурманской области, на 2023-2025 годы</t>
  </si>
  <si>
    <t>АДРЕСНЫЙ ПЕРЕЧЕНЬ МНОГОКВАРТИРНЫХ ДОМОВ</t>
  </si>
  <si>
    <t>Год завершения последнего капитального ремонта</t>
  </si>
  <si>
    <t>Способ формирования фонда капитального ремонта*</t>
  </si>
  <si>
    <t>Тип крыши**</t>
  </si>
  <si>
    <t>Материал стен***</t>
  </si>
  <si>
    <t>Общая площадь помещений МКД</t>
  </si>
  <si>
    <t>Всего</t>
  </si>
  <si>
    <t>Количество подъездов в МКД</t>
  </si>
  <si>
    <t>Общая площадь МКД****</t>
  </si>
  <si>
    <t>жилые</t>
  </si>
  <si>
    <t>нежилые</t>
  </si>
  <si>
    <t>кв. м</t>
  </si>
  <si>
    <t>кв.м.</t>
  </si>
  <si>
    <t>Количество жителей, проживающих в МКД на дату утверждения краткосрочного плана*****</t>
  </si>
  <si>
    <t>Итого по муниципальному округу на 2023-2025 годы:</t>
  </si>
  <si>
    <t>* - на счетах регионального оператора, на специпальном счете;</t>
  </si>
  <si>
    <t>** – скатная, с мягким наплавляемым покрытием;</t>
  </si>
  <si>
    <t>*** – кирпич, панель, дерево;</t>
  </si>
  <si>
    <t>**** – общая площадь помещений суммируется из площади жилых помещений и площади нежилых помещений. Под нежилыми помещениями понимаются помещения в жилых домах, предназначенные для торговых, бытовых и иных нужд;</t>
  </si>
  <si>
    <t>***** - заполняется на основании справки о регистрации по форме № 9</t>
  </si>
  <si>
    <t>2021</t>
  </si>
  <si>
    <t>х</t>
  </si>
  <si>
    <t>Форма 2</t>
  </si>
  <si>
    <t>ПЛАНИРУЕМЫЕ ВИДЫ РАБОТ (УСЛУГ) ПО КАЖДОМУ КОНТКРЕТНОМУ МНОГОКВАРТИРНОМУ ДОМУ</t>
  </si>
  <si>
    <t>Предельная стоимость капитального ремонта*</t>
  </si>
  <si>
    <t>Стоимость капитального ремонта</t>
  </si>
  <si>
    <t>Источники финансирования</t>
  </si>
  <si>
    <t>Плановый год начала работ</t>
  </si>
  <si>
    <t>Плановый год завершения работ</t>
  </si>
  <si>
    <t>Всего:</t>
  </si>
  <si>
    <t>Ремонт внутридомовых инженерных систем</t>
  </si>
  <si>
    <t>Ремонт или замена лифтового оборудования**</t>
  </si>
  <si>
    <t>Ремонт крыши***²²</t>
  </si>
  <si>
    <r>
      <t xml:space="preserve">Ремонт подвальных помещений, относящихся к общему имуществу в многоквартирном доме, </t>
    </r>
    <r>
      <rPr>
        <sz val="12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 т.ч. ремонт отмостки.</t>
    </r>
  </si>
  <si>
    <t>Ремонт фасада****</t>
  </si>
  <si>
    <t>Ремонт фундамента, в т.ч. восстановление отмостки</t>
  </si>
  <si>
    <t>В том числе:</t>
  </si>
  <si>
    <t>Разработка проектной документации,включая оценку технического состояния МКД, инженерные изыскания, проведение экспертизы проектной документации*****</t>
  </si>
  <si>
    <t>Строительный контроль******</t>
  </si>
  <si>
    <t>Авторский надзор*******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</si>
  <si>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</si>
  <si>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</si>
  <si>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</si>
  <si>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МКД</t>
  </si>
  <si>
    <t>Иные не запрещенные законом источники средств</t>
  </si>
  <si>
    <t>горячего водоснабжения</t>
  </si>
  <si>
    <t>в том числе водоподогревателя (-ей)</t>
  </si>
  <si>
    <t>холодного водоснабжения</t>
  </si>
  <si>
    <t>водоотведения</t>
  </si>
  <si>
    <t>теплоснабжения</t>
  </si>
  <si>
    <t>в том числе индивидуального(-ых) теплового(-ых)  пункта(-ов)</t>
  </si>
  <si>
    <t>электроснабжения</t>
  </si>
  <si>
    <t>газоснабжения</t>
  </si>
  <si>
    <t xml:space="preserve">руб. </t>
  </si>
  <si>
    <t>руб.</t>
  </si>
  <si>
    <t>ед.</t>
  </si>
  <si>
    <t>Итого по Муниципальному округу на 2023-2025 годы</t>
  </si>
  <si>
    <t>Итого по Муниципальному округу на 2023 год:</t>
  </si>
  <si>
    <t>Итого по Муниципальному округу на 2024 год:</t>
  </si>
  <si>
    <t>Итого по Муниципальному округу на 2025 год:</t>
  </si>
  <si>
    <t>* – предельная стоимость работ, выполняемых за счет средств фонда капитального ремонта, формируемого на счете НКО «ФКР МО», рассчитывается в соответствии с предельной стоимостью работ, установленной постановлением Правительства Мурманской области от 31.03.2014 № 170-ПП.</t>
  </si>
  <si>
    <t>** – включая  ремонт лифтовых шахт, машинных и блочных помещений;</t>
  </si>
  <si>
    <t>*** – в том числе ремонт или замена системы водоотвода с заменой или восстановлением водосточных труб;</t>
  </si>
  <si>
    <t>**** – в том числе утепление, замена или восстановление водосточных труб, ремонт отмостки;</t>
  </si>
  <si>
    <t>***** – включая  оценку технического состояния МКД,  инженерные изыскания,  проведение экспертизы проектной документации;</t>
  </si>
  <si>
    <t>****** – предельная стоимость услуг на осуществление строительного контроля при проведении капитального ремонта МКД составляет не более 1,5 % от стоимости работ;</t>
  </si>
  <si>
    <t>******* – при проведении капитального ремонта МКД, являющегося  объектом культурного наследия. Составляет не более 0,2 % от стоимости работ.</t>
  </si>
  <si>
    <t>УТВЕРЖДЕН                          постановлением администрации муниципального округа город Кировск с подведомственной территорией Мурманской области        от 09.03.2023 №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</si>
</sst>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[$-419]General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166" fontId="19" fillId="0" borderId="0" applyBorder="0" applyProtection="0"/>
  </cellStyleXfs>
  <cellXfs count="133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14" fillId="2" borderId="1" xfId="5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3" fontId="13" fillId="2" borderId="1" xfId="3" applyNumberFormat="1" applyFont="1" applyFill="1" applyBorder="1" applyAlignment="1">
      <alignment horizontal="center" vertical="center"/>
    </xf>
    <xf numFmtId="43" fontId="15" fillId="2" borderId="1" xfId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4" fontId="13" fillId="2" borderId="1" xfId="3" applyNumberFormat="1" applyFont="1" applyFill="1" applyBorder="1" applyAlignment="1">
      <alignment vertical="center"/>
    </xf>
    <xf numFmtId="49" fontId="13" fillId="2" borderId="1" xfId="3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/>
    </xf>
    <xf numFmtId="0" fontId="24" fillId="2" borderId="0" xfId="0" applyFont="1" applyFill="1"/>
    <xf numFmtId="0" fontId="0" fillId="2" borderId="0" xfId="0" applyFill="1"/>
    <xf numFmtId="43" fontId="0" fillId="2" borderId="0" xfId="0" applyNumberFormat="1" applyFill="1"/>
    <xf numFmtId="43" fontId="0" fillId="2" borderId="0" xfId="1" applyFont="1" applyFill="1"/>
    <xf numFmtId="0" fontId="6" fillId="2" borderId="1" xfId="0" applyFont="1" applyFill="1" applyBorder="1" applyAlignment="1">
      <alignment horizontal="center" vertical="center" textRotation="90" wrapText="1"/>
    </xf>
    <xf numFmtId="43" fontId="6" fillId="2" borderId="3" xfId="1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center" wrapText="1"/>
    </xf>
    <xf numFmtId="43" fontId="23" fillId="2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8" fillId="2" borderId="1" xfId="3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43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vertical="center" wrapText="1"/>
    </xf>
    <xf numFmtId="164" fontId="18" fillId="2" borderId="1" xfId="2" applyFont="1" applyFill="1" applyBorder="1" applyAlignment="1">
      <alignment horizontal="right" vertical="center" wrapText="1"/>
    </xf>
    <xf numFmtId="0" fontId="18" fillId="2" borderId="1" xfId="3" applyFont="1" applyFill="1" applyBorder="1" applyAlignment="1">
      <alignment vertical="center"/>
    </xf>
    <xf numFmtId="4" fontId="18" fillId="2" borderId="1" xfId="3" applyNumberFormat="1" applyFont="1" applyFill="1" applyBorder="1" applyAlignment="1">
      <alignment vertical="center"/>
    </xf>
    <xf numFmtId="43" fontId="17" fillId="2" borderId="1" xfId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43" fontId="1" fillId="2" borderId="0" xfId="0" applyNumberFormat="1" applyFont="1" applyFill="1" applyAlignment="1">
      <alignment vertical="center" wrapText="1"/>
    </xf>
    <xf numFmtId="2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6" fillId="2" borderId="5" xfId="0" applyFont="1" applyFill="1" applyBorder="1" applyAlignment="1">
      <alignment horizontal="center" textRotation="90" wrapText="1"/>
    </xf>
    <xf numFmtId="0" fontId="6" fillId="2" borderId="14" xfId="0" applyFont="1" applyFill="1" applyBorder="1" applyAlignment="1">
      <alignment horizontal="center" textRotation="90" wrapText="1"/>
    </xf>
    <xf numFmtId="0" fontId="6" fillId="2" borderId="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43" fontId="9" fillId="2" borderId="0" xfId="1" applyFont="1" applyFill="1" applyAlignment="1"/>
    <xf numFmtId="49" fontId="9" fillId="2" borderId="0" xfId="0" applyNumberFormat="1" applyFont="1" applyFill="1"/>
    <xf numFmtId="49" fontId="9" fillId="2" borderId="0" xfId="1" applyNumberFormat="1" applyFont="1" applyFill="1" applyAlignment="1"/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</cellXfs>
  <cellStyles count="6">
    <cellStyle name="Excel Built-in Normal" xfId="5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kludova.en\Desktop\&#1056;&#1072;&#1073;&#1086;&#1095;&#1072;&#1103;\&#1087;&#1086;&#1089;&#1090;&#1072;&#1085;&#1086;&#1074;&#1083;&#1077;&#1085;&#1080;&#1103;\&#1082;&#1088;&#1072;&#1090;&#1082;&#1086;&#1089;&#1088;&#1086;&#1095;&#1082;&#1072;%20&#1085;&#1072;%202023-2025\&#1042;&#1053;&#1045;&#1057;&#1045;&#1053;&#1048;&#1045;%20&#1048;&#1047;&#1052;&#1045;&#1053;&#1045;&#1053;&#1048;&#1049;%20&#1055;&#1054;%20&#1042;&#1054;&#1044;&#1054;&#1055;&#1054;&#1044;&#1054;&#1043;&#1056;&#1045;&#1042;&#1040;&#1058;&#1045;&#1051;&#1071;&#1052;\&#1041;&#1077;&#1079;%20&#1074;&#1086;&#1076;&#1086;&#1087;&#1086;&#1076;&#1086;&#1075;&#1088;&#1077;&#1074;&#1072;&#1090;&#1077;&#1083;&#1103;%20&#1074;%20&#1043;&#1042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 1"/>
      <sheetName val="Разд 2"/>
      <sheetName val="Разд 3"/>
    </sheetNames>
    <sheetDataSet>
      <sheetData sheetId="0">
        <row r="23">
          <cell r="K23">
            <v>4640.1000000000004</v>
          </cell>
          <cell r="M23">
            <v>3301.6</v>
          </cell>
        </row>
        <row r="24">
          <cell r="K24">
            <v>6109.1</v>
          </cell>
          <cell r="M24">
            <v>4491.3999999999996</v>
          </cell>
        </row>
        <row r="25">
          <cell r="K25">
            <v>1740.2</v>
          </cell>
          <cell r="M25">
            <v>1593.1</v>
          </cell>
        </row>
        <row r="26">
          <cell r="K26">
            <v>1666.4</v>
          </cell>
          <cell r="M26">
            <v>1490.9</v>
          </cell>
        </row>
        <row r="27">
          <cell r="K27">
            <v>6197</v>
          </cell>
          <cell r="M27">
            <v>4215.3999999999996</v>
          </cell>
        </row>
        <row r="28">
          <cell r="K28">
            <v>20352.8</v>
          </cell>
          <cell r="M28">
            <v>15092.4</v>
          </cell>
        </row>
        <row r="30">
          <cell r="K30">
            <v>3517.1</v>
          </cell>
          <cell r="M30">
            <v>2481.9</v>
          </cell>
        </row>
        <row r="31">
          <cell r="K31">
            <v>2664.5</v>
          </cell>
          <cell r="M31">
            <v>1261</v>
          </cell>
        </row>
        <row r="32">
          <cell r="K32">
            <v>3634.9</v>
          </cell>
          <cell r="M32">
            <v>2996.3</v>
          </cell>
        </row>
        <row r="33">
          <cell r="K33">
            <v>5543.5</v>
          </cell>
          <cell r="M33">
            <v>3448.2</v>
          </cell>
        </row>
        <row r="34">
          <cell r="K34">
            <v>6197</v>
          </cell>
          <cell r="M34">
            <v>4215.3999999999996</v>
          </cell>
        </row>
        <row r="35">
          <cell r="K35">
            <v>21557</v>
          </cell>
          <cell r="M35">
            <v>14402.8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="90" zoomScaleNormal="90" workbookViewId="0">
      <selection activeCell="A5" sqref="A5:O5"/>
    </sheetView>
  </sheetViews>
  <sheetFormatPr defaultRowHeight="15" x14ac:dyDescent="0.25"/>
  <cols>
    <col min="1" max="1" width="6.85546875" style="46" customWidth="1"/>
    <col min="2" max="2" width="45.140625" style="46" customWidth="1"/>
    <col min="3" max="4" width="12.28515625" style="46" customWidth="1"/>
    <col min="5" max="5" width="9.7109375" style="46" bestFit="1" customWidth="1"/>
    <col min="6" max="6" width="10.28515625" style="46" customWidth="1"/>
    <col min="7" max="7" width="21.5703125" style="46" customWidth="1"/>
    <col min="8" max="8" width="18.28515625" style="46" customWidth="1"/>
    <col min="9" max="11" width="12.85546875" style="46" customWidth="1"/>
    <col min="12" max="13" width="10.5703125" style="46" customWidth="1"/>
    <col min="14" max="14" width="11.28515625" style="46" customWidth="1"/>
    <col min="15" max="15" width="12" style="46" customWidth="1"/>
    <col min="16" max="17" width="9.140625" style="46"/>
    <col min="18" max="18" width="14.7109375" style="46" customWidth="1"/>
    <col min="19" max="16384" width="9.140625" style="46"/>
  </cols>
  <sheetData>
    <row r="1" spans="1:18" ht="18.75" customHeight="1" x14ac:dyDescent="0.3">
      <c r="A1" s="15"/>
      <c r="B1" s="15"/>
      <c r="C1" s="15"/>
      <c r="D1" s="15"/>
      <c r="E1" s="15"/>
      <c r="F1" s="15"/>
      <c r="G1" s="15"/>
      <c r="H1" s="15"/>
      <c r="I1" s="16"/>
      <c r="J1" s="16"/>
      <c r="K1" s="16"/>
      <c r="L1" s="80" t="s">
        <v>100</v>
      </c>
      <c r="M1" s="80"/>
      <c r="N1" s="80"/>
      <c r="O1" s="80"/>
    </row>
    <row r="2" spans="1:18" ht="51" customHeight="1" x14ac:dyDescent="0.3">
      <c r="A2" s="15"/>
      <c r="B2" s="15"/>
      <c r="C2" s="15"/>
      <c r="D2" s="15"/>
      <c r="E2" s="15"/>
      <c r="F2" s="15"/>
      <c r="G2" s="15"/>
      <c r="H2" s="15"/>
      <c r="I2" s="16"/>
      <c r="J2" s="16"/>
      <c r="K2" s="16"/>
      <c r="L2" s="80"/>
      <c r="M2" s="80"/>
      <c r="N2" s="80"/>
      <c r="O2" s="80"/>
    </row>
    <row r="3" spans="1:18" ht="18.75" customHeight="1" x14ac:dyDescent="0.3">
      <c r="A3" s="15"/>
      <c r="B3" s="15"/>
      <c r="C3" s="15"/>
      <c r="D3" s="15"/>
      <c r="E3" s="15"/>
      <c r="F3" s="15"/>
      <c r="G3" s="15"/>
      <c r="H3" s="15"/>
      <c r="I3" s="16"/>
      <c r="J3" s="16"/>
      <c r="K3" s="16"/>
      <c r="L3" s="80"/>
      <c r="M3" s="80"/>
      <c r="N3" s="80"/>
      <c r="O3" s="80"/>
    </row>
    <row r="4" spans="1:18" ht="45.75" customHeight="1" x14ac:dyDescent="0.3">
      <c r="A4" s="15"/>
      <c r="B4" s="15"/>
      <c r="C4" s="15"/>
      <c r="D4" s="15"/>
      <c r="E4" s="15"/>
      <c r="F4" s="15"/>
      <c r="G4" s="15"/>
      <c r="H4" s="15"/>
      <c r="I4" s="16"/>
      <c r="J4" s="16"/>
      <c r="K4" s="16"/>
      <c r="L4" s="80"/>
      <c r="M4" s="80"/>
      <c r="N4" s="80"/>
      <c r="O4" s="80"/>
    </row>
    <row r="5" spans="1:18" ht="56.25" customHeight="1" x14ac:dyDescent="0.3">
      <c r="A5" s="86" t="s">
        <v>32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8" ht="18.75" customHeight="1" x14ac:dyDescent="0.3">
      <c r="A6" s="87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8" ht="15.75" x14ac:dyDescent="0.25">
      <c r="A7" s="88" t="s">
        <v>33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1:18" ht="91.5" customHeight="1" x14ac:dyDescent="0.25">
      <c r="A8" s="83" t="s">
        <v>1</v>
      </c>
      <c r="B8" s="83" t="s">
        <v>2</v>
      </c>
      <c r="C8" s="81" t="s">
        <v>3</v>
      </c>
      <c r="D8" s="81" t="s">
        <v>34</v>
      </c>
      <c r="E8" s="81" t="s">
        <v>4</v>
      </c>
      <c r="F8" s="81" t="s">
        <v>35</v>
      </c>
      <c r="G8" s="81" t="s">
        <v>36</v>
      </c>
      <c r="H8" s="81" t="s">
        <v>37</v>
      </c>
      <c r="I8" s="81" t="s">
        <v>5</v>
      </c>
      <c r="J8" s="81" t="s">
        <v>40</v>
      </c>
      <c r="K8" s="81" t="s">
        <v>41</v>
      </c>
      <c r="L8" s="90" t="s">
        <v>38</v>
      </c>
      <c r="M8" s="91"/>
      <c r="N8" s="92"/>
      <c r="O8" s="81" t="s">
        <v>46</v>
      </c>
    </row>
    <row r="9" spans="1:18" ht="51.75" customHeight="1" x14ac:dyDescent="0.25">
      <c r="A9" s="84"/>
      <c r="B9" s="84"/>
      <c r="C9" s="82"/>
      <c r="D9" s="82"/>
      <c r="E9" s="82"/>
      <c r="F9" s="82"/>
      <c r="G9" s="82"/>
      <c r="H9" s="82"/>
      <c r="I9" s="82"/>
      <c r="J9" s="82"/>
      <c r="K9" s="89"/>
      <c r="L9" s="17" t="s">
        <v>39</v>
      </c>
      <c r="M9" s="17" t="s">
        <v>42</v>
      </c>
      <c r="N9" s="18" t="s">
        <v>43</v>
      </c>
      <c r="O9" s="89"/>
    </row>
    <row r="10" spans="1:18" ht="23.25" customHeight="1" x14ac:dyDescent="0.25">
      <c r="A10" s="85"/>
      <c r="B10" s="85"/>
      <c r="C10" s="82"/>
      <c r="D10" s="82"/>
      <c r="E10" s="89"/>
      <c r="F10" s="89"/>
      <c r="G10" s="82"/>
      <c r="H10" s="82"/>
      <c r="I10" s="82"/>
      <c r="J10" s="82"/>
      <c r="K10" s="19" t="s">
        <v>44</v>
      </c>
      <c r="L10" s="20" t="s">
        <v>6</v>
      </c>
      <c r="M10" s="20" t="s">
        <v>45</v>
      </c>
      <c r="N10" s="20" t="s">
        <v>45</v>
      </c>
      <c r="O10" s="7" t="s">
        <v>7</v>
      </c>
    </row>
    <row r="11" spans="1:18" x14ac:dyDescent="0.25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0">
        <v>13</v>
      </c>
      <c r="N11" s="20">
        <v>14</v>
      </c>
      <c r="O11" s="20">
        <v>15</v>
      </c>
    </row>
    <row r="12" spans="1:18" ht="26.25" customHeight="1" x14ac:dyDescent="0.25">
      <c r="A12" s="98" t="s">
        <v>47</v>
      </c>
      <c r="B12" s="98"/>
      <c r="C12" s="21" t="s">
        <v>8</v>
      </c>
      <c r="D12" s="21" t="s">
        <v>8</v>
      </c>
      <c r="E12" s="21" t="s">
        <v>8</v>
      </c>
      <c r="F12" s="21" t="s">
        <v>8</v>
      </c>
      <c r="G12" s="21" t="s">
        <v>8</v>
      </c>
      <c r="H12" s="21" t="s">
        <v>8</v>
      </c>
      <c r="I12" s="21" t="s">
        <v>8</v>
      </c>
      <c r="J12" s="22">
        <f>J14+J15+J16+J19+J20+J21+J22+J23+J26+J27+J28+J29+J30</f>
        <v>52</v>
      </c>
      <c r="K12" s="23">
        <f>K17+K24+K31</f>
        <v>55025.7</v>
      </c>
      <c r="L12" s="23">
        <f>L17+L24+L31</f>
        <v>46307.9</v>
      </c>
      <c r="M12" s="23">
        <f>M17+M24+M31</f>
        <v>38927.599999999999</v>
      </c>
      <c r="N12" s="23">
        <f>N17+N24+N31</f>
        <v>7380.3</v>
      </c>
      <c r="O12" s="22">
        <f>O17+O24+O31</f>
        <v>1141</v>
      </c>
    </row>
    <row r="13" spans="1:18" ht="27" customHeight="1" x14ac:dyDescent="0.25">
      <c r="A13" s="95">
        <v>2023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18" ht="26.25" customHeight="1" x14ac:dyDescent="0.25">
      <c r="A14" s="24">
        <v>1</v>
      </c>
      <c r="B14" s="25" t="s">
        <v>30</v>
      </c>
      <c r="C14" s="26" t="s">
        <v>31</v>
      </c>
      <c r="D14" s="26" t="s">
        <v>29</v>
      </c>
      <c r="E14" s="27" t="s">
        <v>29</v>
      </c>
      <c r="F14" s="28" t="s">
        <v>9</v>
      </c>
      <c r="G14" s="4" t="s">
        <v>15</v>
      </c>
      <c r="H14" s="4" t="s">
        <v>10</v>
      </c>
      <c r="I14" s="29">
        <v>4</v>
      </c>
      <c r="J14" s="29">
        <v>5</v>
      </c>
      <c r="K14" s="30">
        <v>5029.5</v>
      </c>
      <c r="L14" s="30">
        <v>4129</v>
      </c>
      <c r="M14" s="30">
        <v>3270.1</v>
      </c>
      <c r="N14" s="30">
        <f>L14-M14</f>
        <v>858.9</v>
      </c>
      <c r="O14" s="31">
        <v>99</v>
      </c>
      <c r="R14" s="77"/>
    </row>
    <row r="15" spans="1:18" ht="24.75" customHeight="1" x14ac:dyDescent="0.25">
      <c r="A15" s="4">
        <v>2</v>
      </c>
      <c r="B15" s="25" t="s">
        <v>11</v>
      </c>
      <c r="C15" s="4">
        <v>1956</v>
      </c>
      <c r="D15" s="4">
        <v>2022</v>
      </c>
      <c r="E15" s="4" t="s">
        <v>29</v>
      </c>
      <c r="F15" s="28" t="s">
        <v>9</v>
      </c>
      <c r="G15" s="4" t="s">
        <v>15</v>
      </c>
      <c r="H15" s="4" t="s">
        <v>10</v>
      </c>
      <c r="I15" s="4">
        <v>5</v>
      </c>
      <c r="J15" s="4">
        <v>4</v>
      </c>
      <c r="K15" s="32">
        <v>4640.1000000000004</v>
      </c>
      <c r="L15" s="32">
        <v>4225.7</v>
      </c>
      <c r="M15" s="32">
        <v>3301.6</v>
      </c>
      <c r="N15" s="32">
        <f>L15-M15</f>
        <v>924.1</v>
      </c>
      <c r="O15" s="4">
        <v>75</v>
      </c>
    </row>
    <row r="16" spans="1:18" ht="24.75" customHeight="1" x14ac:dyDescent="0.25">
      <c r="A16" s="4">
        <v>3</v>
      </c>
      <c r="B16" s="25" t="s">
        <v>28</v>
      </c>
      <c r="C16" s="4">
        <v>1965</v>
      </c>
      <c r="D16" s="4" t="s">
        <v>29</v>
      </c>
      <c r="E16" s="4" t="s">
        <v>29</v>
      </c>
      <c r="F16" s="28" t="s">
        <v>9</v>
      </c>
      <c r="G16" s="4" t="s">
        <v>14</v>
      </c>
      <c r="H16" s="4" t="s">
        <v>10</v>
      </c>
      <c r="I16" s="4">
        <v>5</v>
      </c>
      <c r="J16" s="4">
        <v>4</v>
      </c>
      <c r="K16" s="32">
        <v>3446.3</v>
      </c>
      <c r="L16" s="32">
        <v>3184</v>
      </c>
      <c r="M16" s="32">
        <v>2860.7</v>
      </c>
      <c r="N16" s="32">
        <f>L16-M16</f>
        <v>323.3</v>
      </c>
      <c r="O16" s="4">
        <v>107</v>
      </c>
    </row>
    <row r="17" spans="1:18" ht="24" customHeight="1" x14ac:dyDescent="0.25">
      <c r="A17" s="93" t="s">
        <v>12</v>
      </c>
      <c r="B17" s="94"/>
      <c r="C17" s="21" t="s">
        <v>8</v>
      </c>
      <c r="D17" s="22" t="s">
        <v>54</v>
      </c>
      <c r="E17" s="21" t="s">
        <v>8</v>
      </c>
      <c r="F17" s="21" t="s">
        <v>8</v>
      </c>
      <c r="G17" s="21" t="s">
        <v>8</v>
      </c>
      <c r="H17" s="21" t="s">
        <v>8</v>
      </c>
      <c r="I17" s="21" t="s">
        <v>8</v>
      </c>
      <c r="J17" s="4" t="s">
        <v>54</v>
      </c>
      <c r="K17" s="33">
        <f>K14+K15+K16</f>
        <v>13115.9</v>
      </c>
      <c r="L17" s="33">
        <f>SUM(L14:L16)</f>
        <v>11538.7</v>
      </c>
      <c r="M17" s="34">
        <f>M14+M15+M16</f>
        <v>9432.4</v>
      </c>
      <c r="N17" s="34">
        <f>N14+N15+N16</f>
        <v>2106.3000000000002</v>
      </c>
      <c r="O17" s="22">
        <f>SUM(O14:O16)</f>
        <v>281</v>
      </c>
    </row>
    <row r="18" spans="1:18" ht="27" customHeight="1" x14ac:dyDescent="0.25">
      <c r="A18" s="95">
        <v>2024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7"/>
    </row>
    <row r="19" spans="1:18" ht="24.75" customHeight="1" x14ac:dyDescent="0.25">
      <c r="A19" s="4">
        <v>1</v>
      </c>
      <c r="B19" s="25" t="s">
        <v>11</v>
      </c>
      <c r="C19" s="35">
        <v>1956</v>
      </c>
      <c r="D19" s="35">
        <v>2022</v>
      </c>
      <c r="E19" s="4" t="s">
        <v>29</v>
      </c>
      <c r="F19" s="36" t="s">
        <v>9</v>
      </c>
      <c r="G19" s="4" t="s">
        <v>15</v>
      </c>
      <c r="H19" s="4" t="s">
        <v>10</v>
      </c>
      <c r="I19" s="1">
        <v>5</v>
      </c>
      <c r="J19" s="29">
        <v>4</v>
      </c>
      <c r="K19" s="11">
        <f>'[1]Разд 1'!K23</f>
        <v>4640.1000000000004</v>
      </c>
      <c r="L19" s="32">
        <v>4225.7</v>
      </c>
      <c r="M19" s="11">
        <f>'[1]Разд 1'!M23</f>
        <v>3301.6</v>
      </c>
      <c r="N19" s="11">
        <f>ROUND(L19-M19,2)</f>
        <v>924.1</v>
      </c>
      <c r="O19" s="10">
        <v>75</v>
      </c>
    </row>
    <row r="20" spans="1:18" ht="23.25" customHeight="1" x14ac:dyDescent="0.25">
      <c r="A20" s="4">
        <v>2</v>
      </c>
      <c r="B20" s="25" t="s">
        <v>17</v>
      </c>
      <c r="C20" s="35">
        <v>1959</v>
      </c>
      <c r="D20" s="35" t="s">
        <v>29</v>
      </c>
      <c r="E20" s="37" t="s">
        <v>29</v>
      </c>
      <c r="F20" s="36" t="s">
        <v>9</v>
      </c>
      <c r="G20" s="4" t="s">
        <v>15</v>
      </c>
      <c r="H20" s="4" t="s">
        <v>10</v>
      </c>
      <c r="I20" s="1">
        <v>5</v>
      </c>
      <c r="J20" s="4">
        <v>4</v>
      </c>
      <c r="K20" s="11">
        <f>'[1]Разд 1'!K24</f>
        <v>6109.1</v>
      </c>
      <c r="L20" s="30">
        <v>5569.2</v>
      </c>
      <c r="M20" s="11">
        <f>'[1]Разд 1'!M24</f>
        <v>4491.3999999999996</v>
      </c>
      <c r="N20" s="11">
        <f>L20-M20</f>
        <v>1077.8</v>
      </c>
      <c r="O20" s="8">
        <v>132</v>
      </c>
    </row>
    <row r="21" spans="1:18" ht="23.25" customHeight="1" x14ac:dyDescent="0.25">
      <c r="A21" s="4">
        <v>3</v>
      </c>
      <c r="B21" s="38" t="s">
        <v>18</v>
      </c>
      <c r="C21" s="35">
        <v>1960</v>
      </c>
      <c r="D21" s="35" t="s">
        <v>29</v>
      </c>
      <c r="E21" s="37" t="s">
        <v>29</v>
      </c>
      <c r="F21" s="36" t="s">
        <v>9</v>
      </c>
      <c r="G21" s="26" t="s">
        <v>14</v>
      </c>
      <c r="H21" s="4" t="s">
        <v>27</v>
      </c>
      <c r="I21" s="3">
        <v>5</v>
      </c>
      <c r="J21" s="4">
        <v>2</v>
      </c>
      <c r="K21" s="12">
        <f>'[1]Разд 1'!K25</f>
        <v>1740.2</v>
      </c>
      <c r="L21" s="30">
        <v>1593.1</v>
      </c>
      <c r="M21" s="12">
        <f>'[1]Разд 1'!M25</f>
        <v>1593.1</v>
      </c>
      <c r="N21" s="12" t="s">
        <v>29</v>
      </c>
      <c r="O21" s="9">
        <v>59</v>
      </c>
      <c r="R21" s="78"/>
    </row>
    <row r="22" spans="1:18" ht="23.25" customHeight="1" x14ac:dyDescent="0.25">
      <c r="A22" s="4">
        <v>4</v>
      </c>
      <c r="B22" s="38" t="s">
        <v>19</v>
      </c>
      <c r="C22" s="39">
        <v>1961</v>
      </c>
      <c r="D22" s="39" t="s">
        <v>29</v>
      </c>
      <c r="E22" s="37" t="s">
        <v>29</v>
      </c>
      <c r="F22" s="39" t="s">
        <v>9</v>
      </c>
      <c r="G22" s="26" t="s">
        <v>14</v>
      </c>
      <c r="H22" s="4" t="s">
        <v>10</v>
      </c>
      <c r="I22" s="4">
        <v>5</v>
      </c>
      <c r="J22" s="4">
        <v>2</v>
      </c>
      <c r="K22" s="13">
        <f>'[1]Разд 1'!K26</f>
        <v>1666.4</v>
      </c>
      <c r="L22" s="30">
        <v>1490.9</v>
      </c>
      <c r="M22" s="13">
        <f>'[1]Разд 1'!M26</f>
        <v>1490.9</v>
      </c>
      <c r="N22" s="13" t="s">
        <v>29</v>
      </c>
      <c r="O22" s="7">
        <v>48</v>
      </c>
    </row>
    <row r="23" spans="1:18" ht="23.25" customHeight="1" x14ac:dyDescent="0.25">
      <c r="A23" s="4">
        <v>5</v>
      </c>
      <c r="B23" s="40" t="s">
        <v>20</v>
      </c>
      <c r="C23" s="41">
        <v>1949</v>
      </c>
      <c r="D23" s="41" t="s">
        <v>53</v>
      </c>
      <c r="E23" s="42" t="s">
        <v>29</v>
      </c>
      <c r="F23" s="39" t="s">
        <v>9</v>
      </c>
      <c r="G23" s="26" t="s">
        <v>15</v>
      </c>
      <c r="H23" s="4" t="s">
        <v>10</v>
      </c>
      <c r="I23" s="5" t="s">
        <v>21</v>
      </c>
      <c r="J23" s="29">
        <v>5</v>
      </c>
      <c r="K23" s="5">
        <f>'[1]Разд 1'!K27</f>
        <v>6197</v>
      </c>
      <c r="L23" s="30">
        <v>4215.3999999999996</v>
      </c>
      <c r="M23" s="5">
        <f>'[1]Разд 1'!M27</f>
        <v>4215.3999999999996</v>
      </c>
      <c r="N23" s="5" t="s">
        <v>29</v>
      </c>
      <c r="O23" s="9">
        <v>122</v>
      </c>
    </row>
    <row r="24" spans="1:18" ht="24" customHeight="1" x14ac:dyDescent="0.25">
      <c r="A24" s="93" t="s">
        <v>16</v>
      </c>
      <c r="B24" s="94"/>
      <c r="C24" s="21" t="s">
        <v>8</v>
      </c>
      <c r="D24" s="21"/>
      <c r="E24" s="21" t="s">
        <v>8</v>
      </c>
      <c r="F24" s="21" t="s">
        <v>8</v>
      </c>
      <c r="G24" s="21" t="s">
        <v>8</v>
      </c>
      <c r="H24" s="21" t="s">
        <v>8</v>
      </c>
      <c r="I24" s="21" t="s">
        <v>8</v>
      </c>
      <c r="J24" s="21" t="s">
        <v>8</v>
      </c>
      <c r="K24" s="23">
        <f>'[1]Разд 1'!K28</f>
        <v>20352.8</v>
      </c>
      <c r="L24" s="33">
        <f>SUM(L19:L23)</f>
        <v>17094.3</v>
      </c>
      <c r="M24" s="33">
        <f>'[1]Разд 1'!M28</f>
        <v>15092.4</v>
      </c>
      <c r="N24" s="14">
        <f>N19+N20</f>
        <v>2001.9</v>
      </c>
      <c r="O24" s="22">
        <f>SUM(O19:O23)</f>
        <v>436</v>
      </c>
    </row>
    <row r="25" spans="1:18" ht="23.25" customHeight="1" x14ac:dyDescent="0.25">
      <c r="A25" s="9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8" ht="24.75" customHeight="1" x14ac:dyDescent="0.25">
      <c r="A26" s="4">
        <v>1</v>
      </c>
      <c r="B26" s="38" t="s">
        <v>23</v>
      </c>
      <c r="C26" s="35">
        <v>1957</v>
      </c>
      <c r="D26" s="35">
        <v>2020</v>
      </c>
      <c r="E26" s="4" t="s">
        <v>29</v>
      </c>
      <c r="F26" s="36" t="s">
        <v>9</v>
      </c>
      <c r="G26" s="4" t="s">
        <v>15</v>
      </c>
      <c r="H26" s="4" t="s">
        <v>10</v>
      </c>
      <c r="I26" s="4">
        <v>4</v>
      </c>
      <c r="J26" s="29">
        <v>4</v>
      </c>
      <c r="K26" s="13">
        <f>'[1]Разд 1'!K30</f>
        <v>3517.1</v>
      </c>
      <c r="L26" s="32">
        <v>3210.5</v>
      </c>
      <c r="M26" s="13">
        <f>'[1]Разд 1'!M30</f>
        <v>2481.9</v>
      </c>
      <c r="N26" s="13">
        <f>L26-M26</f>
        <v>728.6</v>
      </c>
      <c r="O26" s="7">
        <v>68</v>
      </c>
      <c r="R26" s="78"/>
    </row>
    <row r="27" spans="1:18" ht="24.75" customHeight="1" x14ac:dyDescent="0.25">
      <c r="A27" s="4">
        <v>2</v>
      </c>
      <c r="B27" s="43" t="s">
        <v>24</v>
      </c>
      <c r="C27" s="35">
        <v>1957</v>
      </c>
      <c r="D27" s="35">
        <v>2019</v>
      </c>
      <c r="E27" s="4" t="s">
        <v>29</v>
      </c>
      <c r="F27" s="36" t="s">
        <v>9</v>
      </c>
      <c r="G27" s="4" t="s">
        <v>15</v>
      </c>
      <c r="H27" s="4" t="s">
        <v>10</v>
      </c>
      <c r="I27" s="1">
        <v>4</v>
      </c>
      <c r="J27" s="4">
        <v>3</v>
      </c>
      <c r="K27" s="11">
        <f>'[1]Разд 1'!K31</f>
        <v>2664.5</v>
      </c>
      <c r="L27" s="32">
        <v>2229.8000000000002</v>
      </c>
      <c r="M27" s="11">
        <f>'[1]Разд 1'!M31</f>
        <v>1261</v>
      </c>
      <c r="N27" s="11">
        <f>L27-M27</f>
        <v>968.8</v>
      </c>
      <c r="O27" s="7">
        <v>64</v>
      </c>
      <c r="R27" s="77"/>
    </row>
    <row r="28" spans="1:18" ht="24.75" customHeight="1" x14ac:dyDescent="0.25">
      <c r="A28" s="4">
        <v>3</v>
      </c>
      <c r="B28" s="25" t="s">
        <v>25</v>
      </c>
      <c r="C28" s="35">
        <v>1957</v>
      </c>
      <c r="D28" s="35">
        <v>2021</v>
      </c>
      <c r="E28" s="4" t="s">
        <v>29</v>
      </c>
      <c r="F28" s="36" t="s">
        <v>9</v>
      </c>
      <c r="G28" s="4" t="s">
        <v>15</v>
      </c>
      <c r="H28" s="4" t="s">
        <v>10</v>
      </c>
      <c r="I28" s="4">
        <v>4</v>
      </c>
      <c r="J28" s="4">
        <v>4</v>
      </c>
      <c r="K28" s="13">
        <f>'[1]Разд 1'!K32</f>
        <v>3634.9</v>
      </c>
      <c r="L28" s="32">
        <v>3301.4</v>
      </c>
      <c r="M28" s="13">
        <f>'[1]Разд 1'!M32</f>
        <v>2996.3</v>
      </c>
      <c r="N28" s="13">
        <f>L28-M28</f>
        <v>305.10000000000002</v>
      </c>
      <c r="O28" s="7">
        <v>82</v>
      </c>
    </row>
    <row r="29" spans="1:18" ht="24.75" customHeight="1" x14ac:dyDescent="0.25">
      <c r="A29" s="4">
        <v>4</v>
      </c>
      <c r="B29" s="25" t="s">
        <v>26</v>
      </c>
      <c r="C29" s="35">
        <v>1953</v>
      </c>
      <c r="D29" s="35">
        <v>2022</v>
      </c>
      <c r="E29" s="4" t="s">
        <v>29</v>
      </c>
      <c r="F29" s="36" t="s">
        <v>9</v>
      </c>
      <c r="G29" s="4" t="s">
        <v>15</v>
      </c>
      <c r="H29" s="4" t="s">
        <v>10</v>
      </c>
      <c r="I29" s="1">
        <v>4</v>
      </c>
      <c r="J29" s="4">
        <v>6</v>
      </c>
      <c r="K29" s="11">
        <f>'[1]Разд 1'!K33</f>
        <v>5543.5</v>
      </c>
      <c r="L29" s="32">
        <v>4717.8</v>
      </c>
      <c r="M29" s="11">
        <f>'[1]Разд 1'!M33</f>
        <v>3448.2</v>
      </c>
      <c r="N29" s="11">
        <f>L29-M29</f>
        <v>1269.5999999999999</v>
      </c>
      <c r="O29" s="7">
        <v>88</v>
      </c>
    </row>
    <row r="30" spans="1:18" ht="24.75" customHeight="1" x14ac:dyDescent="0.25">
      <c r="A30" s="4">
        <v>5</v>
      </c>
      <c r="B30" s="43" t="s">
        <v>20</v>
      </c>
      <c r="C30" s="35">
        <v>1949</v>
      </c>
      <c r="D30" s="35">
        <v>2021</v>
      </c>
      <c r="E30" s="4" t="s">
        <v>29</v>
      </c>
      <c r="F30" s="36" t="s">
        <v>9</v>
      </c>
      <c r="G30" s="4" t="s">
        <v>15</v>
      </c>
      <c r="H30" s="4" t="s">
        <v>10</v>
      </c>
      <c r="I30" s="5" t="s">
        <v>21</v>
      </c>
      <c r="J30" s="29">
        <v>5</v>
      </c>
      <c r="K30" s="5">
        <f>'[1]Разд 1'!K34</f>
        <v>6197</v>
      </c>
      <c r="L30" s="32">
        <v>4215.3999999999996</v>
      </c>
      <c r="M30" s="5">
        <f>'[1]Разд 1'!M34</f>
        <v>4215.3999999999996</v>
      </c>
      <c r="N30" s="13" t="s">
        <v>29</v>
      </c>
      <c r="O30" s="9">
        <v>122</v>
      </c>
    </row>
    <row r="31" spans="1:18" ht="24" customHeight="1" x14ac:dyDescent="0.25">
      <c r="A31" s="93" t="s">
        <v>22</v>
      </c>
      <c r="B31" s="94"/>
      <c r="C31" s="21" t="s">
        <v>8</v>
      </c>
      <c r="D31" s="21"/>
      <c r="E31" s="21" t="s">
        <v>8</v>
      </c>
      <c r="F31" s="21" t="s">
        <v>8</v>
      </c>
      <c r="G31" s="21" t="s">
        <v>8</v>
      </c>
      <c r="H31" s="21" t="s">
        <v>8</v>
      </c>
      <c r="I31" s="21" t="s">
        <v>8</v>
      </c>
      <c r="J31" s="21" t="s">
        <v>8</v>
      </c>
      <c r="K31" s="23">
        <f>'[1]Разд 1'!K35</f>
        <v>21557</v>
      </c>
      <c r="L31" s="33">
        <f>SUM(L26:L30)</f>
        <v>17674.900000000001</v>
      </c>
      <c r="M31" s="23">
        <f>'[1]Разд 1'!M35</f>
        <v>14402.8</v>
      </c>
      <c r="N31" s="23">
        <f>N26+N27+N28+N29</f>
        <v>3272.1</v>
      </c>
      <c r="O31" s="22">
        <f>SUM(O26:O30)</f>
        <v>424</v>
      </c>
    </row>
    <row r="32" spans="1:18" ht="17.25" customHeight="1" x14ac:dyDescent="0.25">
      <c r="A32" s="101" t="s">
        <v>48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</row>
    <row r="33" spans="1:15" ht="15" customHeight="1" x14ac:dyDescent="0.25">
      <c r="A33" s="100" t="s">
        <v>49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1:15" ht="15.75" customHeight="1" x14ac:dyDescent="0.25">
      <c r="A34" s="99" t="s">
        <v>50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</row>
    <row r="35" spans="1:15" ht="15" customHeight="1" x14ac:dyDescent="0.25">
      <c r="A35" s="99" t="s">
        <v>51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</row>
    <row r="36" spans="1:15" ht="15" customHeight="1" x14ac:dyDescent="0.25">
      <c r="A36" s="99" t="s">
        <v>52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</row>
  </sheetData>
  <mergeCells count="29">
    <mergeCell ref="A36:O36"/>
    <mergeCell ref="A34:O34"/>
    <mergeCell ref="A24:B24"/>
    <mergeCell ref="A25:O25"/>
    <mergeCell ref="A33:O33"/>
    <mergeCell ref="A31:B31"/>
    <mergeCell ref="A32:O32"/>
    <mergeCell ref="A17:B17"/>
    <mergeCell ref="A18:O18"/>
    <mergeCell ref="A12:B12"/>
    <mergeCell ref="A13:O13"/>
    <mergeCell ref="A35:O35"/>
    <mergeCell ref="B8:B10"/>
    <mergeCell ref="A8:A10"/>
    <mergeCell ref="A5:O5"/>
    <mergeCell ref="A6:O6"/>
    <mergeCell ref="A7:O7"/>
    <mergeCell ref="G8:G10"/>
    <mergeCell ref="F8:F10"/>
    <mergeCell ref="E8:E10"/>
    <mergeCell ref="D8:D10"/>
    <mergeCell ref="L8:N8"/>
    <mergeCell ref="K8:K9"/>
    <mergeCell ref="O8:O9"/>
    <mergeCell ref="L1:O4"/>
    <mergeCell ref="J8:J10"/>
    <mergeCell ref="I8:I10"/>
    <mergeCell ref="H8:H10"/>
    <mergeCell ref="C8:C10"/>
  </mergeCells>
  <printOptions horizontalCentered="1" verticalCentered="1"/>
  <pageMargins left="0.70866141732283472" right="0.52" top="0.74803149606299213" bottom="0.36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16" zoomScaleNormal="100" workbookViewId="0">
      <selection sqref="A1:AD39"/>
    </sheetView>
  </sheetViews>
  <sheetFormatPr defaultRowHeight="15" x14ac:dyDescent="0.25"/>
  <cols>
    <col min="1" max="1" width="4.85546875" style="45" customWidth="1"/>
    <col min="2" max="2" width="28.42578125" style="46" customWidth="1"/>
    <col min="3" max="3" width="9.140625" style="46"/>
    <col min="4" max="4" width="15" style="46" customWidth="1"/>
    <col min="5" max="5" width="15.5703125" style="46" bestFit="1" customWidth="1"/>
    <col min="6" max="6" width="6.28515625" style="46" customWidth="1"/>
    <col min="7" max="7" width="14" style="46" bestFit="1" customWidth="1"/>
    <col min="8" max="8" width="14" style="48" bestFit="1" customWidth="1"/>
    <col min="9" max="9" width="14" style="46" bestFit="1" customWidth="1"/>
    <col min="10" max="10" width="15" style="46" bestFit="1" customWidth="1"/>
    <col min="11" max="11" width="9.28515625" style="46" bestFit="1" customWidth="1"/>
    <col min="12" max="12" width="13.140625" style="46" customWidth="1"/>
    <col min="13" max="13" width="13.28515625" style="46" customWidth="1"/>
    <col min="14" max="14" width="13" style="46" bestFit="1" customWidth="1"/>
    <col min="15" max="15" width="7.28515625" style="46" customWidth="1"/>
    <col min="16" max="16" width="14.140625" style="46" customWidth="1"/>
    <col min="17" max="17" width="16.5703125" style="46" bestFit="1" customWidth="1"/>
    <col min="18" max="18" width="13.85546875" style="46" customWidth="1"/>
    <col min="19" max="19" width="16.5703125" style="46" bestFit="1" customWidth="1"/>
    <col min="20" max="20" width="14" style="46" bestFit="1" customWidth="1"/>
    <col min="21" max="21" width="13.28515625" style="46" customWidth="1"/>
    <col min="22" max="22" width="14.42578125" style="46" bestFit="1" customWidth="1"/>
    <col min="23" max="23" width="10.5703125" style="46" bestFit="1" customWidth="1"/>
    <col min="24" max="24" width="9.28515625" style="46" bestFit="1" customWidth="1"/>
    <col min="25" max="25" width="14.85546875" style="46" customWidth="1"/>
    <col min="26" max="26" width="12.140625" style="46" customWidth="1"/>
    <col min="27" max="27" width="15.140625" style="46" bestFit="1" customWidth="1"/>
    <col min="28" max="30" width="9.140625" style="46"/>
    <col min="31" max="31" width="15.28515625" style="46" bestFit="1" customWidth="1"/>
    <col min="32" max="16384" width="9.140625" style="46"/>
  </cols>
  <sheetData>
    <row r="1" spans="1:32" x14ac:dyDescent="0.25">
      <c r="E1" s="47"/>
      <c r="R1" s="47"/>
      <c r="V1" s="47"/>
    </row>
    <row r="2" spans="1:32" ht="18.75" x14ac:dyDescent="0.2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5"/>
      <c r="AF2" s="115"/>
    </row>
    <row r="3" spans="1:32" ht="20.25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5"/>
      <c r="AF3" s="115"/>
    </row>
    <row r="4" spans="1:32" ht="15.75" x14ac:dyDescent="0.25">
      <c r="A4" s="117" t="s">
        <v>56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5"/>
      <c r="AF4" s="115"/>
    </row>
    <row r="5" spans="1:32" ht="15" customHeight="1" x14ac:dyDescent="0.25">
      <c r="A5" s="109" t="s">
        <v>1</v>
      </c>
      <c r="B5" s="109" t="s">
        <v>2</v>
      </c>
      <c r="C5" s="109" t="s">
        <v>57</v>
      </c>
      <c r="D5" s="118" t="s">
        <v>58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21" t="s">
        <v>59</v>
      </c>
      <c r="Y5" s="122"/>
      <c r="Z5" s="122"/>
      <c r="AA5" s="122"/>
      <c r="AB5" s="123"/>
      <c r="AC5" s="109" t="s">
        <v>60</v>
      </c>
      <c r="AD5" s="109" t="s">
        <v>61</v>
      </c>
      <c r="AE5" s="75"/>
      <c r="AF5" s="75"/>
    </row>
    <row r="6" spans="1:32" ht="15" customHeight="1" x14ac:dyDescent="0.25">
      <c r="A6" s="110"/>
      <c r="B6" s="110"/>
      <c r="C6" s="110"/>
      <c r="D6" s="109" t="s">
        <v>62</v>
      </c>
      <c r="E6" s="121" t="s">
        <v>63</v>
      </c>
      <c r="F6" s="122"/>
      <c r="G6" s="122"/>
      <c r="H6" s="122"/>
      <c r="I6" s="122"/>
      <c r="J6" s="122"/>
      <c r="K6" s="122"/>
      <c r="L6" s="122"/>
      <c r="M6" s="122"/>
      <c r="N6" s="123"/>
      <c r="O6" s="127" t="s">
        <v>64</v>
      </c>
      <c r="P6" s="128"/>
      <c r="Q6" s="109" t="s">
        <v>65</v>
      </c>
      <c r="R6" s="109" t="s">
        <v>66</v>
      </c>
      <c r="S6" s="109" t="s">
        <v>67</v>
      </c>
      <c r="T6" s="109" t="s">
        <v>68</v>
      </c>
      <c r="U6" s="118" t="s">
        <v>69</v>
      </c>
      <c r="V6" s="119"/>
      <c r="W6" s="120"/>
      <c r="X6" s="124"/>
      <c r="Y6" s="125"/>
      <c r="Z6" s="125"/>
      <c r="AA6" s="125"/>
      <c r="AB6" s="126"/>
      <c r="AC6" s="110"/>
      <c r="AD6" s="110"/>
      <c r="AE6" s="75"/>
      <c r="AF6" s="75"/>
    </row>
    <row r="7" spans="1:32" ht="52.5" customHeight="1" x14ac:dyDescent="0.25">
      <c r="A7" s="110"/>
      <c r="B7" s="110"/>
      <c r="C7" s="110"/>
      <c r="D7" s="110"/>
      <c r="E7" s="124"/>
      <c r="F7" s="125"/>
      <c r="G7" s="125"/>
      <c r="H7" s="125"/>
      <c r="I7" s="125"/>
      <c r="J7" s="125"/>
      <c r="K7" s="125"/>
      <c r="L7" s="125"/>
      <c r="M7" s="125"/>
      <c r="N7" s="126"/>
      <c r="O7" s="129"/>
      <c r="P7" s="130"/>
      <c r="Q7" s="110"/>
      <c r="R7" s="110"/>
      <c r="S7" s="110"/>
      <c r="T7" s="110"/>
      <c r="U7" s="109" t="s">
        <v>70</v>
      </c>
      <c r="V7" s="109" t="s">
        <v>71</v>
      </c>
      <c r="W7" s="109" t="s">
        <v>72</v>
      </c>
      <c r="X7" s="109" t="s">
        <v>73</v>
      </c>
      <c r="Y7" s="109" t="s">
        <v>74</v>
      </c>
      <c r="Z7" s="109" t="s">
        <v>75</v>
      </c>
      <c r="AA7" s="109" t="s">
        <v>76</v>
      </c>
      <c r="AB7" s="109" t="s">
        <v>77</v>
      </c>
      <c r="AC7" s="110"/>
      <c r="AD7" s="110"/>
      <c r="AE7" s="75"/>
      <c r="AF7" s="75"/>
    </row>
    <row r="8" spans="1:32" ht="96.75" x14ac:dyDescent="0.25">
      <c r="A8" s="110"/>
      <c r="B8" s="110"/>
      <c r="C8" s="111"/>
      <c r="D8" s="111"/>
      <c r="E8" s="49" t="s">
        <v>78</v>
      </c>
      <c r="F8" s="112" t="s">
        <v>79</v>
      </c>
      <c r="G8" s="113"/>
      <c r="H8" s="50" t="s">
        <v>80</v>
      </c>
      <c r="I8" s="49" t="s">
        <v>81</v>
      </c>
      <c r="J8" s="49" t="s">
        <v>82</v>
      </c>
      <c r="K8" s="112" t="s">
        <v>83</v>
      </c>
      <c r="L8" s="113"/>
      <c r="M8" s="49" t="s">
        <v>84</v>
      </c>
      <c r="N8" s="49" t="s">
        <v>85</v>
      </c>
      <c r="O8" s="131"/>
      <c r="P8" s="132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0"/>
      <c r="AD8" s="110"/>
      <c r="AE8" s="75"/>
      <c r="AF8" s="75"/>
    </row>
    <row r="9" spans="1:32" x14ac:dyDescent="0.25">
      <c r="A9" s="111"/>
      <c r="B9" s="111"/>
      <c r="C9" s="51" t="s">
        <v>86</v>
      </c>
      <c r="D9" s="51" t="s">
        <v>87</v>
      </c>
      <c r="E9" s="51" t="s">
        <v>87</v>
      </c>
      <c r="F9" s="51" t="s">
        <v>88</v>
      </c>
      <c r="G9" s="51" t="s">
        <v>87</v>
      </c>
      <c r="H9" s="52" t="s">
        <v>87</v>
      </c>
      <c r="I9" s="51" t="s">
        <v>87</v>
      </c>
      <c r="J9" s="51" t="s">
        <v>87</v>
      </c>
      <c r="K9" s="51" t="s">
        <v>88</v>
      </c>
      <c r="L9" s="51" t="s">
        <v>87</v>
      </c>
      <c r="M9" s="51" t="s">
        <v>87</v>
      </c>
      <c r="N9" s="51" t="s">
        <v>87</v>
      </c>
      <c r="O9" s="51" t="s">
        <v>88</v>
      </c>
      <c r="P9" s="51" t="s">
        <v>87</v>
      </c>
      <c r="Q9" s="51" t="s">
        <v>87</v>
      </c>
      <c r="R9" s="51" t="s">
        <v>87</v>
      </c>
      <c r="S9" s="51" t="s">
        <v>87</v>
      </c>
      <c r="T9" s="51" t="s">
        <v>87</v>
      </c>
      <c r="U9" s="51" t="s">
        <v>87</v>
      </c>
      <c r="V9" s="51" t="s">
        <v>87</v>
      </c>
      <c r="W9" s="51" t="s">
        <v>87</v>
      </c>
      <c r="X9" s="51" t="s">
        <v>87</v>
      </c>
      <c r="Y9" s="51" t="s">
        <v>87</v>
      </c>
      <c r="Z9" s="51" t="s">
        <v>87</v>
      </c>
      <c r="AA9" s="51" t="s">
        <v>87</v>
      </c>
      <c r="AB9" s="51" t="s">
        <v>87</v>
      </c>
      <c r="AC9" s="111"/>
      <c r="AD9" s="111"/>
      <c r="AE9" s="75"/>
      <c r="AF9" s="75"/>
    </row>
    <row r="10" spans="1:32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53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2">
        <v>14</v>
      </c>
      <c r="O10" s="2">
        <v>15</v>
      </c>
      <c r="P10" s="2">
        <v>16</v>
      </c>
      <c r="Q10" s="2">
        <v>17</v>
      </c>
      <c r="R10" s="2">
        <v>18</v>
      </c>
      <c r="S10" s="2">
        <v>19</v>
      </c>
      <c r="T10" s="2">
        <v>20</v>
      </c>
      <c r="U10" s="2">
        <v>21</v>
      </c>
      <c r="V10" s="2">
        <v>22</v>
      </c>
      <c r="W10" s="2">
        <v>23</v>
      </c>
      <c r="X10" s="2">
        <v>24</v>
      </c>
      <c r="Y10" s="2">
        <v>25</v>
      </c>
      <c r="Z10" s="2">
        <v>26</v>
      </c>
      <c r="AA10" s="2">
        <v>27</v>
      </c>
      <c r="AB10" s="2">
        <v>28</v>
      </c>
      <c r="AC10" s="2">
        <v>29</v>
      </c>
      <c r="AD10" s="2">
        <v>30</v>
      </c>
      <c r="AE10" s="75"/>
      <c r="AF10" s="75"/>
    </row>
    <row r="11" spans="1:32" ht="22.5" x14ac:dyDescent="0.25">
      <c r="A11" s="2"/>
      <c r="B11" s="2" t="s">
        <v>89</v>
      </c>
      <c r="C11" s="2"/>
      <c r="D11" s="66">
        <f>D16+D23+D30</f>
        <v>178533157.49000001</v>
      </c>
      <c r="E11" s="66">
        <f>E16+E30</f>
        <v>4737279.2300000004</v>
      </c>
      <c r="F11" s="2">
        <v>0</v>
      </c>
      <c r="G11" s="2" t="s">
        <v>29</v>
      </c>
      <c r="H11" s="66">
        <f>H16+H30</f>
        <v>4592330.26</v>
      </c>
      <c r="I11" s="66">
        <f>I16+I30</f>
        <v>6360890.0800000001</v>
      </c>
      <c r="J11" s="66">
        <f>J16+J30</f>
        <v>20080441.66</v>
      </c>
      <c r="K11" s="67">
        <f>K16+K30</f>
        <v>3</v>
      </c>
      <c r="L11" s="66">
        <f>L16+L30</f>
        <v>7503453.7199999997</v>
      </c>
      <c r="M11" s="66">
        <f>M30</f>
        <v>3256791.7</v>
      </c>
      <c r="N11" s="2" t="s">
        <v>29</v>
      </c>
      <c r="O11" s="2" t="s">
        <v>29</v>
      </c>
      <c r="P11" s="2" t="s">
        <v>29</v>
      </c>
      <c r="Q11" s="66">
        <f>Q16+Q23+Q30</f>
        <v>38479123.549999997</v>
      </c>
      <c r="R11" s="66">
        <f>R16+R30</f>
        <v>20069811.68</v>
      </c>
      <c r="S11" s="66">
        <f>S16+S23+S30</f>
        <v>57301749.170000002</v>
      </c>
      <c r="T11" s="66">
        <f>T16+T30</f>
        <v>11078081.83</v>
      </c>
      <c r="U11" s="66">
        <f>U16+U30</f>
        <v>2385859.69</v>
      </c>
      <c r="V11" s="66">
        <f>V16+V23+V30</f>
        <v>2687344.92</v>
      </c>
      <c r="W11" s="2"/>
      <c r="X11" s="2"/>
      <c r="Y11" s="66">
        <f>Y16+Y23+Y30</f>
        <v>12093230.960000001</v>
      </c>
      <c r="Z11" s="2"/>
      <c r="AA11" s="66">
        <f>AA16+AA23+AA30</f>
        <v>166439926.53</v>
      </c>
      <c r="AB11" s="2"/>
      <c r="AC11" s="2"/>
      <c r="AD11" s="2"/>
      <c r="AE11" s="76"/>
      <c r="AF11" s="75"/>
    </row>
    <row r="12" spans="1:32" x14ac:dyDescent="0.25">
      <c r="A12" s="107">
        <v>2023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75"/>
      <c r="AF12" s="75"/>
    </row>
    <row r="13" spans="1:32" x14ac:dyDescent="0.25">
      <c r="A13" s="6">
        <v>1</v>
      </c>
      <c r="B13" s="54" t="s">
        <v>30</v>
      </c>
      <c r="C13" s="6"/>
      <c r="D13" s="55">
        <f>S13+V13</f>
        <v>8212222.0599999996</v>
      </c>
      <c r="E13" s="6"/>
      <c r="F13" s="6"/>
      <c r="G13" s="6"/>
      <c r="H13" s="56"/>
      <c r="I13" s="6"/>
      <c r="J13" s="6"/>
      <c r="K13" s="6"/>
      <c r="L13" s="6"/>
      <c r="M13" s="56"/>
      <c r="N13" s="56"/>
      <c r="O13" s="56"/>
      <c r="P13" s="56"/>
      <c r="Q13" s="6"/>
      <c r="R13" s="6"/>
      <c r="S13" s="26">
        <v>8048226.2300000004</v>
      </c>
      <c r="T13" s="6"/>
      <c r="U13" s="6"/>
      <c r="V13" s="26">
        <f>ROUND(10933055.23*1.5%,2)</f>
        <v>163995.82999999999</v>
      </c>
      <c r="W13" s="6"/>
      <c r="X13" s="6"/>
      <c r="Y13" s="6"/>
      <c r="Z13" s="6"/>
      <c r="AA13" s="57">
        <f>ROUND(S13+V13,2)</f>
        <v>8212222.0599999996</v>
      </c>
      <c r="AB13" s="6"/>
      <c r="AC13" s="2">
        <v>2022</v>
      </c>
      <c r="AD13" s="2">
        <v>2023</v>
      </c>
      <c r="AE13" s="79"/>
      <c r="AF13" s="79"/>
    </row>
    <row r="14" spans="1:32" x14ac:dyDescent="0.25">
      <c r="A14" s="2">
        <v>2</v>
      </c>
      <c r="B14" s="54" t="s">
        <v>11</v>
      </c>
      <c r="C14" s="58"/>
      <c r="D14" s="55">
        <f>E14+G14+H14+I14+J14+L14+M14+N14+P14+Q14+R14+S14+T14+V14+U14+W14</f>
        <v>32521563.59</v>
      </c>
      <c r="E14" s="59">
        <f>ROUND(4225.7*660.21,2)</f>
        <v>2789849.4</v>
      </c>
      <c r="F14" s="60"/>
      <c r="G14" s="59"/>
      <c r="H14" s="61">
        <f>ROUND(4225.7*620.83,2)</f>
        <v>2623441.33</v>
      </c>
      <c r="I14" s="44">
        <f>ROUND(4225.7*665.62,2)</f>
        <v>2812710.43</v>
      </c>
      <c r="J14" s="44">
        <f>ROUND(4225.7*3201.73,2)</f>
        <v>13529550.460000001</v>
      </c>
      <c r="K14" s="2">
        <v>1</v>
      </c>
      <c r="L14" s="59">
        <v>2501151.2400000002</v>
      </c>
      <c r="M14" s="62"/>
      <c r="N14" s="62"/>
      <c r="O14" s="62"/>
      <c r="P14" s="62"/>
      <c r="Q14" s="58"/>
      <c r="R14" s="59">
        <f>ROUND(4225.7*706.71,2)</f>
        <v>2986344.45</v>
      </c>
      <c r="S14" s="58"/>
      <c r="T14" s="44">
        <f>ROUND(4225.7*1135.41,2)</f>
        <v>4797902.04</v>
      </c>
      <c r="U14" s="58"/>
      <c r="V14" s="57">
        <f>ROUND((E14+G14+H14+I14+J14+L14+R14+T14)*1.5%,2)</f>
        <v>480614.24</v>
      </c>
      <c r="W14" s="58"/>
      <c r="X14" s="58"/>
      <c r="Y14" s="58"/>
      <c r="Z14" s="58"/>
      <c r="AA14" s="57">
        <f>D14</f>
        <v>32521563.59</v>
      </c>
      <c r="AB14" s="2"/>
      <c r="AC14" s="2">
        <v>2023</v>
      </c>
      <c r="AD14" s="2">
        <v>2023</v>
      </c>
      <c r="AE14" s="75"/>
      <c r="AF14" s="75"/>
    </row>
    <row r="15" spans="1:32" ht="21.75" customHeight="1" x14ac:dyDescent="0.25">
      <c r="A15" s="2">
        <v>3</v>
      </c>
      <c r="B15" s="63" t="s">
        <v>28</v>
      </c>
      <c r="C15" s="58"/>
      <c r="D15" s="55">
        <f>E15+G15+H15+I15+J15+L15+M15+N15+P15+Q15+R15+S15+T15+V15+U15+W15</f>
        <v>12093230.960000001</v>
      </c>
      <c r="E15" s="58"/>
      <c r="F15" s="58"/>
      <c r="G15" s="64"/>
      <c r="H15" s="61"/>
      <c r="I15" s="64"/>
      <c r="J15" s="64"/>
      <c r="K15" s="64"/>
      <c r="L15" s="64"/>
      <c r="M15" s="62"/>
      <c r="N15" s="62"/>
      <c r="O15" s="62"/>
      <c r="P15" s="62"/>
      <c r="Q15" s="59">
        <v>11246365.529999999</v>
      </c>
      <c r="R15" s="58"/>
      <c r="S15" s="58"/>
      <c r="T15" s="58"/>
      <c r="U15" s="59">
        <v>635996.76</v>
      </c>
      <c r="V15" s="59">
        <v>210868.67</v>
      </c>
      <c r="W15" s="58"/>
      <c r="X15" s="58"/>
      <c r="Y15" s="57">
        <f>Q15+U15+V15</f>
        <v>12093230.960000001</v>
      </c>
      <c r="Z15" s="58"/>
      <c r="AA15" s="57">
        <f>D15-Y15</f>
        <v>0</v>
      </c>
      <c r="AB15" s="2"/>
      <c r="AC15" s="2">
        <v>2022</v>
      </c>
      <c r="AD15" s="2">
        <v>2023</v>
      </c>
      <c r="AE15" s="75"/>
      <c r="AF15" s="75"/>
    </row>
    <row r="16" spans="1:32" ht="21.75" customHeight="1" x14ac:dyDescent="0.25">
      <c r="A16" s="108" t="s">
        <v>90</v>
      </c>
      <c r="B16" s="108"/>
      <c r="C16" s="65"/>
      <c r="D16" s="66">
        <f>SUM(D13:D15)</f>
        <v>52827016.609999999</v>
      </c>
      <c r="E16" s="66">
        <f t="shared" ref="E16:AA16" si="0">SUM(E13:E15)</f>
        <v>2789849.4</v>
      </c>
      <c r="F16" s="66">
        <f t="shared" si="0"/>
        <v>0</v>
      </c>
      <c r="G16" s="66">
        <f t="shared" si="0"/>
        <v>0</v>
      </c>
      <c r="H16" s="66">
        <f t="shared" si="0"/>
        <v>2623441.33</v>
      </c>
      <c r="I16" s="66">
        <f t="shared" si="0"/>
        <v>2812710.43</v>
      </c>
      <c r="J16" s="66">
        <f t="shared" si="0"/>
        <v>13529550.460000001</v>
      </c>
      <c r="K16" s="67">
        <f t="shared" si="0"/>
        <v>1</v>
      </c>
      <c r="L16" s="66">
        <f t="shared" si="0"/>
        <v>2501151.2400000002</v>
      </c>
      <c r="M16" s="66">
        <f t="shared" si="0"/>
        <v>0</v>
      </c>
      <c r="N16" s="66">
        <f t="shared" si="0"/>
        <v>0</v>
      </c>
      <c r="O16" s="66">
        <f t="shared" si="0"/>
        <v>0</v>
      </c>
      <c r="P16" s="66">
        <f t="shared" si="0"/>
        <v>0</v>
      </c>
      <c r="Q16" s="66">
        <f t="shared" si="0"/>
        <v>11246365.529999999</v>
      </c>
      <c r="R16" s="66">
        <f t="shared" si="0"/>
        <v>2986344.45</v>
      </c>
      <c r="S16" s="66">
        <f t="shared" si="0"/>
        <v>8048226.2300000004</v>
      </c>
      <c r="T16" s="66">
        <f t="shared" si="0"/>
        <v>4797902.04</v>
      </c>
      <c r="U16" s="66">
        <f t="shared" si="0"/>
        <v>635996.76</v>
      </c>
      <c r="V16" s="66">
        <f t="shared" si="0"/>
        <v>855478.74</v>
      </c>
      <c r="W16" s="66">
        <f t="shared" si="0"/>
        <v>0</v>
      </c>
      <c r="X16" s="66">
        <f t="shared" si="0"/>
        <v>0</v>
      </c>
      <c r="Y16" s="66">
        <f t="shared" si="0"/>
        <v>12093230.960000001</v>
      </c>
      <c r="Z16" s="66">
        <f t="shared" si="0"/>
        <v>0</v>
      </c>
      <c r="AA16" s="66">
        <f t="shared" si="0"/>
        <v>40733785.649999999</v>
      </c>
      <c r="AB16" s="68"/>
      <c r="AC16" s="68" t="s">
        <v>54</v>
      </c>
      <c r="AD16" s="68" t="s">
        <v>54</v>
      </c>
      <c r="AE16" s="75"/>
      <c r="AF16" s="75"/>
    </row>
    <row r="17" spans="1:32" x14ac:dyDescent="0.25">
      <c r="A17" s="107">
        <v>2024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75"/>
      <c r="AF17" s="75"/>
    </row>
    <row r="18" spans="1:32" ht="21.75" customHeight="1" x14ac:dyDescent="0.25">
      <c r="A18" s="2">
        <v>1</v>
      </c>
      <c r="B18" s="63" t="s">
        <v>11</v>
      </c>
      <c r="C18" s="58"/>
      <c r="D18" s="55">
        <f>E18+G18+H18+I18+J18+L18+M18+N18+P18+Q18+R18+S18+T18+V18+U18+W18</f>
        <v>14735539.25</v>
      </c>
      <c r="E18" s="59"/>
      <c r="F18" s="69"/>
      <c r="G18" s="59"/>
      <c r="H18" s="61"/>
      <c r="I18" s="44"/>
      <c r="J18" s="44"/>
      <c r="K18" s="64"/>
      <c r="L18" s="59"/>
      <c r="M18" s="62"/>
      <c r="N18" s="62"/>
      <c r="O18" s="62"/>
      <c r="P18" s="62"/>
      <c r="Q18" s="58"/>
      <c r="R18" s="59"/>
      <c r="S18" s="70">
        <f>ROUND(4225.7*3435.59,2)</f>
        <v>14517772.66</v>
      </c>
      <c r="T18" s="44"/>
      <c r="U18" s="58"/>
      <c r="V18" s="57">
        <f>S18*1.5%</f>
        <v>217766.59</v>
      </c>
      <c r="W18" s="58"/>
      <c r="X18" s="58"/>
      <c r="Y18" s="58"/>
      <c r="Z18" s="58"/>
      <c r="AA18" s="57">
        <f>D18</f>
        <v>14735539.25</v>
      </c>
      <c r="AB18" s="2"/>
      <c r="AC18" s="2">
        <v>2024</v>
      </c>
      <c r="AD18" s="2">
        <v>2024</v>
      </c>
      <c r="AE18" s="75"/>
      <c r="AF18" s="75"/>
    </row>
    <row r="19" spans="1:32" ht="21.75" customHeight="1" x14ac:dyDescent="0.25">
      <c r="A19" s="2">
        <v>2</v>
      </c>
      <c r="B19" s="63" t="s">
        <v>17</v>
      </c>
      <c r="C19" s="58"/>
      <c r="D19" s="55">
        <f t="shared" ref="D19:D22" si="1">E19+G19+H19+I19+J19+L19+M19+N19+P19+Q19+R19+S19+T19+V19+U19+W19</f>
        <v>21792379.010000002</v>
      </c>
      <c r="E19" s="58"/>
      <c r="F19" s="58"/>
      <c r="G19" s="64"/>
      <c r="H19" s="61"/>
      <c r="I19" s="64"/>
      <c r="J19" s="64"/>
      <c r="K19" s="64"/>
      <c r="L19" s="64"/>
      <c r="M19" s="62"/>
      <c r="N19" s="62"/>
      <c r="O19" s="62"/>
      <c r="P19" s="62"/>
      <c r="Q19" s="59">
        <f>ROUND(5569.2*3855.19,2)</f>
        <v>21470324.149999999</v>
      </c>
      <c r="R19" s="58"/>
      <c r="S19" s="58"/>
      <c r="T19" s="58"/>
      <c r="U19" s="58"/>
      <c r="V19" s="57">
        <f>Q19*1.5%</f>
        <v>322054.86</v>
      </c>
      <c r="W19" s="58"/>
      <c r="X19" s="58"/>
      <c r="Y19" s="58"/>
      <c r="Z19" s="58"/>
      <c r="AA19" s="57">
        <f t="shared" ref="AA19:AA22" si="2">D19</f>
        <v>21792379.010000002</v>
      </c>
      <c r="AB19" s="2"/>
      <c r="AC19" s="2">
        <v>2024</v>
      </c>
      <c r="AD19" s="2">
        <v>2024</v>
      </c>
      <c r="AE19" s="75"/>
      <c r="AF19" s="75"/>
    </row>
    <row r="20" spans="1:32" ht="21.75" customHeight="1" x14ac:dyDescent="0.25">
      <c r="A20" s="2">
        <v>3</v>
      </c>
      <c r="B20" s="71" t="s">
        <v>18</v>
      </c>
      <c r="C20" s="58"/>
      <c r="D20" s="55">
        <f t="shared" si="1"/>
        <v>5848870.3799999999</v>
      </c>
      <c r="E20" s="58"/>
      <c r="F20" s="58"/>
      <c r="G20" s="64"/>
      <c r="H20" s="61"/>
      <c r="I20" s="64"/>
      <c r="J20" s="64"/>
      <c r="K20" s="64"/>
      <c r="L20" s="64"/>
      <c r="M20" s="62"/>
      <c r="N20" s="62"/>
      <c r="O20" s="62"/>
      <c r="P20" s="62"/>
      <c r="Q20" s="59">
        <f>ROUND(1593.1*3617.12,2)</f>
        <v>5762433.8700000001</v>
      </c>
      <c r="R20" s="58"/>
      <c r="S20" s="58"/>
      <c r="T20" s="58"/>
      <c r="U20" s="58"/>
      <c r="V20" s="57">
        <f>Q20*1.5%</f>
        <v>86436.51</v>
      </c>
      <c r="W20" s="58"/>
      <c r="X20" s="58"/>
      <c r="Y20" s="58"/>
      <c r="Z20" s="58"/>
      <c r="AA20" s="57">
        <f t="shared" si="2"/>
        <v>5848870.3799999999</v>
      </c>
      <c r="AB20" s="2"/>
      <c r="AC20" s="2">
        <v>2024</v>
      </c>
      <c r="AD20" s="2">
        <v>2024</v>
      </c>
      <c r="AE20" s="75"/>
      <c r="AF20" s="75"/>
    </row>
    <row r="21" spans="1:32" ht="21.75" customHeight="1" x14ac:dyDescent="0.25">
      <c r="A21" s="2">
        <v>4</v>
      </c>
      <c r="B21" s="71" t="s">
        <v>19</v>
      </c>
      <c r="C21" s="58"/>
      <c r="D21" s="55">
        <f t="shared" si="1"/>
        <v>11684361.460000001</v>
      </c>
      <c r="E21" s="58"/>
      <c r="F21" s="58"/>
      <c r="G21" s="64"/>
      <c r="H21" s="61"/>
      <c r="I21" s="64"/>
      <c r="J21" s="64"/>
      <c r="K21" s="64"/>
      <c r="L21" s="64"/>
      <c r="M21" s="62"/>
      <c r="N21" s="62"/>
      <c r="O21" s="62"/>
      <c r="P21" s="62"/>
      <c r="Q21" s="58"/>
      <c r="R21" s="58"/>
      <c r="S21" s="59">
        <f>ROUND(1490.9*7721.3,2)</f>
        <v>11511686.17</v>
      </c>
      <c r="T21" s="58"/>
      <c r="U21" s="58"/>
      <c r="V21" s="57">
        <f>S21*1.5%</f>
        <v>172675.29</v>
      </c>
      <c r="W21" s="58"/>
      <c r="X21" s="58"/>
      <c r="Y21" s="58"/>
      <c r="Z21" s="58"/>
      <c r="AA21" s="57">
        <f t="shared" si="2"/>
        <v>11684361.460000001</v>
      </c>
      <c r="AB21" s="2"/>
      <c r="AC21" s="2">
        <v>2024</v>
      </c>
      <c r="AD21" s="2">
        <v>2024</v>
      </c>
      <c r="AE21" s="75"/>
      <c r="AF21" s="75"/>
    </row>
    <row r="22" spans="1:32" ht="21.75" customHeight="1" x14ac:dyDescent="0.25">
      <c r="A22" s="2">
        <v>5</v>
      </c>
      <c r="B22" s="72" t="s">
        <v>20</v>
      </c>
      <c r="C22" s="58"/>
      <c r="D22" s="55">
        <f t="shared" si="1"/>
        <v>14699621.880000001</v>
      </c>
      <c r="E22" s="58"/>
      <c r="F22" s="58"/>
      <c r="G22" s="64"/>
      <c r="H22" s="61"/>
      <c r="I22" s="64"/>
      <c r="J22" s="64"/>
      <c r="K22" s="64"/>
      <c r="L22" s="64"/>
      <c r="M22" s="62"/>
      <c r="N22" s="62"/>
      <c r="O22" s="62"/>
      <c r="P22" s="62"/>
      <c r="Q22" s="58"/>
      <c r="R22" s="58"/>
      <c r="S22" s="59">
        <f>ROUND(4215.4*3435.59,2)</f>
        <v>14482386.09</v>
      </c>
      <c r="T22" s="58"/>
      <c r="U22" s="58"/>
      <c r="V22" s="57">
        <f>S22*1.5%</f>
        <v>217235.79</v>
      </c>
      <c r="W22" s="58"/>
      <c r="X22" s="58"/>
      <c r="Y22" s="58"/>
      <c r="Z22" s="58"/>
      <c r="AA22" s="57">
        <f t="shared" si="2"/>
        <v>14699621.880000001</v>
      </c>
      <c r="AB22" s="2"/>
      <c r="AC22" s="2">
        <v>2024</v>
      </c>
      <c r="AD22" s="2">
        <v>2024</v>
      </c>
      <c r="AE22" s="75"/>
      <c r="AF22" s="75"/>
    </row>
    <row r="23" spans="1:32" ht="21.75" customHeight="1" x14ac:dyDescent="0.25">
      <c r="A23" s="108" t="s">
        <v>91</v>
      </c>
      <c r="B23" s="108"/>
      <c r="C23" s="65"/>
      <c r="D23" s="66">
        <f>SUM(D18:D22)</f>
        <v>68760771.980000004</v>
      </c>
      <c r="E23" s="66">
        <f t="shared" ref="E23:AA23" si="3">SUM(E18:E22)</f>
        <v>0</v>
      </c>
      <c r="F23" s="66">
        <f t="shared" si="3"/>
        <v>0</v>
      </c>
      <c r="G23" s="66">
        <f t="shared" si="3"/>
        <v>0</v>
      </c>
      <c r="H23" s="73">
        <f t="shared" si="3"/>
        <v>0</v>
      </c>
      <c r="I23" s="66">
        <f t="shared" si="3"/>
        <v>0</v>
      </c>
      <c r="J23" s="66">
        <f t="shared" si="3"/>
        <v>0</v>
      </c>
      <c r="K23" s="66">
        <f t="shared" si="3"/>
        <v>0</v>
      </c>
      <c r="L23" s="66">
        <f t="shared" si="3"/>
        <v>0</v>
      </c>
      <c r="M23" s="66">
        <f t="shared" si="3"/>
        <v>0</v>
      </c>
      <c r="N23" s="66">
        <f t="shared" si="3"/>
        <v>0</v>
      </c>
      <c r="O23" s="66">
        <f t="shared" si="3"/>
        <v>0</v>
      </c>
      <c r="P23" s="66">
        <f t="shared" si="3"/>
        <v>0</v>
      </c>
      <c r="Q23" s="66">
        <f t="shared" si="3"/>
        <v>27232758.02</v>
      </c>
      <c r="R23" s="66">
        <f t="shared" si="3"/>
        <v>0</v>
      </c>
      <c r="S23" s="66">
        <f t="shared" si="3"/>
        <v>40511844.920000002</v>
      </c>
      <c r="T23" s="66">
        <f t="shared" si="3"/>
        <v>0</v>
      </c>
      <c r="U23" s="66">
        <f t="shared" si="3"/>
        <v>0</v>
      </c>
      <c r="V23" s="66">
        <f t="shared" si="3"/>
        <v>1016169.04</v>
      </c>
      <c r="W23" s="66">
        <f t="shared" si="3"/>
        <v>0</v>
      </c>
      <c r="X23" s="66">
        <f t="shared" si="3"/>
        <v>0</v>
      </c>
      <c r="Y23" s="66">
        <f t="shared" si="3"/>
        <v>0</v>
      </c>
      <c r="Z23" s="66">
        <f t="shared" si="3"/>
        <v>0</v>
      </c>
      <c r="AA23" s="66">
        <f t="shared" si="3"/>
        <v>68760771.980000004</v>
      </c>
      <c r="AB23" s="68"/>
      <c r="AC23" s="68" t="s">
        <v>54</v>
      </c>
      <c r="AD23" s="68" t="s">
        <v>54</v>
      </c>
      <c r="AE23" s="75"/>
      <c r="AF23" s="75"/>
    </row>
    <row r="24" spans="1:32" x14ac:dyDescent="0.25">
      <c r="A24" s="107">
        <v>2025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75"/>
      <c r="AF24" s="75"/>
    </row>
    <row r="25" spans="1:32" ht="21.75" customHeight="1" x14ac:dyDescent="0.25">
      <c r="A25" s="2">
        <v>1</v>
      </c>
      <c r="B25" s="71" t="s">
        <v>23</v>
      </c>
      <c r="C25" s="58"/>
      <c r="D25" s="55">
        <f>E25+G25+H25+I25+J25+L25+M25+N25+P25+Q25+R25+S25+T25+V25+U25+W25</f>
        <v>6368231.4199999999</v>
      </c>
      <c r="E25" s="59"/>
      <c r="F25" s="69"/>
      <c r="G25" s="59"/>
      <c r="H25" s="61"/>
      <c r="I25" s="44"/>
      <c r="J25" s="44"/>
      <c r="K25" s="64"/>
      <c r="L25" s="59"/>
      <c r="M25" s="62"/>
      <c r="N25" s="62"/>
      <c r="O25" s="62"/>
      <c r="P25" s="62"/>
      <c r="Q25" s="58"/>
      <c r="R25" s="59">
        <f>ROUND(3210.5*1954.25,2)</f>
        <v>6274119.6299999999</v>
      </c>
      <c r="S25" s="70"/>
      <c r="T25" s="44"/>
      <c r="U25" s="58"/>
      <c r="V25" s="57">
        <f>ROUND((E25+G25+H25+I25+J25+L25+M25+N25+P25+Q25+R25+S25+T25)*1.5%,2)</f>
        <v>94111.79</v>
      </c>
      <c r="W25" s="58"/>
      <c r="X25" s="58"/>
      <c r="Y25" s="58"/>
      <c r="Z25" s="58"/>
      <c r="AA25" s="57">
        <f>D25</f>
        <v>6368231.4199999999</v>
      </c>
      <c r="AB25" s="2"/>
      <c r="AC25" s="2">
        <v>2025</v>
      </c>
      <c r="AD25" s="2">
        <v>2025</v>
      </c>
      <c r="AE25" s="75"/>
      <c r="AF25" s="75"/>
    </row>
    <row r="26" spans="1:32" x14ac:dyDescent="0.25">
      <c r="A26" s="2">
        <v>2</v>
      </c>
      <c r="B26" s="74" t="s">
        <v>24</v>
      </c>
      <c r="C26" s="58"/>
      <c r="D26" s="55">
        <f t="shared" ref="D26:D29" si="4">E26+G26+H26+I26+J26+L26+M26+N26+P26+Q26+R26+S26+T26+V26+U26+W26</f>
        <v>6992663.7300000004</v>
      </c>
      <c r="E26" s="58"/>
      <c r="F26" s="58"/>
      <c r="G26" s="64"/>
      <c r="H26" s="61"/>
      <c r="I26" s="64"/>
      <c r="J26" s="64"/>
      <c r="K26" s="64"/>
      <c r="L26" s="64"/>
      <c r="M26" s="62"/>
      <c r="N26" s="62"/>
      <c r="O26" s="62"/>
      <c r="P26" s="62"/>
      <c r="Q26" s="59"/>
      <c r="R26" s="59">
        <f>ROUND(2229.8*1954.25,2)</f>
        <v>4357586.6500000004</v>
      </c>
      <c r="S26" s="58"/>
      <c r="T26" s="59">
        <f>ROUND(2229.8*1135.41,2)</f>
        <v>2531737.2200000002</v>
      </c>
      <c r="U26" s="58"/>
      <c r="V26" s="57">
        <f t="shared" ref="V26:V29" si="5">ROUND((E26+G26+H26+I26+J26+L26+M26+N26+P26+Q26+R26+S26+T26)*1.5%,2)</f>
        <v>103339.86</v>
      </c>
      <c r="W26" s="58"/>
      <c r="X26" s="58"/>
      <c r="Y26" s="58"/>
      <c r="Z26" s="58"/>
      <c r="AA26" s="57">
        <f t="shared" ref="AA26:AA29" si="6">D26</f>
        <v>6992663.7300000004</v>
      </c>
      <c r="AB26" s="2"/>
      <c r="AC26" s="2">
        <v>2025</v>
      </c>
      <c r="AD26" s="2">
        <v>2025</v>
      </c>
      <c r="AE26" s="75"/>
      <c r="AF26" s="75"/>
    </row>
    <row r="27" spans="1:32" ht="21.75" customHeight="1" x14ac:dyDescent="0.25">
      <c r="A27" s="2">
        <v>3</v>
      </c>
      <c r="B27" s="63" t="s">
        <v>25</v>
      </c>
      <c r="C27" s="58"/>
      <c r="D27" s="55">
        <f t="shared" si="4"/>
        <v>34011334.740000002</v>
      </c>
      <c r="E27" s="59">
        <f>ROUND(3301.4*589.88,2)</f>
        <v>1947429.83</v>
      </c>
      <c r="F27" s="2"/>
      <c r="G27" s="59"/>
      <c r="H27" s="61">
        <f>ROUND(3301.4*596.38,2)</f>
        <v>1968888.93</v>
      </c>
      <c r="I27" s="59">
        <f>ROUND(3301.4*1074.75,2)</f>
        <v>3548179.65</v>
      </c>
      <c r="J27" s="59">
        <f>ROUND(3301.4*871.5,2)</f>
        <v>2877170.1</v>
      </c>
      <c r="K27" s="2">
        <v>1</v>
      </c>
      <c r="L27" s="59">
        <v>2501151.2400000002</v>
      </c>
      <c r="M27" s="62"/>
      <c r="N27" s="62"/>
      <c r="O27" s="62"/>
      <c r="P27" s="62"/>
      <c r="Q27" s="59"/>
      <c r="R27" s="59">
        <f>ROUND(3301.4*1954.25,2)</f>
        <v>6451760.9500000002</v>
      </c>
      <c r="S27" s="59">
        <f>ROUND(3301.4*2647.87,2)</f>
        <v>8741678.0199999996</v>
      </c>
      <c r="T27" s="59">
        <f>ROUND(3301.4*1135.41,2)</f>
        <v>3748442.57</v>
      </c>
      <c r="U27" s="59">
        <f>1305714.03+444148.9</f>
        <v>1749862.93</v>
      </c>
      <c r="V27" s="57">
        <f t="shared" si="5"/>
        <v>476770.52</v>
      </c>
      <c r="W27" s="58"/>
      <c r="X27" s="58"/>
      <c r="Y27" s="58"/>
      <c r="Z27" s="58"/>
      <c r="AA27" s="57">
        <f t="shared" si="6"/>
        <v>34011334.740000002</v>
      </c>
      <c r="AB27" s="2"/>
      <c r="AC27" s="2">
        <v>2025</v>
      </c>
      <c r="AD27" s="2">
        <v>2025</v>
      </c>
      <c r="AE27" s="75"/>
      <c r="AF27" s="75"/>
    </row>
    <row r="28" spans="1:32" ht="21.75" customHeight="1" x14ac:dyDescent="0.25">
      <c r="A28" s="2">
        <v>4</v>
      </c>
      <c r="B28" s="63" t="s">
        <v>26</v>
      </c>
      <c r="C28" s="58"/>
      <c r="D28" s="55">
        <f t="shared" si="4"/>
        <v>3305643.58</v>
      </c>
      <c r="E28" s="58"/>
      <c r="F28" s="58"/>
      <c r="G28" s="64"/>
      <c r="H28" s="61"/>
      <c r="I28" s="64"/>
      <c r="J28" s="59"/>
      <c r="K28" s="2"/>
      <c r="L28" s="59"/>
      <c r="M28" s="61">
        <f>ROUND(690.32*4717.8,2)</f>
        <v>3256791.7</v>
      </c>
      <c r="N28" s="62"/>
      <c r="O28" s="62"/>
      <c r="P28" s="62"/>
      <c r="Q28" s="58"/>
      <c r="R28" s="58"/>
      <c r="S28" s="59"/>
      <c r="T28" s="58"/>
      <c r="U28" s="58"/>
      <c r="V28" s="57">
        <f t="shared" si="5"/>
        <v>48851.88</v>
      </c>
      <c r="W28" s="58"/>
      <c r="X28" s="58"/>
      <c r="Y28" s="58"/>
      <c r="Z28" s="58"/>
      <c r="AA28" s="57">
        <f t="shared" si="6"/>
        <v>3305643.58</v>
      </c>
      <c r="AB28" s="2"/>
      <c r="AC28" s="2">
        <v>2025</v>
      </c>
      <c r="AD28" s="2">
        <v>2025</v>
      </c>
      <c r="AE28" s="75"/>
      <c r="AF28" s="75"/>
    </row>
    <row r="29" spans="1:32" x14ac:dyDescent="0.25">
      <c r="A29" s="2">
        <v>5</v>
      </c>
      <c r="B29" s="74" t="s">
        <v>20</v>
      </c>
      <c r="C29" s="58"/>
      <c r="D29" s="55">
        <f t="shared" si="4"/>
        <v>6267495.4299999997</v>
      </c>
      <c r="E29" s="58"/>
      <c r="F29" s="58"/>
      <c r="G29" s="64"/>
      <c r="H29" s="61"/>
      <c r="I29" s="64"/>
      <c r="J29" s="59">
        <f>ROUND(4215.4*871.5,2)</f>
        <v>3673721.1</v>
      </c>
      <c r="K29" s="2">
        <v>1</v>
      </c>
      <c r="L29" s="59">
        <v>2501151.2400000002</v>
      </c>
      <c r="M29" s="62"/>
      <c r="N29" s="62"/>
      <c r="O29" s="62"/>
      <c r="P29" s="62"/>
      <c r="Q29" s="58"/>
      <c r="R29" s="58"/>
      <c r="S29" s="59"/>
      <c r="T29" s="58"/>
      <c r="U29" s="58"/>
      <c r="V29" s="57">
        <f t="shared" si="5"/>
        <v>92623.09</v>
      </c>
      <c r="W29" s="58"/>
      <c r="X29" s="58"/>
      <c r="Y29" s="58"/>
      <c r="Z29" s="58"/>
      <c r="AA29" s="57">
        <f t="shared" si="6"/>
        <v>6267495.4299999997</v>
      </c>
      <c r="AB29" s="2"/>
      <c r="AC29" s="2">
        <v>2025</v>
      </c>
      <c r="AD29" s="2">
        <v>2025</v>
      </c>
      <c r="AE29" s="75"/>
      <c r="AF29" s="75"/>
    </row>
    <row r="30" spans="1:32" ht="21.75" customHeight="1" x14ac:dyDescent="0.25">
      <c r="A30" s="108" t="s">
        <v>92</v>
      </c>
      <c r="B30" s="108"/>
      <c r="C30" s="65"/>
      <c r="D30" s="66">
        <f>SUM(D25:D29)</f>
        <v>56945368.899999999</v>
      </c>
      <c r="E30" s="66">
        <f t="shared" ref="E30:AA30" si="7">SUM(E25:E29)</f>
        <v>1947429.83</v>
      </c>
      <c r="F30" s="68">
        <f t="shared" si="7"/>
        <v>0</v>
      </c>
      <c r="G30" s="66">
        <f t="shared" si="7"/>
        <v>0</v>
      </c>
      <c r="H30" s="73">
        <f t="shared" si="7"/>
        <v>1968888.93</v>
      </c>
      <c r="I30" s="66">
        <f t="shared" si="7"/>
        <v>3548179.65</v>
      </c>
      <c r="J30" s="66">
        <f t="shared" si="7"/>
        <v>6550891.2000000002</v>
      </c>
      <c r="K30" s="68">
        <f t="shared" si="7"/>
        <v>2</v>
      </c>
      <c r="L30" s="66">
        <f t="shared" si="7"/>
        <v>5002302.4800000004</v>
      </c>
      <c r="M30" s="66">
        <f t="shared" si="7"/>
        <v>3256791.7</v>
      </c>
      <c r="N30" s="66">
        <f t="shared" si="7"/>
        <v>0</v>
      </c>
      <c r="O30" s="66">
        <f t="shared" si="7"/>
        <v>0</v>
      </c>
      <c r="P30" s="66">
        <f t="shared" si="7"/>
        <v>0</v>
      </c>
      <c r="Q30" s="66">
        <f t="shared" si="7"/>
        <v>0</v>
      </c>
      <c r="R30" s="66">
        <f t="shared" si="7"/>
        <v>17083467.23</v>
      </c>
      <c r="S30" s="66">
        <f t="shared" si="7"/>
        <v>8741678.0199999996</v>
      </c>
      <c r="T30" s="66">
        <f t="shared" si="7"/>
        <v>6280179.79</v>
      </c>
      <c r="U30" s="66">
        <f t="shared" si="7"/>
        <v>1749862.93</v>
      </c>
      <c r="V30" s="66">
        <f t="shared" si="7"/>
        <v>815697.14</v>
      </c>
      <c r="W30" s="66">
        <f t="shared" si="7"/>
        <v>0</v>
      </c>
      <c r="X30" s="66">
        <f t="shared" si="7"/>
        <v>0</v>
      </c>
      <c r="Y30" s="66">
        <f t="shared" si="7"/>
        <v>0</v>
      </c>
      <c r="Z30" s="66">
        <f t="shared" si="7"/>
        <v>0</v>
      </c>
      <c r="AA30" s="66">
        <f t="shared" si="7"/>
        <v>56945368.899999999</v>
      </c>
      <c r="AB30" s="68"/>
      <c r="AC30" s="68" t="s">
        <v>54</v>
      </c>
      <c r="AD30" s="68" t="s">
        <v>54</v>
      </c>
      <c r="AE30" s="75"/>
      <c r="AF30" s="75"/>
    </row>
    <row r="32" spans="1:32" x14ac:dyDescent="0.25">
      <c r="A32" s="102" t="s">
        <v>93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</row>
    <row r="33" spans="1:18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47"/>
    </row>
    <row r="34" spans="1:18" x14ac:dyDescent="0.25">
      <c r="A34" s="102" t="s">
        <v>94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</row>
    <row r="35" spans="1:18" x14ac:dyDescent="0.25">
      <c r="A35" s="102" t="s">
        <v>95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18" x14ac:dyDescent="0.25">
      <c r="A36" s="102" t="s">
        <v>96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</row>
    <row r="37" spans="1:18" x14ac:dyDescent="0.25">
      <c r="A37" s="102" t="s">
        <v>97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</row>
    <row r="38" spans="1:18" x14ac:dyDescent="0.25">
      <c r="A38" s="102" t="s">
        <v>98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</row>
    <row r="39" spans="1:18" x14ac:dyDescent="0.25">
      <c r="A39" s="102" t="s">
        <v>99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18" x14ac:dyDescent="0.2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</row>
    <row r="41" spans="1:18" x14ac:dyDescent="0.2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</row>
    <row r="42" spans="1:18" x14ac:dyDescent="0.25">
      <c r="A42" s="103"/>
      <c r="B42" s="103"/>
      <c r="C42" s="103"/>
      <c r="D42" s="103"/>
      <c r="E42" s="103"/>
      <c r="F42" s="103"/>
      <c r="G42" s="103"/>
      <c r="H42" s="104"/>
      <c r="I42" s="103"/>
      <c r="J42" s="103"/>
      <c r="K42" s="103"/>
      <c r="L42" s="103"/>
      <c r="M42" s="103"/>
      <c r="N42" s="103"/>
      <c r="O42" s="103"/>
      <c r="P42" s="103"/>
    </row>
    <row r="43" spans="1:18" x14ac:dyDescent="0.25">
      <c r="A43" s="105"/>
      <c r="B43" s="105"/>
      <c r="C43" s="105"/>
      <c r="D43" s="105"/>
      <c r="E43" s="105"/>
      <c r="F43" s="105"/>
      <c r="G43" s="105"/>
      <c r="H43" s="106"/>
      <c r="I43" s="105"/>
      <c r="J43" s="105"/>
      <c r="K43" s="105"/>
      <c r="L43" s="105"/>
      <c r="M43" s="105"/>
      <c r="N43" s="105"/>
      <c r="O43" s="105"/>
      <c r="P43" s="105"/>
    </row>
    <row r="44" spans="1:18" x14ac:dyDescent="0.25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</row>
  </sheetData>
  <mergeCells count="48">
    <mergeCell ref="Y7:Y8"/>
    <mergeCell ref="Z7:Z8"/>
    <mergeCell ref="AD5:AD9"/>
    <mergeCell ref="U6:W6"/>
    <mergeCell ref="A2:AD2"/>
    <mergeCell ref="A17:AD17"/>
    <mergeCell ref="AE2:AE4"/>
    <mergeCell ref="A23:B23"/>
    <mergeCell ref="AF2:AF4"/>
    <mergeCell ref="A3:AD3"/>
    <mergeCell ref="A4:AD4"/>
    <mergeCell ref="A5:A9"/>
    <mergeCell ref="B5:B9"/>
    <mergeCell ref="C5:C8"/>
    <mergeCell ref="D5:W5"/>
    <mergeCell ref="X5:AB6"/>
    <mergeCell ref="E6:N7"/>
    <mergeCell ref="O6:P8"/>
    <mergeCell ref="Q6:Q8"/>
    <mergeCell ref="R6:R8"/>
    <mergeCell ref="A24:AD24"/>
    <mergeCell ref="A30:B30"/>
    <mergeCell ref="S6:S8"/>
    <mergeCell ref="AA7:AA8"/>
    <mergeCell ref="AB7:AB8"/>
    <mergeCell ref="F8:G8"/>
    <mergeCell ref="K8:L8"/>
    <mergeCell ref="A12:AD12"/>
    <mergeCell ref="A16:B16"/>
    <mergeCell ref="U7:U8"/>
    <mergeCell ref="V7:V8"/>
    <mergeCell ref="W7:W8"/>
    <mergeCell ref="X7:X8"/>
    <mergeCell ref="AC5:AC9"/>
    <mergeCell ref="T6:T8"/>
    <mergeCell ref="D6:D8"/>
    <mergeCell ref="A32:P33"/>
    <mergeCell ref="A41:P41"/>
    <mergeCell ref="A42:P42"/>
    <mergeCell ref="A43:P43"/>
    <mergeCell ref="A44:P44"/>
    <mergeCell ref="A35:P35"/>
    <mergeCell ref="A36:P36"/>
    <mergeCell ref="A37:P37"/>
    <mergeCell ref="A38:P38"/>
    <mergeCell ref="A39:P39"/>
    <mergeCell ref="A40:R40"/>
    <mergeCell ref="A34:P34"/>
  </mergeCells>
  <pageMargins left="0.32" right="0.22" top="0.74803149606299213" bottom="0.74803149606299213" header="0.31496062992125984" footer="0.31496062992125984"/>
  <pageSetup paperSize="9" scale="34" fitToHeight="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ФОРМА1</vt:lpstr>
      <vt:lpstr>ФОРМА2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2023-03-13T06:56:06Z</dcterms:modified>
</cp:coreProperties>
</file>