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5920" windowHeight="9375"/>
  </bookViews>
  <sheets>
    <sheet name="Разд 1" sheetId="2" r:id="rId1"/>
    <sheet name="Разд 2" sheetId="1" r:id="rId2"/>
    <sheet name="Разд 3" sheetId="3" r:id="rId3"/>
    <sheet name="Лист1" sheetId="4" r:id="rId4"/>
  </sheets>
  <calcPr calcId="162913" fullPrecision="0"/>
</workbook>
</file>

<file path=xl/calcChain.xml><?xml version="1.0" encoding="utf-8"?>
<calcChain xmlns="http://schemas.openxmlformats.org/spreadsheetml/2006/main">
  <c r="N28" i="2" l="1"/>
  <c r="M28" i="2"/>
  <c r="L28" i="2"/>
  <c r="K28" i="2"/>
  <c r="AC40" i="1" l="1"/>
  <c r="AB40" i="1"/>
  <c r="O39" i="1"/>
  <c r="V38" i="1"/>
  <c r="O38" i="1"/>
  <c r="H37" i="1"/>
  <c r="G37" i="1"/>
  <c r="F37" i="1"/>
  <c r="E37" i="1"/>
  <c r="D37" i="1" s="1"/>
  <c r="J36" i="1"/>
  <c r="G36" i="1"/>
  <c r="F36" i="1"/>
  <c r="E36" i="1"/>
  <c r="D36" i="1" s="1"/>
  <c r="V35" i="1"/>
  <c r="H35" i="1"/>
  <c r="S34" i="1"/>
  <c r="V34" i="1" s="1"/>
  <c r="D32" i="1"/>
  <c r="V32" i="1" s="1"/>
  <c r="C32" i="1" s="1"/>
  <c r="O42" i="2" s="1"/>
  <c r="S42" i="2" s="1"/>
  <c r="U32" i="1"/>
  <c r="U40" i="1" s="1"/>
  <c r="Q32" i="1"/>
  <c r="Q40" i="1" s="1"/>
  <c r="O32" i="1"/>
  <c r="V31" i="1"/>
  <c r="O31" i="1"/>
  <c r="O40" i="1" s="1"/>
  <c r="J30" i="1"/>
  <c r="H30" i="1"/>
  <c r="H40" i="1" s="1"/>
  <c r="G30" i="1"/>
  <c r="G40" i="1" s="1"/>
  <c r="F30" i="1"/>
  <c r="F40" i="1" s="1"/>
  <c r="E30" i="1"/>
  <c r="E40" i="1" s="1"/>
  <c r="AC28" i="1"/>
  <c r="AB28" i="1"/>
  <c r="F28" i="1"/>
  <c r="O27" i="1"/>
  <c r="V26" i="1"/>
  <c r="O26" i="1"/>
  <c r="S25" i="1"/>
  <c r="J25" i="1"/>
  <c r="H25" i="1"/>
  <c r="G25" i="1"/>
  <c r="D25" i="1" s="1"/>
  <c r="F25" i="1"/>
  <c r="E25" i="1"/>
  <c r="E28" i="1" s="1"/>
  <c r="U24" i="1"/>
  <c r="S24" i="1"/>
  <c r="Q24" i="1"/>
  <c r="Q28" i="1" s="1"/>
  <c r="U23" i="1"/>
  <c r="S23" i="1"/>
  <c r="D23" i="1" s="1"/>
  <c r="H23" i="1"/>
  <c r="D22" i="1"/>
  <c r="C22" i="1" s="1"/>
  <c r="O32" i="2" s="1"/>
  <c r="S32" i="2" s="1"/>
  <c r="V22" i="1"/>
  <c r="O22" i="1"/>
  <c r="O28" i="1" s="1"/>
  <c r="V21" i="1"/>
  <c r="D21" i="1"/>
  <c r="C21" i="1" s="1"/>
  <c r="O31" i="2" s="1"/>
  <c r="S31" i="2" s="1"/>
  <c r="U31" i="2" s="1"/>
  <c r="U21" i="1"/>
  <c r="Q21" i="1"/>
  <c r="U20" i="1"/>
  <c r="U28" i="1" s="1"/>
  <c r="S20" i="1"/>
  <c r="S28" i="1" s="1"/>
  <c r="Q20" i="1"/>
  <c r="D20" i="1" s="1"/>
  <c r="AC18" i="1"/>
  <c r="AB18" i="1"/>
  <c r="U17" i="1"/>
  <c r="U18" i="1" s="1"/>
  <c r="S17" i="1"/>
  <c r="Q17" i="1"/>
  <c r="H17" i="1"/>
  <c r="H18" i="1" s="1"/>
  <c r="G17" i="1"/>
  <c r="G18" i="1" s="1"/>
  <c r="F17" i="1"/>
  <c r="F18" i="1" s="1"/>
  <c r="E17" i="1"/>
  <c r="E18" i="1" s="1"/>
  <c r="D16" i="1"/>
  <c r="S16" i="1"/>
  <c r="V16" i="1" s="1"/>
  <c r="C16" i="1" s="1"/>
  <c r="O26" i="2" s="1"/>
  <c r="S26" i="2" s="1"/>
  <c r="U15" i="1"/>
  <c r="Q15" i="1"/>
  <c r="D15" i="1" s="1"/>
  <c r="Q14" i="1"/>
  <c r="Q18" i="1" s="1"/>
  <c r="S13" i="1"/>
  <c r="S18" i="1" s="1"/>
  <c r="Z12" i="1"/>
  <c r="D12" i="1" s="1"/>
  <c r="O11" i="1"/>
  <c r="D11" i="1" s="1"/>
  <c r="O10" i="1"/>
  <c r="D10" i="1" s="1"/>
  <c r="V25" i="1" l="1"/>
  <c r="C25" i="1" s="1"/>
  <c r="O35" i="2" s="1"/>
  <c r="S35" i="2" s="1"/>
  <c r="V15" i="1"/>
  <c r="C15" i="1" s="1"/>
  <c r="O25" i="2" s="1"/>
  <c r="S25" i="2" s="1"/>
  <c r="U25" i="2" s="1"/>
  <c r="V23" i="1"/>
  <c r="C23" i="1" s="1"/>
  <c r="O33" i="2" s="1"/>
  <c r="S33" i="2" s="1"/>
  <c r="C20" i="1"/>
  <c r="V20" i="1"/>
  <c r="C36" i="1"/>
  <c r="O46" i="2" s="1"/>
  <c r="S46" i="2" s="1"/>
  <c r="U46" i="2" s="1"/>
  <c r="V36" i="1"/>
  <c r="V37" i="1"/>
  <c r="C37" i="1" s="1"/>
  <c r="O47" i="2" s="1"/>
  <c r="S47" i="2" s="1"/>
  <c r="U47" i="2" s="1"/>
  <c r="V11" i="1"/>
  <c r="C11" i="1" s="1"/>
  <c r="O21" i="2" s="1"/>
  <c r="S21" i="2" s="1"/>
  <c r="V12" i="1"/>
  <c r="C12" i="1" s="1"/>
  <c r="O22" i="2" s="1"/>
  <c r="S22" i="2" s="1"/>
  <c r="V13" i="1"/>
  <c r="V10" i="1"/>
  <c r="D13" i="1"/>
  <c r="C13" i="1" s="1"/>
  <c r="O23" i="2" s="1"/>
  <c r="S23" i="2" s="1"/>
  <c r="D14" i="1"/>
  <c r="C14" i="1" s="1"/>
  <c r="O24" i="2" s="1"/>
  <c r="S24" i="2" s="1"/>
  <c r="O18" i="1"/>
  <c r="S40" i="1"/>
  <c r="D24" i="1"/>
  <c r="D30" i="1"/>
  <c r="V14" i="1"/>
  <c r="D39" i="1"/>
  <c r="D35" i="1"/>
  <c r="D34" i="1"/>
  <c r="C34" i="1" s="1"/>
  <c r="O44" i="2" s="1"/>
  <c r="S44" i="2" s="1"/>
  <c r="U44" i="2" s="1"/>
  <c r="S21" i="1"/>
  <c r="J17" i="1"/>
  <c r="J18" i="1" s="1"/>
  <c r="G47" i="4"/>
  <c r="AC37" i="4"/>
  <c r="AB37" i="4"/>
  <c r="Z37" i="4"/>
  <c r="V36" i="4"/>
  <c r="J36" i="4"/>
  <c r="D36" i="4"/>
  <c r="C36" i="4"/>
  <c r="O35" i="4"/>
  <c r="D35" i="4" s="1"/>
  <c r="O34" i="4"/>
  <c r="V34" i="4" s="1"/>
  <c r="J33" i="4"/>
  <c r="J37" i="4" s="1"/>
  <c r="H33" i="4"/>
  <c r="H37" i="4" s="1"/>
  <c r="G33" i="4"/>
  <c r="G37" i="4" s="1"/>
  <c r="F33" i="4"/>
  <c r="F37" i="4" s="1"/>
  <c r="E33" i="4"/>
  <c r="E37" i="4" s="1"/>
  <c r="P31" i="4"/>
  <c r="O30" i="4"/>
  <c r="V30" i="4" s="1"/>
  <c r="U29" i="4"/>
  <c r="D29" i="4" s="1"/>
  <c r="V29" i="4" s="1"/>
  <c r="Q29" i="4"/>
  <c r="S28" i="4"/>
  <c r="V28" i="4" s="1"/>
  <c r="C28" i="4" s="1"/>
  <c r="V27" i="4"/>
  <c r="O27" i="4"/>
  <c r="D27" i="4"/>
  <c r="O26" i="4"/>
  <c r="V26" i="4" s="1"/>
  <c r="U25" i="4"/>
  <c r="S25" i="4"/>
  <c r="Q25" i="4"/>
  <c r="J25" i="4"/>
  <c r="H25" i="4"/>
  <c r="G25" i="4"/>
  <c r="F25" i="4"/>
  <c r="E25" i="4"/>
  <c r="D25" i="4"/>
  <c r="V25" i="4" s="1"/>
  <c r="J24" i="4"/>
  <c r="H24" i="4"/>
  <c r="G24" i="4"/>
  <c r="F24" i="4"/>
  <c r="D24" i="4" s="1"/>
  <c r="V24" i="4" s="1"/>
  <c r="E24" i="4"/>
  <c r="H23" i="4"/>
  <c r="V23" i="4" s="1"/>
  <c r="AC22" i="4"/>
  <c r="AC31" i="4" s="1"/>
  <c r="AB22" i="4"/>
  <c r="AB31" i="4" s="1"/>
  <c r="V22" i="4"/>
  <c r="U22" i="4"/>
  <c r="S22" i="4"/>
  <c r="Q22" i="4"/>
  <c r="Q31" i="4" s="1"/>
  <c r="H22" i="4"/>
  <c r="G22" i="4"/>
  <c r="G31" i="4" s="1"/>
  <c r="F22" i="4"/>
  <c r="E22" i="4"/>
  <c r="AC20" i="4"/>
  <c r="AB20" i="4"/>
  <c r="C20" i="4"/>
  <c r="U19" i="4"/>
  <c r="S19" i="4"/>
  <c r="Q19" i="4"/>
  <c r="J19" i="4"/>
  <c r="H19" i="4"/>
  <c r="H20" i="4" s="1"/>
  <c r="G19" i="4"/>
  <c r="G20" i="4" s="1"/>
  <c r="F19" i="4"/>
  <c r="F20" i="4" s="1"/>
  <c r="E19" i="4"/>
  <c r="E20" i="4" s="1"/>
  <c r="O18" i="4"/>
  <c r="D18" i="4" s="1"/>
  <c r="V18" i="4" s="1"/>
  <c r="V17" i="4"/>
  <c r="U17" i="4"/>
  <c r="S17" i="4"/>
  <c r="Q17" i="4"/>
  <c r="C17" i="4"/>
  <c r="V16" i="4"/>
  <c r="C16" i="4" s="1"/>
  <c r="S16" i="4"/>
  <c r="Q16" i="4"/>
  <c r="O15" i="4"/>
  <c r="V15" i="4" s="1"/>
  <c r="S14" i="4"/>
  <c r="V14" i="4" s="1"/>
  <c r="Z13" i="4"/>
  <c r="Z20" i="4" s="1"/>
  <c r="O12" i="4"/>
  <c r="V12" i="4" s="1"/>
  <c r="O11" i="4"/>
  <c r="U10" i="4"/>
  <c r="S10" i="4"/>
  <c r="Q10" i="4"/>
  <c r="U31" i="4" l="1"/>
  <c r="C24" i="1"/>
  <c r="O34" i="2" s="1"/>
  <c r="S34" i="2" s="1"/>
  <c r="U34" i="2" s="1"/>
  <c r="V24" i="1"/>
  <c r="V30" i="1"/>
  <c r="H31" i="4"/>
  <c r="V39" i="1"/>
  <c r="C39" i="1" s="1"/>
  <c r="O49" i="2" s="1"/>
  <c r="S49" i="2" s="1"/>
  <c r="U49" i="2" s="1"/>
  <c r="D17" i="1"/>
  <c r="O30" i="2"/>
  <c r="S30" i="2" s="1"/>
  <c r="D13" i="4"/>
  <c r="J31" i="4"/>
  <c r="C10" i="1"/>
  <c r="O20" i="4"/>
  <c r="C35" i="1"/>
  <c r="O45" i="2" s="1"/>
  <c r="S45" i="2" s="1"/>
  <c r="U45" i="2" s="1"/>
  <c r="D38" i="1"/>
  <c r="C38" i="1" s="1"/>
  <c r="O48" i="2" s="1"/>
  <c r="S48" i="2" s="1"/>
  <c r="U48" i="2" s="1"/>
  <c r="D10" i="4"/>
  <c r="V10" i="4" s="1"/>
  <c r="D12" i="4"/>
  <c r="C12" i="4" s="1"/>
  <c r="D15" i="4"/>
  <c r="C15" i="4" s="1"/>
  <c r="D19" i="4"/>
  <c r="V19" i="4" s="1"/>
  <c r="D28" i="4"/>
  <c r="D30" i="4"/>
  <c r="D11" i="4"/>
  <c r="V11" i="4"/>
  <c r="D14" i="4"/>
  <c r="C14" i="4" s="1"/>
  <c r="V35" i="4"/>
  <c r="C35" i="4" s="1"/>
  <c r="C10" i="4"/>
  <c r="V13" i="4"/>
  <c r="C13" i="4" s="1"/>
  <c r="C19" i="4"/>
  <c r="C22" i="4"/>
  <c r="D23" i="4"/>
  <c r="C25" i="4"/>
  <c r="D26" i="4"/>
  <c r="C26" i="4" s="1"/>
  <c r="C29" i="4"/>
  <c r="D33" i="4"/>
  <c r="D34" i="4"/>
  <c r="C34" i="4" s="1"/>
  <c r="J33" i="1"/>
  <c r="G50" i="1"/>
  <c r="V17" i="1" l="1"/>
  <c r="V18" i="1" s="1"/>
  <c r="C17" i="1"/>
  <c r="O27" i="2" s="1"/>
  <c r="S27" i="2" s="1"/>
  <c r="V33" i="1"/>
  <c r="V40" i="1" s="1"/>
  <c r="J40" i="1"/>
  <c r="O20" i="2"/>
  <c r="S20" i="2" s="1"/>
  <c r="D18" i="1"/>
  <c r="C30" i="1"/>
  <c r="C11" i="4"/>
  <c r="D33" i="1"/>
  <c r="C33" i="1" s="1"/>
  <c r="O43" i="2" s="1"/>
  <c r="S43" i="2" s="1"/>
  <c r="U43" i="2" s="1"/>
  <c r="C37" i="4"/>
  <c r="D37" i="4"/>
  <c r="V33" i="4"/>
  <c r="D31" i="4"/>
  <c r="C23" i="4"/>
  <c r="C31" i="4" s="1"/>
  <c r="C18" i="1" l="1"/>
  <c r="O28" i="2" s="1"/>
  <c r="S28" i="2" s="1"/>
  <c r="O40" i="2"/>
  <c r="S40" i="2" s="1"/>
  <c r="D43" i="4"/>
  <c r="E43" i="4" s="1"/>
  <c r="I13" i="3" l="1"/>
  <c r="I10" i="3"/>
  <c r="I7" i="3"/>
  <c r="U40" i="2" l="1"/>
  <c r="D31" i="1" l="1"/>
  <c r="C31" i="1" l="1"/>
  <c r="D40" i="1"/>
  <c r="O41" i="2" l="1"/>
  <c r="S41" i="2" s="1"/>
  <c r="U41" i="2" s="1"/>
  <c r="C40" i="1"/>
  <c r="O50" i="2" s="1"/>
  <c r="S50" i="2"/>
  <c r="D26" i="1" l="1"/>
  <c r="C26" i="1" l="1"/>
  <c r="D28" i="1"/>
  <c r="H28" i="1"/>
  <c r="U26" i="2"/>
  <c r="Z18" i="1"/>
  <c r="G28" i="1"/>
  <c r="J28" i="1"/>
  <c r="U42" i="2"/>
  <c r="D27" i="1"/>
  <c r="V27" i="1" l="1"/>
  <c r="V28" i="1" s="1"/>
  <c r="O36" i="2"/>
  <c r="S36" i="2" s="1"/>
  <c r="U36" i="2" s="1"/>
  <c r="U22" i="2"/>
  <c r="U30" i="2"/>
  <c r="U33" i="2"/>
  <c r="U35" i="2"/>
  <c r="C27" i="1" l="1"/>
  <c r="U23" i="2"/>
  <c r="O37" i="2" l="1"/>
  <c r="S37" i="2" s="1"/>
  <c r="U37" i="2" s="1"/>
  <c r="C28" i="1"/>
  <c r="O38" i="2" s="1"/>
  <c r="S38" i="2" s="1"/>
  <c r="U24" i="2"/>
  <c r="M10" i="3"/>
  <c r="N10" i="3" s="1"/>
  <c r="U27" i="2"/>
  <c r="K50" i="2" l="1"/>
  <c r="L50" i="2"/>
  <c r="M50" i="2"/>
  <c r="N50" i="2"/>
  <c r="N38" i="2"/>
  <c r="M38" i="2"/>
  <c r="L38" i="2"/>
  <c r="K38" i="2"/>
  <c r="U21" i="2" l="1"/>
  <c r="U32" i="2"/>
  <c r="U38" i="2" s="1"/>
  <c r="D13" i="3"/>
  <c r="D10" i="3"/>
  <c r="D7" i="3"/>
  <c r="C10" i="3"/>
  <c r="C13" i="3"/>
  <c r="M7" i="3" l="1"/>
  <c r="U20" i="2"/>
  <c r="U28" i="2" s="1"/>
  <c r="M13" i="3" l="1"/>
  <c r="U50" i="2"/>
  <c r="C7" i="3"/>
  <c r="P28" i="1"/>
  <c r="N7" i="3" l="1"/>
  <c r="N13" i="3" l="1"/>
</calcChain>
</file>

<file path=xl/sharedStrings.xml><?xml version="1.0" encoding="utf-8"?>
<sst xmlns="http://schemas.openxmlformats.org/spreadsheetml/2006/main" count="1324" uniqueCount="114">
  <si>
    <t>Раздел 2. Планируемые виды работ (услуг) по каждому конкретному многоквартирному дому</t>
  </si>
  <si>
    <t>№ п\п</t>
  </si>
  <si>
    <t>Адрес МКД</t>
  </si>
  <si>
    <t>Стоимость капитального ремонта ВСЕГО</t>
  </si>
  <si>
    <t>Виды работ, установленные ч.1 ст.166 Жилищного Кодекса РФ</t>
  </si>
  <si>
    <t>Виды работ, установленные нормативным правовым актом субъекта РФ</t>
  </si>
  <si>
    <t>ремонт внутридомовых инженерных систем</t>
  </si>
  <si>
    <t xml:space="preserve">ремонт или замена лифтового оборудования, признанного непригодным для эксплуатации, ремонт лифтовых шахт
</t>
  </si>
  <si>
    <t>ремонт крыши</t>
  </si>
  <si>
    <t xml:space="preserve"> ремонт подвальных помещений, относящихся к общему имуществу в многоквартирном доме
</t>
  </si>
  <si>
    <t>ремонт фасада</t>
  </si>
  <si>
    <t>ремонт фундамента</t>
  </si>
  <si>
    <t>строительный контроль*</t>
  </si>
  <si>
    <t xml:space="preserve">переустройство невентилируемой крыши на вентилируемую крышу, устройство выходов на кровлю
</t>
  </si>
  <si>
    <t xml:space="preserve">утепление фасада
</t>
  </si>
  <si>
    <t>энергетическое обследование</t>
  </si>
  <si>
    <t xml:space="preserve">оценка технического состояния и проектирование капитального ремонта. </t>
  </si>
  <si>
    <t>проведение негосударственной экспертизы проектной документации</t>
  </si>
  <si>
    <t>Всего, в том числе:</t>
  </si>
  <si>
    <t>горячего водоснабжения</t>
  </si>
  <si>
    <t>холодного водоснабжения</t>
  </si>
  <si>
    <t>водоотведения</t>
  </si>
  <si>
    <t>теплоснабжения</t>
  </si>
  <si>
    <t>модернизация  теплообменника</t>
  </si>
  <si>
    <t>электроснабженя</t>
  </si>
  <si>
    <t>газоснабжения</t>
  </si>
  <si>
    <t>руб.</t>
  </si>
  <si>
    <t>ед.</t>
  </si>
  <si>
    <t>кв.м.</t>
  </si>
  <si>
    <t>куб.м.</t>
  </si>
  <si>
    <t xml:space="preserve">руб. </t>
  </si>
  <si>
    <t>ул. Кирова, д. 17</t>
  </si>
  <si>
    <t>ул. Кирова, д. 21</t>
  </si>
  <si>
    <t>пр. Ленина, д. 19</t>
  </si>
  <si>
    <t>пр. Ленина, д. 23</t>
  </si>
  <si>
    <t>ул. Хибиногорская, д. 30</t>
  </si>
  <si>
    <t>ул. Хибиногорская, д. 29</t>
  </si>
  <si>
    <t>ул. Хибиногорская, д. 33</t>
  </si>
  <si>
    <t>пр. Ленина, д. 9а</t>
  </si>
  <si>
    <t xml:space="preserve">Приложение 
к постановлениию администрации
города Кировска от ___________№ _______
</t>
  </si>
  <si>
    <t>Раздел 1. Адресный перечень многоквартирных домов, в отношении которых планируется проведение капитального ремонта общего имущества</t>
  </si>
  <si>
    <t>№</t>
  </si>
  <si>
    <t>Способ формирования фонда капитального ремонта</t>
  </si>
  <si>
    <t>Способ управления МКД</t>
  </si>
  <si>
    <t>Объекты культурного наследия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</si>
  <si>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</si>
  <si>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</si>
  <si>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</si>
  <si>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</si>
  <si>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 кв.м.</t>
  </si>
  <si>
    <t>Площадь помещений</t>
  </si>
  <si>
    <t>Количество жителей, зарегистрированных в МКД на дату утверждения</t>
  </si>
  <si>
    <t>Стоимость капитального ремонта</t>
  </si>
  <si>
    <t>Удельная стоимость капитального ремонта 1 кв. м общей площади МКД</t>
  </si>
  <si>
    <t>Предельная стоимость капитального ремонта 1 кв. м общей площади МКД</t>
  </si>
  <si>
    <t>Плановый год начала выполнения работ</t>
  </si>
  <si>
    <t>Плановый год завершения выполнения  работ</t>
  </si>
  <si>
    <t>Ввод в эксплуатацию</t>
  </si>
  <si>
    <t>Завершение последнего капитального ремонта</t>
  </si>
  <si>
    <t>Всего</t>
  </si>
  <si>
    <t>В том числе жилых помещений, находящмхся в собственности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</si>
  <si>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</si>
  <si>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</si>
  <si>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</si>
  <si>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МКД</t>
  </si>
  <si>
    <t>за счет привлечённых кредитных/земных средств</t>
  </si>
  <si>
    <t>РО</t>
  </si>
  <si>
    <t>УК</t>
  </si>
  <si>
    <t>кирпичные</t>
  </si>
  <si>
    <t>1958-1960</t>
  </si>
  <si>
    <t>Раздел 3. Планируемые показатели выполнения работ по капитальному ремонту многоквартирного дома</t>
  </si>
  <si>
    <t>Наименование МО</t>
  </si>
  <si>
    <t>Общая площадь МКД, всего</t>
  </si>
  <si>
    <t>Количество зарегистрированных человек</t>
  </si>
  <si>
    <t>Количество МКД</t>
  </si>
  <si>
    <t>кв. м</t>
  </si>
  <si>
    <t>чел</t>
  </si>
  <si>
    <t>1 квартал</t>
  </si>
  <si>
    <t>2 квартал</t>
  </si>
  <si>
    <t>3 квартал</t>
  </si>
  <si>
    <t>4 квартал</t>
  </si>
  <si>
    <t>Всего:</t>
  </si>
  <si>
    <t>город Кировск</t>
  </si>
  <si>
    <t>ул. Кирова, д. 30</t>
  </si>
  <si>
    <t>ул. Кирова, д. 36</t>
  </si>
  <si>
    <t>пр. Ленина, д. 23а</t>
  </si>
  <si>
    <t>пр. Ленина, д. 5а</t>
  </si>
  <si>
    <t>-</t>
  </si>
  <si>
    <t>Краткосрочный план капитального ремонта многоквартирных домов, расположенных на территории муниципального округа город Кировск с подведомственной территорией на 2023, 2024, 2025  годы, в рамках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2014 - 2043 годы, утвержденной постановлением Правительства Мурманской области от 31.03.2014 № 168-ПП</t>
  </si>
  <si>
    <t>пр. Ленина, д. 11а</t>
  </si>
  <si>
    <t xml:space="preserve">пр. Ленина, д. 23 </t>
  </si>
  <si>
    <t>ул. Мира, д. 3</t>
  </si>
  <si>
    <t>ул. Советская, д. 6</t>
  </si>
  <si>
    <t>ул. Советская, д. 4</t>
  </si>
  <si>
    <t>ул. Советская, д. 1</t>
  </si>
  <si>
    <t>ул. Юбилейная, д. 3</t>
  </si>
  <si>
    <t>Итого 2023</t>
  </si>
  <si>
    <t>Итого 2024</t>
  </si>
  <si>
    <t>Итого 2025</t>
  </si>
  <si>
    <t>СС</t>
  </si>
  <si>
    <t>4-5</t>
  </si>
  <si>
    <t>1962</t>
  </si>
  <si>
    <t>2023</t>
  </si>
  <si>
    <t>2024</t>
  </si>
  <si>
    <t>2025</t>
  </si>
  <si>
    <t>Итого за 2023 год:</t>
  </si>
  <si>
    <t>Итого за 2024 год:</t>
  </si>
  <si>
    <t>Итого за 2025 год:</t>
  </si>
  <si>
    <t xml:space="preserve">пр. Ленина, д. 5 </t>
  </si>
  <si>
    <t>пр. Ленина, д.5</t>
  </si>
  <si>
    <t xml:space="preserve"> -     </t>
  </si>
  <si>
    <t>2021</t>
  </si>
  <si>
    <t>2022</t>
  </si>
  <si>
    <t xml:space="preserve">Приложение 
к постановлениию администрации
муниципального округа город Кировск Мурманской области                                                             от 22.04.2022 № 604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</si>
</sst>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_р_._-;\-* #,##0.0_р_._-;_-* &quot;-&quot;??_р_._-;_-@_-"/>
    <numFmt numFmtId="165" formatCode="[$-419]General"/>
    <numFmt numFmtId="166" formatCode="#,##0.00_ ;\-#,##0.00\ "/>
    <numFmt numFmtId="167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20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94BD5E"/>
      </patternFill>
    </fill>
    <fill>
      <patternFill patternType="solid">
        <fgColor theme="0"/>
        <bgColor rgb="FF92D050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Border="0" applyProtection="0"/>
  </cellStyleXfs>
  <cellXfs count="254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3" fillId="0" borderId="0" xfId="0" applyFont="1" applyAlignment="1"/>
    <xf numFmtId="0" fontId="5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textRotation="90"/>
    </xf>
    <xf numFmtId="0" fontId="13" fillId="0" borderId="2" xfId="0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0" fontId="11" fillId="2" borderId="0" xfId="0" applyFont="1" applyFill="1"/>
    <xf numFmtId="0" fontId="19" fillId="0" borderId="0" xfId="0" applyFont="1"/>
    <xf numFmtId="4" fontId="11" fillId="0" borderId="0" xfId="0" applyNumberFormat="1" applyFont="1"/>
    <xf numFmtId="4" fontId="11" fillId="2" borderId="0" xfId="0" applyNumberFormat="1" applyFont="1" applyFill="1" applyBorder="1"/>
    <xf numFmtId="4" fontId="19" fillId="2" borderId="0" xfId="0" applyNumberFormat="1" applyFont="1" applyFill="1" applyBorder="1"/>
    <xf numFmtId="0" fontId="19" fillId="2" borderId="0" xfId="0" applyFont="1" applyFill="1"/>
    <xf numFmtId="0" fontId="13" fillId="2" borderId="0" xfId="0" applyFont="1" applyFill="1" applyBorder="1" applyAlignment="1"/>
    <xf numFmtId="49" fontId="13" fillId="2" borderId="2" xfId="0" applyNumberFormat="1" applyFont="1" applyFill="1" applyBorder="1" applyAlignment="1">
      <alignment horizontal="center"/>
    </xf>
    <xf numFmtId="0" fontId="11" fillId="4" borderId="0" xfId="0" applyFont="1" applyFill="1"/>
    <xf numFmtId="4" fontId="19" fillId="0" borderId="0" xfId="0" applyNumberFormat="1" applyFont="1" applyBorder="1"/>
    <xf numFmtId="0" fontId="11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 wrapText="1"/>
    </xf>
    <xf numFmtId="165" fontId="17" fillId="2" borderId="0" xfId="2" applyFont="1" applyFill="1" applyBorder="1" applyAlignment="1" applyProtection="1">
      <alignment horizontal="center"/>
    </xf>
    <xf numFmtId="165" fontId="17" fillId="2" borderId="0" xfId="2" applyFont="1" applyFill="1" applyBorder="1" applyAlignment="1" applyProtection="1">
      <alignment horizontal="center" wrapText="1"/>
    </xf>
    <xf numFmtId="4" fontId="13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/>
    </xf>
    <xf numFmtId="165" fontId="17" fillId="5" borderId="0" xfId="2" applyFont="1" applyFill="1" applyBorder="1" applyAlignment="1" applyProtection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4" fontId="17" fillId="2" borderId="0" xfId="2" applyNumberFormat="1" applyFont="1" applyFill="1" applyBorder="1" applyAlignment="1" applyProtection="1">
      <alignment horizontal="center"/>
    </xf>
    <xf numFmtId="3" fontId="13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/>
    </xf>
    <xf numFmtId="165" fontId="17" fillId="6" borderId="0" xfId="2" applyFont="1" applyFill="1" applyBorder="1" applyAlignment="1" applyProtection="1">
      <alignment horizontal="center"/>
    </xf>
    <xf numFmtId="4" fontId="20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/>
    <xf numFmtId="165" fontId="18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/>
    <xf numFmtId="1" fontId="13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 wrapText="1"/>
    </xf>
    <xf numFmtId="4" fontId="13" fillId="2" borderId="0" xfId="0" applyNumberFormat="1" applyFont="1" applyFill="1" applyBorder="1"/>
    <xf numFmtId="4" fontId="13" fillId="2" borderId="0" xfId="0" applyNumberFormat="1" applyFont="1" applyFill="1" applyBorder="1" applyAlignment="1">
      <alignment horizontal="right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/>
    <xf numFmtId="0" fontId="13" fillId="0" borderId="1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23" fillId="0" borderId="0" xfId="0" applyFont="1" applyFill="1" applyBorder="1"/>
    <xf numFmtId="0" fontId="11" fillId="0" borderId="0" xfId="0" applyNumberFormat="1" applyFont="1" applyFill="1" applyBorder="1"/>
    <xf numFmtId="2" fontId="11" fillId="0" borderId="0" xfId="0" applyNumberFormat="1" applyFont="1" applyFill="1" applyBorder="1"/>
    <xf numFmtId="167" fontId="11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/>
    </xf>
    <xf numFmtId="43" fontId="2" fillId="2" borderId="0" xfId="0" applyNumberFormat="1" applyFont="1" applyFill="1"/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2" xfId="0" applyFont="1" applyFill="1" applyBorder="1"/>
    <xf numFmtId="43" fontId="8" fillId="2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43" fontId="10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 wrapText="1"/>
    </xf>
    <xf numFmtId="4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43" fontId="13" fillId="2" borderId="2" xfId="1" applyFont="1" applyFill="1" applyBorder="1" applyAlignment="1">
      <alignment horizontal="center" wrapText="1"/>
    </xf>
    <xf numFmtId="43" fontId="13" fillId="2" borderId="4" xfId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49" fontId="13" fillId="2" borderId="2" xfId="0" applyNumberFormat="1" applyFont="1" applyFill="1" applyBorder="1" applyAlignment="1">
      <alignment horizontal="center" wrapText="1"/>
    </xf>
    <xf numFmtId="4" fontId="11" fillId="2" borderId="0" xfId="0" applyNumberFormat="1" applyFont="1" applyFill="1"/>
    <xf numFmtId="4" fontId="2" fillId="2" borderId="0" xfId="0" applyNumberFormat="1" applyFont="1" applyFill="1"/>
    <xf numFmtId="43" fontId="2" fillId="2" borderId="0" xfId="0" applyNumberFormat="1" applyFont="1" applyFill="1" applyAlignment="1">
      <alignment wrapText="1"/>
    </xf>
    <xf numFmtId="0" fontId="24" fillId="2" borderId="0" xfId="0" applyFont="1" applyFill="1" applyAlignment="1">
      <alignment horizontal="left"/>
    </xf>
    <xf numFmtId="0" fontId="24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13" fillId="2" borderId="2" xfId="0" applyFont="1" applyFill="1" applyBorder="1"/>
    <xf numFmtId="2" fontId="13" fillId="2" borderId="2" xfId="0" applyNumberFormat="1" applyFont="1" applyFill="1" applyBorder="1" applyAlignment="1">
      <alignment horizontal="center"/>
    </xf>
    <xf numFmtId="43" fontId="2" fillId="0" borderId="0" xfId="0" applyNumberFormat="1" applyFont="1"/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4" fontId="21" fillId="2" borderId="2" xfId="2" applyNumberFormat="1" applyFont="1" applyFill="1" applyBorder="1" applyAlignment="1" applyProtection="1">
      <alignment horizontal="center"/>
    </xf>
    <xf numFmtId="4" fontId="21" fillId="2" borderId="2" xfId="1" applyNumberFormat="1" applyFont="1" applyFill="1" applyBorder="1" applyAlignment="1" applyProtection="1">
      <alignment horizontal="center"/>
    </xf>
    <xf numFmtId="166" fontId="21" fillId="2" borderId="2" xfId="1" applyNumberFormat="1" applyFont="1" applyFill="1" applyBorder="1" applyAlignment="1" applyProtection="1">
      <alignment horizontal="center"/>
    </xf>
    <xf numFmtId="4" fontId="19" fillId="2" borderId="2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 wrapText="1"/>
    </xf>
    <xf numFmtId="4" fontId="13" fillId="0" borderId="5" xfId="0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center" wrapText="1"/>
    </xf>
    <xf numFmtId="4" fontId="18" fillId="2" borderId="2" xfId="0" applyNumberFormat="1" applyFont="1" applyFill="1" applyBorder="1" applyAlignment="1">
      <alignment horizontal="center" wrapText="1"/>
    </xf>
    <xf numFmtId="43" fontId="2" fillId="2" borderId="2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4" fontId="17" fillId="2" borderId="2" xfId="2" applyNumberFormat="1" applyFont="1" applyFill="1" applyBorder="1" applyAlignment="1" applyProtection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20" fillId="2" borderId="2" xfId="0" applyNumberFormat="1" applyFont="1" applyFill="1" applyBorder="1" applyAlignment="1">
      <alignment horizontal="center" wrapText="1"/>
    </xf>
    <xf numFmtId="4" fontId="20" fillId="2" borderId="2" xfId="0" applyNumberFormat="1" applyFont="1" applyFill="1" applyBorder="1" applyAlignment="1">
      <alignment horizontal="center"/>
    </xf>
    <xf numFmtId="4" fontId="20" fillId="2" borderId="5" xfId="0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43" fontId="8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left" wrapText="1"/>
    </xf>
    <xf numFmtId="43" fontId="8" fillId="7" borderId="2" xfId="1" applyFont="1" applyFill="1" applyBorder="1" applyAlignment="1">
      <alignment horizontal="center"/>
    </xf>
    <xf numFmtId="43" fontId="2" fillId="7" borderId="0" xfId="1" applyFont="1" applyFill="1" applyBorder="1" applyAlignment="1">
      <alignment horizontal="center"/>
    </xf>
    <xf numFmtId="43" fontId="2" fillId="7" borderId="2" xfId="1" applyFont="1" applyFill="1" applyBorder="1" applyAlignment="1">
      <alignment horizontal="center"/>
    </xf>
    <xf numFmtId="43" fontId="8" fillId="7" borderId="2" xfId="1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7" borderId="0" xfId="0" applyFont="1" applyFill="1"/>
    <xf numFmtId="39" fontId="2" fillId="7" borderId="2" xfId="1" applyNumberFormat="1" applyFont="1" applyFill="1" applyBorder="1" applyAlignment="1">
      <alignment horizontal="center"/>
    </xf>
    <xf numFmtId="4" fontId="2" fillId="7" borderId="2" xfId="1" applyNumberFormat="1" applyFont="1" applyFill="1" applyBorder="1" applyAlignment="1">
      <alignment horizontal="center"/>
    </xf>
    <xf numFmtId="43" fontId="7" fillId="7" borderId="2" xfId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wrapText="1"/>
    </xf>
    <xf numFmtId="0" fontId="2" fillId="8" borderId="2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3" fontId="24" fillId="2" borderId="0" xfId="0" applyNumberFormat="1" applyFont="1" applyFill="1"/>
    <xf numFmtId="0" fontId="8" fillId="2" borderId="2" xfId="0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/>
    </xf>
    <xf numFmtId="0" fontId="8" fillId="2" borderId="7" xfId="0" applyFont="1" applyFill="1" applyBorder="1" applyAlignment="1">
      <alignment horizontal="left" wrapText="1"/>
    </xf>
    <xf numFmtId="39" fontId="2" fillId="2" borderId="2" xfId="1" applyNumberFormat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center"/>
    </xf>
    <xf numFmtId="4" fontId="19" fillId="0" borderId="0" xfId="0" applyNumberFormat="1" applyFont="1"/>
    <xf numFmtId="4" fontId="13" fillId="2" borderId="2" xfId="0" applyNumberFormat="1" applyFont="1" applyFill="1" applyBorder="1" applyAlignment="1"/>
    <xf numFmtId="0" fontId="13" fillId="2" borderId="2" xfId="0" applyFont="1" applyFill="1" applyBorder="1" applyAlignment="1"/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1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1" fontId="16" fillId="2" borderId="8" xfId="0" applyNumberFormat="1" applyFont="1" applyFill="1" applyBorder="1" applyAlignment="1">
      <alignment horizontal="center"/>
    </xf>
    <xf numFmtId="1" fontId="16" fillId="2" borderId="15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H7" zoomScale="70" zoomScaleNormal="70" workbookViewId="0">
      <selection activeCell="S9" sqref="S9"/>
    </sheetView>
  </sheetViews>
  <sheetFormatPr defaultRowHeight="15" x14ac:dyDescent="0.25"/>
  <cols>
    <col min="1" max="1" width="8" style="8" customWidth="1"/>
    <col min="2" max="2" width="33.140625" style="8" customWidth="1"/>
    <col min="3" max="3" width="10.42578125" style="8" customWidth="1"/>
    <col min="4" max="4" width="8" style="8" customWidth="1"/>
    <col min="5" max="5" width="8.7109375" style="8" customWidth="1"/>
    <col min="6" max="6" width="14.28515625" style="8" customWidth="1"/>
    <col min="7" max="7" width="11.5703125" style="8" customWidth="1"/>
    <col min="8" max="8" width="16.28515625" style="8" customWidth="1"/>
    <col min="9" max="9" width="11" style="8" bestFit="1" customWidth="1"/>
    <col min="10" max="10" width="9.85546875" style="8" bestFit="1" customWidth="1"/>
    <col min="11" max="11" width="14.28515625" style="8" customWidth="1"/>
    <col min="12" max="12" width="14.7109375" style="8" bestFit="1" customWidth="1"/>
    <col min="13" max="13" width="14.140625" style="8" customWidth="1"/>
    <col min="14" max="14" width="15.28515625" style="8" customWidth="1"/>
    <col min="15" max="15" width="20.85546875" style="8" customWidth="1"/>
    <col min="16" max="16" width="9.85546875" style="8" customWidth="1"/>
    <col min="17" max="17" width="9" style="8" customWidth="1"/>
    <col min="18" max="18" width="9.42578125" style="8" customWidth="1"/>
    <col min="19" max="19" width="22.42578125" style="8" customWidth="1"/>
    <col min="20" max="20" width="10.140625" style="8" customWidth="1"/>
    <col min="21" max="21" width="14.7109375" style="8" customWidth="1"/>
    <col min="22" max="22" width="15.140625" style="8" bestFit="1" customWidth="1"/>
    <col min="23" max="23" width="11.7109375" style="8" customWidth="1"/>
    <col min="24" max="24" width="13.140625" style="8" bestFit="1" customWidth="1"/>
    <col min="25" max="25" width="13.85546875" style="8" bestFit="1" customWidth="1"/>
    <col min="26" max="26" width="18" style="8" customWidth="1"/>
    <col min="27" max="27" width="13" style="8" customWidth="1"/>
    <col min="28" max="31" width="9.140625" style="8"/>
    <col min="32" max="32" width="16.5703125" style="8" customWidth="1"/>
    <col min="33" max="33" width="25.85546875" style="8" customWidth="1"/>
    <col min="34" max="16384" width="9.140625" style="8"/>
  </cols>
  <sheetData>
    <row r="1" spans="1:25" ht="15.75" hidden="1" x14ac:dyDescent="0.25">
      <c r="V1" s="184"/>
      <c r="W1" s="184"/>
      <c r="X1" s="184"/>
    </row>
    <row r="2" spans="1:25" ht="74.25" hidden="1" customHeight="1" x14ac:dyDescent="0.3">
      <c r="F2" s="9"/>
      <c r="G2" s="9"/>
      <c r="H2" s="9"/>
      <c r="I2" s="9"/>
      <c r="J2" s="9"/>
      <c r="K2" s="9"/>
      <c r="L2" s="9"/>
      <c r="M2" s="9"/>
      <c r="N2" s="9"/>
      <c r="O2" s="9"/>
      <c r="P2" s="185"/>
      <c r="Q2" s="185"/>
      <c r="R2" s="185"/>
      <c r="S2" s="10"/>
      <c r="T2" s="186" t="s">
        <v>39</v>
      </c>
      <c r="U2" s="186"/>
      <c r="V2" s="186"/>
      <c r="W2" s="186"/>
      <c r="X2" s="186"/>
    </row>
    <row r="3" spans="1:25" ht="17.25" hidden="1" customHeight="1" x14ac:dyDescent="0.3">
      <c r="F3" s="9"/>
      <c r="G3" s="9"/>
      <c r="H3" s="9"/>
      <c r="I3" s="9"/>
      <c r="J3" s="9"/>
      <c r="K3" s="9"/>
      <c r="L3" s="9"/>
      <c r="M3" s="9"/>
      <c r="N3" s="9"/>
      <c r="O3" s="11"/>
      <c r="P3" s="11"/>
      <c r="Q3" s="11"/>
      <c r="R3" s="11"/>
      <c r="S3" s="12"/>
      <c r="T3" s="187"/>
      <c r="U3" s="187"/>
      <c r="V3" s="187"/>
      <c r="W3" s="187"/>
      <c r="X3" s="4"/>
      <c r="Y3" s="4"/>
    </row>
    <row r="4" spans="1:25" ht="18.75" hidden="1" x14ac:dyDescent="0.3">
      <c r="F4" s="9"/>
      <c r="G4" s="9"/>
      <c r="H4" s="9"/>
      <c r="I4" s="9"/>
      <c r="J4" s="9"/>
      <c r="K4" s="9"/>
      <c r="L4" s="9"/>
      <c r="M4" s="9"/>
      <c r="N4" s="9"/>
      <c r="O4" s="9"/>
      <c r="P4" s="185"/>
      <c r="Q4" s="185"/>
      <c r="R4" s="185"/>
      <c r="S4" s="187"/>
      <c r="T4" s="187"/>
      <c r="U4" s="187"/>
      <c r="V4" s="187"/>
      <c r="W4" s="187"/>
      <c r="X4" s="13"/>
    </row>
    <row r="5" spans="1:25" ht="18.75" hidden="1" x14ac:dyDescent="0.3">
      <c r="F5" s="9"/>
      <c r="G5" s="9"/>
      <c r="H5" s="9"/>
      <c r="I5" s="9"/>
      <c r="J5" s="9"/>
      <c r="K5" s="9"/>
      <c r="L5" s="9"/>
      <c r="M5" s="9"/>
      <c r="N5" s="9"/>
      <c r="O5" s="188"/>
      <c r="P5" s="188"/>
      <c r="Q5" s="188"/>
      <c r="R5" s="188"/>
      <c r="S5" s="14"/>
      <c r="T5" s="189"/>
      <c r="U5" s="189"/>
      <c r="V5" s="189"/>
      <c r="W5" s="189"/>
      <c r="X5" s="13"/>
    </row>
    <row r="6" spans="1:25" ht="18.75" hidden="1" x14ac:dyDescent="0.3"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5"/>
      <c r="U6" s="15"/>
      <c r="V6" s="15"/>
      <c r="W6" s="15"/>
      <c r="X6" s="13"/>
    </row>
    <row r="7" spans="1:25" ht="18.75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5"/>
      <c r="U7" s="11"/>
      <c r="V7" s="11"/>
      <c r="W7" s="11"/>
      <c r="X7" s="11"/>
    </row>
    <row r="8" spans="1:25" ht="97.5" customHeight="1" x14ac:dyDescent="0.3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0" t="s">
        <v>113</v>
      </c>
      <c r="T8" s="190"/>
      <c r="U8" s="190"/>
      <c r="V8" s="190"/>
      <c r="W8" s="190"/>
      <c r="X8" s="190"/>
    </row>
    <row r="9" spans="1:25" ht="18.75" x14ac:dyDescent="0.3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5"/>
      <c r="U9" s="15"/>
      <c r="V9" s="15"/>
      <c r="W9" s="15"/>
      <c r="X9" s="13"/>
    </row>
    <row r="10" spans="1:25" ht="18" customHeight="1" x14ac:dyDescent="0.25">
      <c r="B10" s="183" t="s">
        <v>88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</row>
    <row r="11" spans="1:25" ht="6" customHeight="1" x14ac:dyDescent="0.25"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</row>
    <row r="12" spans="1:25" ht="18" customHeight="1" x14ac:dyDescent="0.25"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</row>
    <row r="13" spans="1:25" ht="18" customHeight="1" x14ac:dyDescent="0.25"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5" ht="5.25" customHeight="1" x14ac:dyDescent="0.25"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5" ht="37.5" customHeight="1" x14ac:dyDescent="0.3">
      <c r="A15" s="191"/>
      <c r="B15" s="191"/>
      <c r="C15" s="135"/>
      <c r="D15" s="135"/>
      <c r="E15" s="135"/>
      <c r="F15" s="192" t="s">
        <v>40</v>
      </c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36"/>
      <c r="U15" s="136"/>
      <c r="V15" s="136"/>
      <c r="W15" s="136"/>
      <c r="X15" s="21"/>
    </row>
    <row r="16" spans="1:25" ht="41.25" customHeight="1" x14ac:dyDescent="0.25">
      <c r="A16" s="193" t="s">
        <v>41</v>
      </c>
      <c r="B16" s="193" t="s">
        <v>2</v>
      </c>
      <c r="C16" s="195" t="s">
        <v>42</v>
      </c>
      <c r="D16" s="195" t="s">
        <v>43</v>
      </c>
      <c r="E16" s="195" t="s">
        <v>44</v>
      </c>
      <c r="F16" s="197" t="s">
        <v>45</v>
      </c>
      <c r="G16" s="197"/>
      <c r="H16" s="198" t="s">
        <v>46</v>
      </c>
      <c r="I16" s="198" t="s">
        <v>47</v>
      </c>
      <c r="J16" s="195" t="s">
        <v>48</v>
      </c>
      <c r="K16" s="198" t="s">
        <v>49</v>
      </c>
      <c r="L16" s="198" t="s">
        <v>50</v>
      </c>
      <c r="M16" s="198"/>
      <c r="N16" s="198" t="s">
        <v>51</v>
      </c>
      <c r="O16" s="197" t="s">
        <v>52</v>
      </c>
      <c r="P16" s="197"/>
      <c r="Q16" s="197"/>
      <c r="R16" s="197"/>
      <c r="S16" s="197"/>
      <c r="T16" s="197"/>
      <c r="U16" s="198" t="s">
        <v>53</v>
      </c>
      <c r="V16" s="198" t="s">
        <v>54</v>
      </c>
      <c r="W16" s="198" t="s">
        <v>55</v>
      </c>
      <c r="X16" s="195" t="s">
        <v>56</v>
      </c>
    </row>
    <row r="17" spans="1:30" ht="176.25" customHeight="1" x14ac:dyDescent="0.25">
      <c r="A17" s="194"/>
      <c r="B17" s="194"/>
      <c r="C17" s="196"/>
      <c r="D17" s="196"/>
      <c r="E17" s="196"/>
      <c r="F17" s="170" t="s">
        <v>57</v>
      </c>
      <c r="G17" s="170" t="s">
        <v>58</v>
      </c>
      <c r="H17" s="195"/>
      <c r="I17" s="195"/>
      <c r="J17" s="196"/>
      <c r="K17" s="195"/>
      <c r="L17" s="169" t="s">
        <v>59</v>
      </c>
      <c r="M17" s="137" t="s">
        <v>60</v>
      </c>
      <c r="N17" s="195"/>
      <c r="O17" s="169" t="s">
        <v>59</v>
      </c>
      <c r="P17" s="170" t="s">
        <v>61</v>
      </c>
      <c r="Q17" s="170" t="s">
        <v>62</v>
      </c>
      <c r="R17" s="170" t="s">
        <v>63</v>
      </c>
      <c r="S17" s="170" t="s">
        <v>64</v>
      </c>
      <c r="T17" s="171" t="s">
        <v>65</v>
      </c>
      <c r="U17" s="195"/>
      <c r="V17" s="195"/>
      <c r="W17" s="195"/>
      <c r="X17" s="199"/>
      <c r="Y17" s="17"/>
      <c r="Z17" s="17"/>
    </row>
    <row r="18" spans="1:30" ht="24" customHeight="1" x14ac:dyDescent="0.25">
      <c r="A18" s="172">
        <v>1</v>
      </c>
      <c r="B18" s="172">
        <v>2</v>
      </c>
      <c r="C18" s="173">
        <v>3</v>
      </c>
      <c r="D18" s="173">
        <v>4</v>
      </c>
      <c r="E18" s="173">
        <v>5</v>
      </c>
      <c r="F18" s="173">
        <v>6</v>
      </c>
      <c r="G18" s="173">
        <v>7</v>
      </c>
      <c r="H18" s="173">
        <v>8</v>
      </c>
      <c r="I18" s="173">
        <v>9</v>
      </c>
      <c r="J18" s="173">
        <v>10</v>
      </c>
      <c r="K18" s="173">
        <v>11</v>
      </c>
      <c r="L18" s="172">
        <v>12</v>
      </c>
      <c r="M18" s="173">
        <v>13</v>
      </c>
      <c r="N18" s="173">
        <v>14</v>
      </c>
      <c r="O18" s="172">
        <v>15</v>
      </c>
      <c r="P18" s="173">
        <v>16</v>
      </c>
      <c r="Q18" s="173">
        <v>17</v>
      </c>
      <c r="R18" s="173">
        <v>18</v>
      </c>
      <c r="S18" s="173">
        <v>19</v>
      </c>
      <c r="T18" s="173">
        <v>20</v>
      </c>
      <c r="U18" s="173">
        <v>21</v>
      </c>
      <c r="V18" s="173">
        <v>22</v>
      </c>
      <c r="W18" s="173">
        <v>23</v>
      </c>
      <c r="X18" s="173">
        <v>24</v>
      </c>
    </row>
    <row r="19" spans="1:30" ht="21.95" customHeight="1" x14ac:dyDescent="0.25">
      <c r="A19" s="200">
        <v>2023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2"/>
    </row>
    <row r="20" spans="1:30" ht="21.95" customHeight="1" x14ac:dyDescent="0.3">
      <c r="A20" s="98">
        <v>1</v>
      </c>
      <c r="B20" s="181" t="s">
        <v>83</v>
      </c>
      <c r="C20" s="118" t="s">
        <v>66</v>
      </c>
      <c r="D20" s="118" t="s">
        <v>67</v>
      </c>
      <c r="E20" s="118"/>
      <c r="F20" s="98">
        <v>1959</v>
      </c>
      <c r="G20" s="118"/>
      <c r="H20" s="120" t="s">
        <v>68</v>
      </c>
      <c r="I20" s="120">
        <v>5</v>
      </c>
      <c r="J20" s="120">
        <v>4</v>
      </c>
      <c r="K20" s="143">
        <v>6109.1</v>
      </c>
      <c r="L20" s="143">
        <v>5569.2</v>
      </c>
      <c r="M20" s="143">
        <v>4491.3999999999996</v>
      </c>
      <c r="N20" s="143">
        <v>132</v>
      </c>
      <c r="O20" s="97">
        <f>'Разд 2'!C10</f>
        <v>21792379.010000002</v>
      </c>
      <c r="P20" s="101"/>
      <c r="Q20" s="101"/>
      <c r="R20" s="101"/>
      <c r="S20" s="96">
        <f t="shared" ref="S20:S28" si="0">O20</f>
        <v>21792379.010000002</v>
      </c>
      <c r="T20" s="101"/>
      <c r="U20" s="103">
        <f t="shared" ref="U20:U27" si="1">S20/K20</f>
        <v>3567.2</v>
      </c>
      <c r="V20" s="96">
        <v>11371.98</v>
      </c>
      <c r="W20" s="104" t="s">
        <v>102</v>
      </c>
      <c r="X20" s="104" t="s">
        <v>102</v>
      </c>
    </row>
    <row r="21" spans="1:30" ht="21.95" customHeight="1" x14ac:dyDescent="0.3">
      <c r="A21" s="98">
        <v>2</v>
      </c>
      <c r="B21" s="119" t="s">
        <v>84</v>
      </c>
      <c r="C21" s="118" t="s">
        <v>66</v>
      </c>
      <c r="D21" s="118" t="s">
        <v>67</v>
      </c>
      <c r="E21" s="115"/>
      <c r="F21" s="98">
        <v>1960</v>
      </c>
      <c r="G21" s="115"/>
      <c r="H21" s="120" t="s">
        <v>68</v>
      </c>
      <c r="I21" s="98">
        <v>5</v>
      </c>
      <c r="J21" s="98">
        <v>2</v>
      </c>
      <c r="K21" s="116">
        <v>1740.2</v>
      </c>
      <c r="L21" s="116">
        <v>1593.1</v>
      </c>
      <c r="M21" s="116">
        <v>1593.1</v>
      </c>
      <c r="N21" s="116">
        <v>59</v>
      </c>
      <c r="O21" s="97">
        <f>'Разд 2'!C11</f>
        <v>6027014.8899999997</v>
      </c>
      <c r="P21" s="101"/>
      <c r="Q21" s="101"/>
      <c r="R21" s="101"/>
      <c r="S21" s="96">
        <f t="shared" si="0"/>
        <v>6027014.8899999997</v>
      </c>
      <c r="T21" s="101"/>
      <c r="U21" s="103">
        <f t="shared" si="1"/>
        <v>3463.4</v>
      </c>
      <c r="V21" s="96">
        <v>11371.98</v>
      </c>
      <c r="W21" s="104" t="s">
        <v>102</v>
      </c>
      <c r="X21" s="104" t="s">
        <v>102</v>
      </c>
    </row>
    <row r="22" spans="1:30" ht="21.95" customHeight="1" x14ac:dyDescent="0.3">
      <c r="A22" s="98">
        <v>3</v>
      </c>
      <c r="B22" s="119" t="s">
        <v>86</v>
      </c>
      <c r="C22" s="118" t="s">
        <v>66</v>
      </c>
      <c r="D22" s="118" t="s">
        <v>67</v>
      </c>
      <c r="E22" s="118"/>
      <c r="F22" s="118">
        <v>1961</v>
      </c>
      <c r="G22" s="118"/>
      <c r="H22" s="120" t="s">
        <v>68</v>
      </c>
      <c r="I22" s="118">
        <v>5</v>
      </c>
      <c r="J22" s="118">
        <v>2</v>
      </c>
      <c r="K22" s="96">
        <v>1666.4</v>
      </c>
      <c r="L22" s="97">
        <v>1490.9</v>
      </c>
      <c r="M22" s="96">
        <v>1490.9</v>
      </c>
      <c r="N22" s="96">
        <v>48</v>
      </c>
      <c r="O22" s="97">
        <f>'Разд 2'!C12</f>
        <v>11684361.460000001</v>
      </c>
      <c r="P22" s="101"/>
      <c r="Q22" s="101"/>
      <c r="R22" s="101"/>
      <c r="S22" s="96">
        <f t="shared" si="0"/>
        <v>11684361.460000001</v>
      </c>
      <c r="T22" s="101"/>
      <c r="U22" s="103">
        <f t="shared" si="1"/>
        <v>7011.74</v>
      </c>
      <c r="V22" s="96">
        <v>11371.98</v>
      </c>
      <c r="W22" s="104" t="s">
        <v>102</v>
      </c>
      <c r="X22" s="104" t="s">
        <v>102</v>
      </c>
    </row>
    <row r="23" spans="1:30" s="21" customFormat="1" ht="21.95" customHeight="1" x14ac:dyDescent="0.3">
      <c r="A23" s="98">
        <v>4</v>
      </c>
      <c r="B23" s="119" t="s">
        <v>38</v>
      </c>
      <c r="C23" s="118" t="s">
        <v>66</v>
      </c>
      <c r="D23" s="118" t="s">
        <v>67</v>
      </c>
      <c r="E23" s="118"/>
      <c r="F23" s="118">
        <v>1949</v>
      </c>
      <c r="G23" s="118">
        <v>2021</v>
      </c>
      <c r="H23" s="120" t="s">
        <v>68</v>
      </c>
      <c r="I23" s="104" t="s">
        <v>100</v>
      </c>
      <c r="J23" s="118">
        <v>5</v>
      </c>
      <c r="K23" s="97">
        <v>6197</v>
      </c>
      <c r="L23" s="97">
        <v>4215.3999999999996</v>
      </c>
      <c r="M23" s="97">
        <v>4215.3999999999996</v>
      </c>
      <c r="N23" s="144">
        <v>122</v>
      </c>
      <c r="O23" s="97">
        <f>'Разд 2'!C13</f>
        <v>14699621.880000001</v>
      </c>
      <c r="P23" s="101"/>
      <c r="Q23" s="101"/>
      <c r="R23" s="101"/>
      <c r="S23" s="96">
        <f t="shared" si="0"/>
        <v>14699621.880000001</v>
      </c>
      <c r="T23" s="101"/>
      <c r="U23" s="103">
        <f t="shared" si="1"/>
        <v>2372.0500000000002</v>
      </c>
      <c r="V23" s="96">
        <v>11371.98</v>
      </c>
      <c r="W23" s="104" t="s">
        <v>102</v>
      </c>
      <c r="X23" s="104" t="s">
        <v>102</v>
      </c>
      <c r="Z23" s="105"/>
    </row>
    <row r="24" spans="1:30" ht="21.95" customHeight="1" x14ac:dyDescent="0.3">
      <c r="A24" s="98">
        <v>5</v>
      </c>
      <c r="B24" s="119" t="s">
        <v>33</v>
      </c>
      <c r="C24" s="118" t="s">
        <v>66</v>
      </c>
      <c r="D24" s="118" t="s">
        <v>67</v>
      </c>
      <c r="E24" s="118"/>
      <c r="F24" s="118">
        <v>1957</v>
      </c>
      <c r="G24" s="118">
        <v>2020</v>
      </c>
      <c r="H24" s="118" t="s">
        <v>68</v>
      </c>
      <c r="I24" s="118">
        <v>4</v>
      </c>
      <c r="J24" s="118">
        <v>4</v>
      </c>
      <c r="K24" s="96">
        <v>3517.1</v>
      </c>
      <c r="L24" s="97">
        <v>3210.5</v>
      </c>
      <c r="M24" s="96">
        <v>2481.9</v>
      </c>
      <c r="N24" s="96">
        <v>68</v>
      </c>
      <c r="O24" s="97">
        <f>'Разд 2'!C14</f>
        <v>6368231.4199999999</v>
      </c>
      <c r="P24" s="101"/>
      <c r="Q24" s="101"/>
      <c r="R24" s="101"/>
      <c r="S24" s="96">
        <f t="shared" si="0"/>
        <v>6368231.4199999999</v>
      </c>
      <c r="T24" s="101"/>
      <c r="U24" s="103">
        <f t="shared" si="1"/>
        <v>1810.65</v>
      </c>
      <c r="V24" s="96">
        <v>12634.74</v>
      </c>
      <c r="W24" s="104" t="s">
        <v>102</v>
      </c>
      <c r="X24" s="104" t="s">
        <v>102</v>
      </c>
    </row>
    <row r="25" spans="1:30" ht="21.95" customHeight="1" x14ac:dyDescent="0.3">
      <c r="A25" s="98">
        <v>6</v>
      </c>
      <c r="B25" s="119" t="s">
        <v>85</v>
      </c>
      <c r="C25" s="118" t="s">
        <v>66</v>
      </c>
      <c r="D25" s="118" t="s">
        <v>67</v>
      </c>
      <c r="E25" s="118"/>
      <c r="F25" s="98">
        <v>1957</v>
      </c>
      <c r="G25" s="118">
        <v>2018</v>
      </c>
      <c r="H25" s="120" t="s">
        <v>68</v>
      </c>
      <c r="I25" s="120">
        <v>4</v>
      </c>
      <c r="J25" s="120">
        <v>3</v>
      </c>
      <c r="K25" s="96">
        <v>2664.5</v>
      </c>
      <c r="L25" s="97">
        <v>2229.8000000000002</v>
      </c>
      <c r="M25" s="96">
        <v>1261</v>
      </c>
      <c r="N25" s="96">
        <v>64</v>
      </c>
      <c r="O25" s="97">
        <f>'Разд 2'!C15</f>
        <v>6992663.7300000004</v>
      </c>
      <c r="P25" s="101"/>
      <c r="Q25" s="101"/>
      <c r="R25" s="101"/>
      <c r="S25" s="96">
        <f t="shared" si="0"/>
        <v>6992663.7300000004</v>
      </c>
      <c r="T25" s="101"/>
      <c r="U25" s="96">
        <f t="shared" si="1"/>
        <v>2624.38</v>
      </c>
      <c r="V25" s="96">
        <v>12634.74</v>
      </c>
      <c r="W25" s="104" t="s">
        <v>103</v>
      </c>
      <c r="X25" s="104" t="s">
        <v>103</v>
      </c>
    </row>
    <row r="26" spans="1:30" s="21" customFormat="1" ht="21.95" customHeight="1" x14ac:dyDescent="0.3">
      <c r="A26" s="98">
        <v>7</v>
      </c>
      <c r="B26" s="182" t="s">
        <v>36</v>
      </c>
      <c r="C26" s="118" t="s">
        <v>66</v>
      </c>
      <c r="D26" s="118" t="s">
        <v>67</v>
      </c>
      <c r="E26" s="98"/>
      <c r="F26" s="118">
        <v>1958</v>
      </c>
      <c r="G26" s="98">
        <v>2021</v>
      </c>
      <c r="H26" s="120" t="s">
        <v>68</v>
      </c>
      <c r="I26" s="118">
        <v>4</v>
      </c>
      <c r="J26" s="118">
        <v>6</v>
      </c>
      <c r="K26" s="145">
        <v>6206.5</v>
      </c>
      <c r="L26" s="146">
        <v>5566.8</v>
      </c>
      <c r="M26" s="145">
        <v>3873.4</v>
      </c>
      <c r="N26" s="145">
        <v>126</v>
      </c>
      <c r="O26" s="97">
        <f>'Разд 2'!C16</f>
        <v>15924589.449999999</v>
      </c>
      <c r="P26" s="101"/>
      <c r="Q26" s="101"/>
      <c r="R26" s="101"/>
      <c r="S26" s="97">
        <f t="shared" si="0"/>
        <v>15924589.449999999</v>
      </c>
      <c r="T26" s="101"/>
      <c r="U26" s="96">
        <f>S26/K26</f>
        <v>2565.79</v>
      </c>
      <c r="V26" s="96">
        <v>12634.74</v>
      </c>
      <c r="W26" s="104" t="s">
        <v>103</v>
      </c>
      <c r="X26" s="104" t="s">
        <v>103</v>
      </c>
      <c r="Y26" s="24"/>
      <c r="Z26" s="24"/>
    </row>
    <row r="27" spans="1:30" ht="21.95" customHeight="1" x14ac:dyDescent="0.3">
      <c r="A27" s="98">
        <v>8</v>
      </c>
      <c r="B27" s="119" t="s">
        <v>37</v>
      </c>
      <c r="C27" s="118" t="s">
        <v>66</v>
      </c>
      <c r="D27" s="118" t="s">
        <v>67</v>
      </c>
      <c r="E27" s="118"/>
      <c r="F27" s="98">
        <v>1956</v>
      </c>
      <c r="G27" s="118">
        <v>2010</v>
      </c>
      <c r="H27" s="120" t="s">
        <v>68</v>
      </c>
      <c r="I27" s="120">
        <v>5</v>
      </c>
      <c r="J27" s="120">
        <v>4</v>
      </c>
      <c r="K27" s="145">
        <v>4640.1000000000004</v>
      </c>
      <c r="L27" s="146">
        <v>4225.7</v>
      </c>
      <c r="M27" s="145">
        <v>3301.6</v>
      </c>
      <c r="N27" s="147">
        <v>75</v>
      </c>
      <c r="O27" s="97">
        <f>'Разд 2'!C17</f>
        <v>51433354.850000001</v>
      </c>
      <c r="P27" s="101"/>
      <c r="Q27" s="101"/>
      <c r="R27" s="101"/>
      <c r="S27" s="96">
        <f t="shared" si="0"/>
        <v>51433354.850000001</v>
      </c>
      <c r="T27" s="101"/>
      <c r="U27" s="103">
        <f t="shared" si="1"/>
        <v>11084.54</v>
      </c>
      <c r="V27" s="96">
        <v>11371.98</v>
      </c>
      <c r="W27" s="104" t="s">
        <v>102</v>
      </c>
      <c r="X27" s="104" t="s">
        <v>102</v>
      </c>
    </row>
    <row r="28" spans="1:30" s="22" customFormat="1" ht="21.95" customHeight="1" x14ac:dyDescent="0.35">
      <c r="A28" s="121"/>
      <c r="B28" s="138" t="s">
        <v>96</v>
      </c>
      <c r="C28" s="139"/>
      <c r="D28" s="139"/>
      <c r="E28" s="139"/>
      <c r="F28" s="139"/>
      <c r="G28" s="139"/>
      <c r="H28" s="139"/>
      <c r="I28" s="139"/>
      <c r="J28" s="139"/>
      <c r="K28" s="140">
        <f>ROUND(K20+K21+K22+K23+K24+K25+K26+K27,2)</f>
        <v>32740.9</v>
      </c>
      <c r="L28" s="140">
        <f>ROUND(L20+L21+L22+L23+L24+L25+L26+L27,2)</f>
        <v>28101.4</v>
      </c>
      <c r="M28" s="140">
        <f>ROUND(M20+M21+M22+M23+M24+M25+M26+M27,2)</f>
        <v>22708.7</v>
      </c>
      <c r="N28" s="140">
        <f>SUM(N20:N27)</f>
        <v>694</v>
      </c>
      <c r="O28" s="140">
        <f>'Разд 2'!C18</f>
        <v>134922216.69</v>
      </c>
      <c r="P28" s="140"/>
      <c r="Q28" s="140"/>
      <c r="R28" s="140"/>
      <c r="S28" s="140">
        <f t="shared" si="0"/>
        <v>134922216.69</v>
      </c>
      <c r="T28" s="140"/>
      <c r="U28" s="140">
        <f>SUM(U20:U27)</f>
        <v>34499.75</v>
      </c>
      <c r="V28" s="140"/>
      <c r="W28" s="131"/>
      <c r="X28" s="131"/>
      <c r="Z28" s="180"/>
    </row>
    <row r="29" spans="1:30" ht="21.95" customHeight="1" x14ac:dyDescent="0.3">
      <c r="A29" s="203">
        <v>2024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5"/>
      <c r="Y29" s="23"/>
    </row>
    <row r="30" spans="1:30" ht="21.95" customHeight="1" x14ac:dyDescent="0.3">
      <c r="A30" s="98">
        <v>1</v>
      </c>
      <c r="B30" s="119" t="s">
        <v>31</v>
      </c>
      <c r="C30" s="118" t="s">
        <v>66</v>
      </c>
      <c r="D30" s="118" t="s">
        <v>67</v>
      </c>
      <c r="E30" s="118"/>
      <c r="F30" s="118">
        <v>1957</v>
      </c>
      <c r="G30" s="118">
        <v>2020</v>
      </c>
      <c r="H30" s="120" t="s">
        <v>68</v>
      </c>
      <c r="I30" s="118">
        <v>4</v>
      </c>
      <c r="J30" s="118">
        <v>4</v>
      </c>
      <c r="K30" s="96">
        <v>3634.9</v>
      </c>
      <c r="L30" s="97">
        <v>3301.4</v>
      </c>
      <c r="M30" s="96">
        <v>2996.3</v>
      </c>
      <c r="N30" s="96">
        <v>82</v>
      </c>
      <c r="O30" s="97">
        <f>'Разд 2'!C20</f>
        <v>20502760.829999998</v>
      </c>
      <c r="P30" s="101"/>
      <c r="Q30" s="101"/>
      <c r="R30" s="101"/>
      <c r="S30" s="96">
        <f t="shared" ref="S30:S38" si="2">O30</f>
        <v>20502760.829999998</v>
      </c>
      <c r="T30" s="101"/>
      <c r="U30" s="96">
        <f t="shared" ref="U30:U37" si="3">S30/K30</f>
        <v>5640.53</v>
      </c>
      <c r="V30" s="96">
        <v>12634.74</v>
      </c>
      <c r="W30" s="104" t="s">
        <v>103</v>
      </c>
      <c r="X30" s="104" t="s">
        <v>103</v>
      </c>
    </row>
    <row r="31" spans="1:30" s="29" customFormat="1" ht="21.95" customHeight="1" x14ac:dyDescent="0.3">
      <c r="A31" s="98">
        <v>2</v>
      </c>
      <c r="B31" s="119" t="s">
        <v>32</v>
      </c>
      <c r="C31" s="118" t="s">
        <v>66</v>
      </c>
      <c r="D31" s="118" t="s">
        <v>67</v>
      </c>
      <c r="E31" s="118"/>
      <c r="F31" s="118">
        <v>1958</v>
      </c>
      <c r="G31" s="118">
        <v>2005</v>
      </c>
      <c r="H31" s="120" t="s">
        <v>68</v>
      </c>
      <c r="I31" s="118">
        <v>4</v>
      </c>
      <c r="J31" s="118">
        <v>4</v>
      </c>
      <c r="K31" s="96">
        <v>3958</v>
      </c>
      <c r="L31" s="97">
        <v>2811</v>
      </c>
      <c r="M31" s="96">
        <v>2811</v>
      </c>
      <c r="N31" s="96">
        <v>84</v>
      </c>
      <c r="O31" s="96">
        <f>'Разд 2'!C21</f>
        <v>9851876.6600000001</v>
      </c>
      <c r="P31" s="101"/>
      <c r="Q31" s="101"/>
      <c r="R31" s="101"/>
      <c r="S31" s="97">
        <f t="shared" si="2"/>
        <v>9851876.6600000001</v>
      </c>
      <c r="T31" s="101"/>
      <c r="U31" s="96">
        <f t="shared" si="3"/>
        <v>2489.1</v>
      </c>
      <c r="V31" s="96">
        <v>12634.74</v>
      </c>
      <c r="W31" s="28" t="s">
        <v>104</v>
      </c>
      <c r="X31" s="28" t="s">
        <v>104</v>
      </c>
      <c r="Y31" s="24"/>
      <c r="Z31" s="24"/>
      <c r="AA31" s="21"/>
      <c r="AB31" s="21"/>
      <c r="AC31" s="21"/>
      <c r="AD31" s="21"/>
    </row>
    <row r="32" spans="1:30" ht="21.95" customHeight="1" x14ac:dyDescent="0.3">
      <c r="A32" s="98">
        <v>3</v>
      </c>
      <c r="B32" s="119" t="s">
        <v>89</v>
      </c>
      <c r="C32" s="118" t="s">
        <v>99</v>
      </c>
      <c r="D32" s="118" t="s">
        <v>67</v>
      </c>
      <c r="E32" s="118"/>
      <c r="F32" s="118">
        <v>1960</v>
      </c>
      <c r="G32" s="118"/>
      <c r="H32" s="120" t="s">
        <v>68</v>
      </c>
      <c r="I32" s="104" t="s">
        <v>100</v>
      </c>
      <c r="J32" s="118">
        <v>6</v>
      </c>
      <c r="K32" s="96">
        <v>4784.1000000000004</v>
      </c>
      <c r="L32" s="97">
        <v>4784.1000000000004</v>
      </c>
      <c r="M32" s="96">
        <v>4303.8999999999996</v>
      </c>
      <c r="N32" s="96">
        <v>164</v>
      </c>
      <c r="O32" s="97">
        <f>'Разд 2'!C22</f>
        <v>18863071.989999998</v>
      </c>
      <c r="P32" s="101"/>
      <c r="Q32" s="101"/>
      <c r="R32" s="101"/>
      <c r="S32" s="96">
        <f t="shared" si="2"/>
        <v>18863071.989999998</v>
      </c>
      <c r="T32" s="101"/>
      <c r="U32" s="103">
        <f>S32/K32</f>
        <v>3942.87</v>
      </c>
      <c r="V32" s="96">
        <v>11371.98</v>
      </c>
      <c r="W32" s="104" t="s">
        <v>102</v>
      </c>
      <c r="X32" s="104" t="s">
        <v>102</v>
      </c>
    </row>
    <row r="33" spans="1:30" ht="21.95" customHeight="1" x14ac:dyDescent="0.3">
      <c r="A33" s="98">
        <v>4</v>
      </c>
      <c r="B33" s="119" t="s">
        <v>33</v>
      </c>
      <c r="C33" s="118" t="s">
        <v>66</v>
      </c>
      <c r="D33" s="118" t="s">
        <v>67</v>
      </c>
      <c r="E33" s="118"/>
      <c r="F33" s="118">
        <v>1957</v>
      </c>
      <c r="G33" s="118">
        <v>2020</v>
      </c>
      <c r="H33" s="120" t="s">
        <v>68</v>
      </c>
      <c r="I33" s="118">
        <v>4</v>
      </c>
      <c r="J33" s="118">
        <v>4</v>
      </c>
      <c r="K33" s="96">
        <v>3517.1</v>
      </c>
      <c r="L33" s="97">
        <v>3210.5</v>
      </c>
      <c r="M33" s="96">
        <v>2481.9</v>
      </c>
      <c r="N33" s="96">
        <v>68</v>
      </c>
      <c r="O33" s="97">
        <f>'Разд 2'!C23</f>
        <v>22406403.449999999</v>
      </c>
      <c r="P33" s="101"/>
      <c r="Q33" s="101"/>
      <c r="R33" s="101"/>
      <c r="S33" s="96">
        <f t="shared" si="2"/>
        <v>22406403.449999999</v>
      </c>
      <c r="T33" s="101"/>
      <c r="U33" s="103">
        <f t="shared" si="3"/>
        <v>6370.7</v>
      </c>
      <c r="V33" s="96">
        <v>12634.74</v>
      </c>
      <c r="W33" s="104" t="s">
        <v>103</v>
      </c>
      <c r="X33" s="104" t="s">
        <v>103</v>
      </c>
    </row>
    <row r="34" spans="1:30" s="29" customFormat="1" ht="21.95" customHeight="1" x14ac:dyDescent="0.3">
      <c r="A34" s="98">
        <v>5</v>
      </c>
      <c r="B34" s="182" t="s">
        <v>34</v>
      </c>
      <c r="C34" s="118" t="s">
        <v>66</v>
      </c>
      <c r="D34" s="118" t="s">
        <v>67</v>
      </c>
      <c r="E34" s="118"/>
      <c r="F34" s="118">
        <v>1957</v>
      </c>
      <c r="G34" s="118">
        <v>2020</v>
      </c>
      <c r="H34" s="120" t="s">
        <v>68</v>
      </c>
      <c r="I34" s="120">
        <v>4</v>
      </c>
      <c r="J34" s="120">
        <v>4</v>
      </c>
      <c r="K34" s="96">
        <v>4284.5</v>
      </c>
      <c r="L34" s="97">
        <v>3957.5</v>
      </c>
      <c r="M34" s="96">
        <v>3287.8</v>
      </c>
      <c r="N34" s="96">
        <v>77</v>
      </c>
      <c r="O34" s="96">
        <f>'Разд 2'!C24</f>
        <v>24402799.579999998</v>
      </c>
      <c r="P34" s="101"/>
      <c r="Q34" s="101"/>
      <c r="R34" s="101"/>
      <c r="S34" s="97">
        <f t="shared" si="2"/>
        <v>24402799.579999998</v>
      </c>
      <c r="T34" s="101"/>
      <c r="U34" s="96">
        <f t="shared" si="3"/>
        <v>5695.6</v>
      </c>
      <c r="V34" s="96">
        <v>12634.74</v>
      </c>
      <c r="W34" s="28" t="s">
        <v>104</v>
      </c>
      <c r="X34" s="28" t="s">
        <v>104</v>
      </c>
      <c r="Y34" s="24"/>
      <c r="Z34" s="24"/>
      <c r="AA34" s="21"/>
      <c r="AB34" s="21"/>
      <c r="AC34" s="21"/>
      <c r="AD34" s="21"/>
    </row>
    <row r="35" spans="1:30" ht="21.95" customHeight="1" x14ac:dyDescent="0.3">
      <c r="A35" s="98">
        <v>6</v>
      </c>
      <c r="B35" s="119" t="s">
        <v>85</v>
      </c>
      <c r="C35" s="118" t="s">
        <v>66</v>
      </c>
      <c r="D35" s="118" t="s">
        <v>67</v>
      </c>
      <c r="E35" s="118"/>
      <c r="F35" s="98">
        <v>1957</v>
      </c>
      <c r="G35" s="118">
        <v>2018</v>
      </c>
      <c r="H35" s="120" t="s">
        <v>68</v>
      </c>
      <c r="I35" s="120">
        <v>4</v>
      </c>
      <c r="J35" s="120">
        <v>3</v>
      </c>
      <c r="K35" s="96">
        <v>2664.5</v>
      </c>
      <c r="L35" s="97">
        <v>2229.8000000000002</v>
      </c>
      <c r="M35" s="96">
        <v>1261</v>
      </c>
      <c r="N35" s="96">
        <v>64</v>
      </c>
      <c r="O35" s="97">
        <f>'Разд 2'!C25</f>
        <v>19718099.399999999</v>
      </c>
      <c r="P35" s="101"/>
      <c r="Q35" s="101"/>
      <c r="R35" s="101"/>
      <c r="S35" s="96">
        <f t="shared" si="2"/>
        <v>19718099.399999999</v>
      </c>
      <c r="T35" s="101"/>
      <c r="U35" s="96">
        <f t="shared" si="3"/>
        <v>7400.3</v>
      </c>
      <c r="V35" s="96">
        <v>12634.74</v>
      </c>
      <c r="W35" s="104" t="s">
        <v>103</v>
      </c>
      <c r="X35" s="104" t="s">
        <v>103</v>
      </c>
    </row>
    <row r="36" spans="1:30" s="21" customFormat="1" ht="21.95" customHeight="1" x14ac:dyDescent="0.3">
      <c r="A36" s="98">
        <v>7</v>
      </c>
      <c r="B36" s="182" t="s">
        <v>94</v>
      </c>
      <c r="C36" s="118" t="s">
        <v>66</v>
      </c>
      <c r="D36" s="118" t="s">
        <v>67</v>
      </c>
      <c r="E36" s="98"/>
      <c r="F36" s="98">
        <v>1961</v>
      </c>
      <c r="G36" s="98"/>
      <c r="H36" s="120" t="s">
        <v>68</v>
      </c>
      <c r="I36" s="98">
        <v>5</v>
      </c>
      <c r="J36" s="98">
        <v>2</v>
      </c>
      <c r="K36" s="97">
        <v>1619</v>
      </c>
      <c r="L36" s="148">
        <v>1500.2</v>
      </c>
      <c r="M36" s="148">
        <v>1468.7</v>
      </c>
      <c r="N36" s="144">
        <v>42</v>
      </c>
      <c r="O36" s="97">
        <f>'Разд 2'!C26</f>
        <v>6329104.4299999997</v>
      </c>
      <c r="P36" s="101"/>
      <c r="Q36" s="101"/>
      <c r="R36" s="101"/>
      <c r="S36" s="97">
        <f t="shared" si="2"/>
        <v>6329104.4299999997</v>
      </c>
      <c r="T36" s="101"/>
      <c r="U36" s="96">
        <f t="shared" si="3"/>
        <v>3909.27</v>
      </c>
      <c r="V36" s="96">
        <v>11371.98</v>
      </c>
      <c r="W36" s="104" t="s">
        <v>103</v>
      </c>
      <c r="X36" s="104" t="s">
        <v>103</v>
      </c>
      <c r="Y36" s="24"/>
      <c r="Z36" s="24"/>
    </row>
    <row r="37" spans="1:30" s="21" customFormat="1" ht="21.95" customHeight="1" x14ac:dyDescent="0.3">
      <c r="A37" s="98">
        <v>8</v>
      </c>
      <c r="B37" s="181" t="s">
        <v>95</v>
      </c>
      <c r="C37" s="118" t="s">
        <v>66</v>
      </c>
      <c r="D37" s="118" t="s">
        <v>67</v>
      </c>
      <c r="E37" s="98"/>
      <c r="F37" s="28" t="s">
        <v>101</v>
      </c>
      <c r="G37" s="99"/>
      <c r="H37" s="120" t="s">
        <v>68</v>
      </c>
      <c r="I37" s="100">
        <v>5</v>
      </c>
      <c r="J37" s="100">
        <v>3</v>
      </c>
      <c r="K37" s="143">
        <v>2708.5</v>
      </c>
      <c r="L37" s="143">
        <v>2527.6</v>
      </c>
      <c r="M37" s="143">
        <v>2339.9</v>
      </c>
      <c r="N37" s="143">
        <v>85</v>
      </c>
      <c r="O37" s="97">
        <f>'Разд 2'!C27</f>
        <v>10276824.51</v>
      </c>
      <c r="P37" s="101"/>
      <c r="Q37" s="101"/>
      <c r="R37" s="101"/>
      <c r="S37" s="97">
        <f t="shared" si="2"/>
        <v>10276824.51</v>
      </c>
      <c r="T37" s="101"/>
      <c r="U37" s="96">
        <f t="shared" si="3"/>
        <v>3794.29</v>
      </c>
      <c r="V37" s="96">
        <v>11371.98</v>
      </c>
      <c r="W37" s="104" t="s">
        <v>103</v>
      </c>
      <c r="X37" s="104" t="s">
        <v>103</v>
      </c>
      <c r="Y37" s="24"/>
      <c r="Z37" s="24"/>
    </row>
    <row r="38" spans="1:30" s="26" customFormat="1" ht="21.95" customHeight="1" x14ac:dyDescent="0.35">
      <c r="A38" s="121"/>
      <c r="B38" s="122" t="s">
        <v>97</v>
      </c>
      <c r="C38" s="121"/>
      <c r="D38" s="121"/>
      <c r="E38" s="121"/>
      <c r="F38" s="123"/>
      <c r="G38" s="124"/>
      <c r="H38" s="125"/>
      <c r="I38" s="126"/>
      <c r="J38" s="126"/>
      <c r="K38" s="127">
        <f>SUM(K30:K37)</f>
        <v>27170.6</v>
      </c>
      <c r="L38" s="127">
        <f>SUM(L30:L37)</f>
        <v>24322.1</v>
      </c>
      <c r="M38" s="127">
        <f>SUM(M30:M37)</f>
        <v>20950.5</v>
      </c>
      <c r="N38" s="127">
        <f>SUM(N30:N37)</f>
        <v>666</v>
      </c>
      <c r="O38" s="128">
        <f>'Разд 2'!C28</f>
        <v>132350940.84999999</v>
      </c>
      <c r="P38" s="129"/>
      <c r="Q38" s="129"/>
      <c r="R38" s="129"/>
      <c r="S38" s="128">
        <f t="shared" si="2"/>
        <v>132350940.84999999</v>
      </c>
      <c r="T38" s="130"/>
      <c r="U38" s="125">
        <f>SUM(U30:U37)</f>
        <v>39242.660000000003</v>
      </c>
      <c r="V38" s="125"/>
      <c r="W38" s="131"/>
      <c r="X38" s="131"/>
      <c r="Y38" s="25"/>
      <c r="Z38" s="25"/>
    </row>
    <row r="39" spans="1:30" s="21" customFormat="1" ht="21.95" customHeight="1" x14ac:dyDescent="0.3">
      <c r="A39" s="206">
        <v>2025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8"/>
      <c r="Y39" s="27"/>
      <c r="Z39" s="27"/>
    </row>
    <row r="40" spans="1:30" s="29" customFormat="1" ht="21.95" customHeight="1" x14ac:dyDescent="0.3">
      <c r="A40" s="98">
        <v>1</v>
      </c>
      <c r="B40" s="182" t="s">
        <v>34</v>
      </c>
      <c r="C40" s="118" t="s">
        <v>66</v>
      </c>
      <c r="D40" s="118" t="s">
        <v>67</v>
      </c>
      <c r="E40" s="118"/>
      <c r="F40" s="118">
        <v>1957</v>
      </c>
      <c r="G40" s="118">
        <v>2020</v>
      </c>
      <c r="H40" s="120" t="s">
        <v>68</v>
      </c>
      <c r="I40" s="120">
        <v>4</v>
      </c>
      <c r="J40" s="120">
        <v>4</v>
      </c>
      <c r="K40" s="96">
        <v>4284.5</v>
      </c>
      <c r="L40" s="97">
        <v>3957.5</v>
      </c>
      <c r="M40" s="96">
        <v>3287.8</v>
      </c>
      <c r="N40" s="96">
        <v>77</v>
      </c>
      <c r="O40" s="96">
        <f>'Разд 2'!C30</f>
        <v>20308466.920000002</v>
      </c>
      <c r="P40" s="101"/>
      <c r="Q40" s="101"/>
      <c r="R40" s="101"/>
      <c r="S40" s="97">
        <f t="shared" ref="S40:S49" si="4">O40</f>
        <v>20308466.920000002</v>
      </c>
      <c r="T40" s="101"/>
      <c r="U40" s="96">
        <f t="shared" ref="U40:U41" si="5">S40/K40</f>
        <v>4739.99</v>
      </c>
      <c r="V40" s="96">
        <v>12634.74</v>
      </c>
      <c r="W40" s="28" t="s">
        <v>104</v>
      </c>
      <c r="X40" s="28" t="s">
        <v>104</v>
      </c>
      <c r="Y40" s="24"/>
      <c r="Z40" s="24"/>
      <c r="AA40" s="21"/>
      <c r="AB40" s="21"/>
      <c r="AC40" s="21"/>
      <c r="AD40" s="21"/>
    </row>
    <row r="41" spans="1:30" ht="21.95" customHeight="1" x14ac:dyDescent="0.3">
      <c r="A41" s="98">
        <v>2</v>
      </c>
      <c r="B41" s="119" t="s">
        <v>91</v>
      </c>
      <c r="C41" s="118" t="s">
        <v>66</v>
      </c>
      <c r="D41" s="118" t="s">
        <v>67</v>
      </c>
      <c r="E41" s="118"/>
      <c r="F41" s="118">
        <v>1962</v>
      </c>
      <c r="G41" s="118"/>
      <c r="H41" s="120" t="s">
        <v>68</v>
      </c>
      <c r="I41" s="118">
        <v>5</v>
      </c>
      <c r="J41" s="118">
        <v>3</v>
      </c>
      <c r="K41" s="96">
        <v>2688.8</v>
      </c>
      <c r="L41" s="97">
        <v>2507.4</v>
      </c>
      <c r="M41" s="96">
        <v>2436</v>
      </c>
      <c r="N41" s="96">
        <v>78</v>
      </c>
      <c r="O41" s="97">
        <f>'Разд 2'!C31</f>
        <v>10192963.23</v>
      </c>
      <c r="P41" s="101"/>
      <c r="Q41" s="101"/>
      <c r="R41" s="101"/>
      <c r="S41" s="96">
        <f t="shared" si="4"/>
        <v>10192963.23</v>
      </c>
      <c r="T41" s="101"/>
      <c r="U41" s="103">
        <f t="shared" si="5"/>
        <v>3790.9</v>
      </c>
      <c r="V41" s="96">
        <v>11371.98</v>
      </c>
      <c r="W41" s="104" t="s">
        <v>102</v>
      </c>
      <c r="X41" s="104" t="s">
        <v>102</v>
      </c>
    </row>
    <row r="42" spans="1:30" s="21" customFormat="1" ht="21.95" customHeight="1" x14ac:dyDescent="0.3">
      <c r="A42" s="98">
        <v>3</v>
      </c>
      <c r="B42" s="182" t="s">
        <v>35</v>
      </c>
      <c r="C42" s="118" t="s">
        <v>66</v>
      </c>
      <c r="D42" s="118" t="s">
        <v>67</v>
      </c>
      <c r="E42" s="98"/>
      <c r="F42" s="98" t="s">
        <v>69</v>
      </c>
      <c r="G42" s="98">
        <v>2022</v>
      </c>
      <c r="H42" s="120" t="s">
        <v>68</v>
      </c>
      <c r="I42" s="98">
        <v>4</v>
      </c>
      <c r="J42" s="98">
        <v>5</v>
      </c>
      <c r="K42" s="96">
        <v>5050.2</v>
      </c>
      <c r="L42" s="97">
        <v>3841</v>
      </c>
      <c r="M42" s="96">
        <v>1994</v>
      </c>
      <c r="N42" s="96">
        <v>106</v>
      </c>
      <c r="O42" s="97">
        <f>'Разд 2'!C32</f>
        <v>36431138.649999999</v>
      </c>
      <c r="P42" s="101"/>
      <c r="Q42" s="101"/>
      <c r="R42" s="101"/>
      <c r="S42" s="97">
        <f t="shared" si="4"/>
        <v>36431138.649999999</v>
      </c>
      <c r="T42" s="101"/>
      <c r="U42" s="96">
        <f>S42/K42</f>
        <v>7213.8</v>
      </c>
      <c r="V42" s="96">
        <v>12634.74</v>
      </c>
      <c r="W42" s="104" t="s">
        <v>103</v>
      </c>
      <c r="X42" s="104" t="s">
        <v>103</v>
      </c>
      <c r="Y42" s="24"/>
      <c r="Z42" s="24"/>
    </row>
    <row r="43" spans="1:30" s="29" customFormat="1" ht="21.95" customHeight="1" x14ac:dyDescent="0.3">
      <c r="A43" s="98">
        <v>4</v>
      </c>
      <c r="B43" s="119" t="s">
        <v>109</v>
      </c>
      <c r="C43" s="118" t="s">
        <v>66</v>
      </c>
      <c r="D43" s="118" t="s">
        <v>67</v>
      </c>
      <c r="E43" s="118"/>
      <c r="F43" s="98">
        <v>1953</v>
      </c>
      <c r="G43" s="118">
        <v>2017</v>
      </c>
      <c r="H43" s="120" t="s">
        <v>68</v>
      </c>
      <c r="I43" s="120">
        <v>4</v>
      </c>
      <c r="J43" s="120">
        <v>6</v>
      </c>
      <c r="K43" s="96">
        <v>5543.5</v>
      </c>
      <c r="L43" s="97">
        <v>4717.8</v>
      </c>
      <c r="M43" s="96">
        <v>3448.2</v>
      </c>
      <c r="N43" s="96">
        <v>88</v>
      </c>
      <c r="O43" s="97">
        <f>'Разд 2'!C33</f>
        <v>3305643.58</v>
      </c>
      <c r="P43" s="101"/>
      <c r="Q43" s="101"/>
      <c r="R43" s="102"/>
      <c r="S43" s="96">
        <f t="shared" si="4"/>
        <v>3305643.58</v>
      </c>
      <c r="T43" s="101" t="s">
        <v>110</v>
      </c>
      <c r="U43" s="103">
        <f>S43/K43</f>
        <v>596.30999999999995</v>
      </c>
      <c r="V43" s="96">
        <v>12634.74</v>
      </c>
      <c r="W43" s="28" t="s">
        <v>111</v>
      </c>
      <c r="X43" s="28" t="s">
        <v>112</v>
      </c>
      <c r="Y43" s="24"/>
      <c r="Z43" s="24"/>
      <c r="AA43" s="21"/>
      <c r="AB43" s="21"/>
      <c r="AC43" s="21"/>
      <c r="AD43" s="21"/>
    </row>
    <row r="44" spans="1:30" s="29" customFormat="1" ht="21.95" customHeight="1" x14ac:dyDescent="0.3">
      <c r="A44" s="98">
        <v>5</v>
      </c>
      <c r="B44" s="119" t="s">
        <v>32</v>
      </c>
      <c r="C44" s="118" t="s">
        <v>66</v>
      </c>
      <c r="D44" s="118" t="s">
        <v>67</v>
      </c>
      <c r="E44" s="118"/>
      <c r="F44" s="118">
        <v>1958</v>
      </c>
      <c r="G44" s="118">
        <v>2005</v>
      </c>
      <c r="H44" s="120" t="s">
        <v>68</v>
      </c>
      <c r="I44" s="118">
        <v>4</v>
      </c>
      <c r="J44" s="118">
        <v>4</v>
      </c>
      <c r="K44" s="96">
        <v>3958</v>
      </c>
      <c r="L44" s="97">
        <v>2811</v>
      </c>
      <c r="M44" s="96">
        <v>2811</v>
      </c>
      <c r="N44" s="96">
        <v>84</v>
      </c>
      <c r="O44" s="96">
        <f>'Разд 2'!C34</f>
        <v>13665934.539999999</v>
      </c>
      <c r="P44" s="101"/>
      <c r="Q44" s="101"/>
      <c r="R44" s="101"/>
      <c r="S44" s="97">
        <f t="shared" si="4"/>
        <v>13665934.539999999</v>
      </c>
      <c r="T44" s="101"/>
      <c r="U44" s="96">
        <f t="shared" ref="U44:U47" si="6">S44/K44</f>
        <v>3452.74</v>
      </c>
      <c r="V44" s="96">
        <v>12634.74</v>
      </c>
      <c r="W44" s="28" t="s">
        <v>104</v>
      </c>
      <c r="X44" s="28" t="s">
        <v>104</v>
      </c>
      <c r="Y44" s="24"/>
      <c r="Z44" s="24"/>
      <c r="AA44" s="21"/>
      <c r="AB44" s="21"/>
      <c r="AC44" s="21"/>
      <c r="AD44" s="21"/>
    </row>
    <row r="45" spans="1:30" s="21" customFormat="1" ht="21.95" customHeight="1" x14ac:dyDescent="0.3">
      <c r="A45" s="98">
        <v>6</v>
      </c>
      <c r="B45" s="119" t="s">
        <v>38</v>
      </c>
      <c r="C45" s="118" t="s">
        <v>66</v>
      </c>
      <c r="D45" s="118" t="s">
        <v>67</v>
      </c>
      <c r="E45" s="118"/>
      <c r="F45" s="118">
        <v>1949</v>
      </c>
      <c r="G45" s="118">
        <v>2021</v>
      </c>
      <c r="H45" s="120" t="s">
        <v>68</v>
      </c>
      <c r="I45" s="104" t="s">
        <v>100</v>
      </c>
      <c r="J45" s="118">
        <v>5</v>
      </c>
      <c r="K45" s="97">
        <v>6197</v>
      </c>
      <c r="L45" s="97">
        <v>4215.3999999999996</v>
      </c>
      <c r="M45" s="97">
        <v>4215.3999999999996</v>
      </c>
      <c r="N45" s="144">
        <v>122</v>
      </c>
      <c r="O45" s="97">
        <f>'Разд 2'!C35</f>
        <v>6267495.4299999997</v>
      </c>
      <c r="P45" s="101"/>
      <c r="Q45" s="101"/>
      <c r="R45" s="101"/>
      <c r="S45" s="96">
        <f t="shared" si="4"/>
        <v>6267495.4299999997</v>
      </c>
      <c r="T45" s="101"/>
      <c r="U45" s="103">
        <f t="shared" si="6"/>
        <v>1011.38</v>
      </c>
      <c r="V45" s="96">
        <v>11371.98</v>
      </c>
      <c r="W45" s="104" t="s">
        <v>102</v>
      </c>
      <c r="X45" s="104" t="s">
        <v>102</v>
      </c>
      <c r="Z45" s="105"/>
    </row>
    <row r="46" spans="1:30" ht="21.95" customHeight="1" x14ac:dyDescent="0.3">
      <c r="A46" s="98">
        <v>7</v>
      </c>
      <c r="B46" s="119" t="s">
        <v>33</v>
      </c>
      <c r="C46" s="118" t="s">
        <v>66</v>
      </c>
      <c r="D46" s="118" t="s">
        <v>67</v>
      </c>
      <c r="E46" s="118"/>
      <c r="F46" s="118">
        <v>1957</v>
      </c>
      <c r="G46" s="118">
        <v>2020</v>
      </c>
      <c r="H46" s="118" t="s">
        <v>68</v>
      </c>
      <c r="I46" s="118">
        <v>4</v>
      </c>
      <c r="J46" s="118">
        <v>4</v>
      </c>
      <c r="K46" s="96">
        <v>3517.1</v>
      </c>
      <c r="L46" s="97">
        <v>3210.5</v>
      </c>
      <c r="M46" s="96">
        <v>2481.9</v>
      </c>
      <c r="N46" s="96">
        <v>68</v>
      </c>
      <c r="O46" s="97">
        <f>'Разд 2'!C36</f>
        <v>11816617.32</v>
      </c>
      <c r="P46" s="101"/>
      <c r="Q46" s="101"/>
      <c r="R46" s="101"/>
      <c r="S46" s="96">
        <f t="shared" si="4"/>
        <v>11816617.32</v>
      </c>
      <c r="T46" s="101"/>
      <c r="U46" s="103">
        <f t="shared" si="6"/>
        <v>3359.76</v>
      </c>
      <c r="V46" s="96">
        <v>12634.74</v>
      </c>
      <c r="W46" s="104" t="s">
        <v>102</v>
      </c>
      <c r="X46" s="104" t="s">
        <v>102</v>
      </c>
    </row>
    <row r="47" spans="1:30" ht="21.95" customHeight="1" x14ac:dyDescent="0.3">
      <c r="A47" s="98">
        <v>8</v>
      </c>
      <c r="B47" s="119" t="s">
        <v>31</v>
      </c>
      <c r="C47" s="118" t="s">
        <v>66</v>
      </c>
      <c r="D47" s="118" t="s">
        <v>67</v>
      </c>
      <c r="E47" s="118"/>
      <c r="F47" s="118">
        <v>1957</v>
      </c>
      <c r="G47" s="118">
        <v>2020</v>
      </c>
      <c r="H47" s="120" t="s">
        <v>68</v>
      </c>
      <c r="I47" s="118">
        <v>4</v>
      </c>
      <c r="J47" s="118">
        <v>4</v>
      </c>
      <c r="K47" s="96">
        <v>3634.9</v>
      </c>
      <c r="L47" s="97">
        <v>3301.4</v>
      </c>
      <c r="M47" s="96">
        <v>2996.3</v>
      </c>
      <c r="N47" s="96">
        <v>82</v>
      </c>
      <c r="O47" s="97">
        <f>'Разд 2'!C37</f>
        <v>15200592.23</v>
      </c>
      <c r="P47" s="101"/>
      <c r="Q47" s="101"/>
      <c r="R47" s="101"/>
      <c r="S47" s="96">
        <f t="shared" si="4"/>
        <v>15200592.23</v>
      </c>
      <c r="T47" s="101"/>
      <c r="U47" s="96">
        <f t="shared" si="6"/>
        <v>4181.8500000000004</v>
      </c>
      <c r="V47" s="96">
        <v>12634.74</v>
      </c>
      <c r="W47" s="104" t="s">
        <v>103</v>
      </c>
      <c r="X47" s="104" t="s">
        <v>103</v>
      </c>
    </row>
    <row r="48" spans="1:30" s="21" customFormat="1" ht="21.95" customHeight="1" x14ac:dyDescent="0.3">
      <c r="A48" s="98">
        <v>9</v>
      </c>
      <c r="B48" s="182" t="s">
        <v>93</v>
      </c>
      <c r="C48" s="118" t="s">
        <v>66</v>
      </c>
      <c r="D48" s="118" t="s">
        <v>67</v>
      </c>
      <c r="E48" s="98"/>
      <c r="F48" s="98">
        <v>1962</v>
      </c>
      <c r="G48" s="98"/>
      <c r="H48" s="120" t="s">
        <v>68</v>
      </c>
      <c r="I48" s="98">
        <v>5</v>
      </c>
      <c r="J48" s="98">
        <v>3</v>
      </c>
      <c r="K48" s="97">
        <v>2714.2</v>
      </c>
      <c r="L48" s="97">
        <v>2532</v>
      </c>
      <c r="M48" s="97">
        <v>2519.9</v>
      </c>
      <c r="N48" s="144">
        <v>61</v>
      </c>
      <c r="O48" s="97">
        <f>'Разд 2'!C38</f>
        <v>10239400.57</v>
      </c>
      <c r="P48" s="101"/>
      <c r="Q48" s="101"/>
      <c r="R48" s="101"/>
      <c r="S48" s="97">
        <f t="shared" si="4"/>
        <v>10239400.57</v>
      </c>
      <c r="T48" s="101"/>
      <c r="U48" s="96">
        <f>S48/K48</f>
        <v>3772.53</v>
      </c>
      <c r="V48" s="96">
        <v>11371.98</v>
      </c>
      <c r="W48" s="104" t="s">
        <v>103</v>
      </c>
      <c r="X48" s="104" t="s">
        <v>103</v>
      </c>
      <c r="Y48" s="24"/>
      <c r="Z48" s="24"/>
    </row>
    <row r="49" spans="1:27" s="21" customFormat="1" ht="21.95" customHeight="1" x14ac:dyDescent="0.3">
      <c r="A49" s="98">
        <v>10</v>
      </c>
      <c r="B49" s="119" t="s">
        <v>92</v>
      </c>
      <c r="C49" s="118" t="s">
        <v>66</v>
      </c>
      <c r="D49" s="118" t="s">
        <v>67</v>
      </c>
      <c r="E49" s="118"/>
      <c r="F49" s="118">
        <v>1962</v>
      </c>
      <c r="G49" s="118"/>
      <c r="H49" s="120" t="s">
        <v>68</v>
      </c>
      <c r="I49" s="118">
        <v>5</v>
      </c>
      <c r="J49" s="118">
        <v>3</v>
      </c>
      <c r="K49" s="96">
        <v>2722.6</v>
      </c>
      <c r="L49" s="97">
        <v>2541.6999999999998</v>
      </c>
      <c r="M49" s="96">
        <v>2524.1</v>
      </c>
      <c r="N49" s="96">
        <v>87</v>
      </c>
      <c r="O49" s="97">
        <f>'Разд 2'!C39</f>
        <v>10327754.26</v>
      </c>
      <c r="P49" s="101"/>
      <c r="Q49" s="101"/>
      <c r="R49" s="101"/>
      <c r="S49" s="96">
        <f t="shared" si="4"/>
        <v>10327754.26</v>
      </c>
      <c r="T49" s="101"/>
      <c r="U49" s="103">
        <f t="shared" ref="U49" si="7">S49/K49</f>
        <v>3793.34</v>
      </c>
      <c r="V49" s="96">
        <v>11371.98</v>
      </c>
      <c r="W49" s="104" t="s">
        <v>103</v>
      </c>
      <c r="X49" s="104" t="s">
        <v>103</v>
      </c>
      <c r="Y49" s="24"/>
      <c r="Z49" s="24"/>
    </row>
    <row r="50" spans="1:27" ht="21.95" customHeight="1" x14ac:dyDescent="0.35">
      <c r="A50" s="121"/>
      <c r="B50" s="138" t="s">
        <v>98</v>
      </c>
      <c r="C50" s="121"/>
      <c r="D50" s="121"/>
      <c r="E50" s="121"/>
      <c r="F50" s="121"/>
      <c r="G50" s="121"/>
      <c r="H50" s="121"/>
      <c r="I50" s="121"/>
      <c r="J50" s="121"/>
      <c r="K50" s="125">
        <f>SUM(K40:K49)</f>
        <v>40310.800000000003</v>
      </c>
      <c r="L50" s="125">
        <f>SUM(L40:L49)</f>
        <v>33635.699999999997</v>
      </c>
      <c r="M50" s="125">
        <f>SUM(M40:M49)</f>
        <v>28714.6</v>
      </c>
      <c r="N50" s="125">
        <f>SUM(N40:N49)</f>
        <v>853</v>
      </c>
      <c r="O50" s="125">
        <f>'Разд 2'!C40</f>
        <v>137756006.72999999</v>
      </c>
      <c r="P50" s="125"/>
      <c r="Q50" s="125"/>
      <c r="R50" s="125"/>
      <c r="S50" s="125">
        <f t="shared" ref="S50" si="8">O50</f>
        <v>137756006.72999999</v>
      </c>
      <c r="T50" s="125"/>
      <c r="U50" s="125">
        <f>SUM(U40:U49)</f>
        <v>35912.6</v>
      </c>
      <c r="V50" s="125"/>
      <c r="W50" s="123"/>
      <c r="X50" s="123"/>
      <c r="Y50" s="30"/>
      <c r="Z50" s="30"/>
    </row>
    <row r="51" spans="1:27" ht="18.75" x14ac:dyDescent="0.3">
      <c r="A51" s="209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43"/>
      <c r="Y51" s="24"/>
      <c r="Z51" s="31"/>
      <c r="AA51" s="31"/>
    </row>
    <row r="52" spans="1:27" ht="39.75" customHeight="1" x14ac:dyDescent="0.3">
      <c r="A52" s="32"/>
      <c r="B52" s="33"/>
      <c r="C52" s="33"/>
      <c r="D52" s="33"/>
      <c r="E52" s="33"/>
      <c r="F52" s="32"/>
      <c r="G52" s="32"/>
      <c r="H52" s="34"/>
      <c r="I52" s="32"/>
      <c r="J52" s="32"/>
      <c r="K52" s="35"/>
      <c r="L52" s="35"/>
      <c r="M52" s="36"/>
      <c r="N52" s="35"/>
      <c r="O52" s="37"/>
      <c r="P52" s="37"/>
      <c r="Q52" s="37"/>
      <c r="R52" s="37"/>
      <c r="S52" s="37"/>
      <c r="T52" s="31"/>
      <c r="U52" s="38"/>
      <c r="V52" s="37"/>
      <c r="W52" s="39"/>
      <c r="X52" s="39"/>
      <c r="Y52" s="24"/>
      <c r="Z52" s="31"/>
      <c r="AA52" s="31"/>
    </row>
    <row r="53" spans="1:27" s="21" customFormat="1" ht="18.75" x14ac:dyDescent="0.3">
      <c r="A53" s="32"/>
      <c r="B53" s="27"/>
      <c r="C53" s="40"/>
      <c r="D53" s="40"/>
      <c r="E53" s="27"/>
      <c r="F53" s="32"/>
      <c r="G53" s="32"/>
      <c r="H53" s="37"/>
      <c r="I53" s="32"/>
      <c r="J53" s="32"/>
      <c r="K53" s="41"/>
      <c r="L53" s="41"/>
      <c r="M53" s="41"/>
      <c r="N53" s="41"/>
      <c r="O53" s="42"/>
      <c r="P53" s="37"/>
      <c r="Q53" s="37"/>
      <c r="R53" s="37"/>
      <c r="S53" s="42"/>
      <c r="T53" s="31"/>
      <c r="U53" s="38"/>
      <c r="V53" s="37"/>
      <c r="W53" s="39"/>
      <c r="X53" s="39"/>
      <c r="Y53" s="24"/>
      <c r="Z53" s="31"/>
      <c r="AA53" s="31"/>
    </row>
    <row r="54" spans="1:27" s="21" customFormat="1" ht="18.75" x14ac:dyDescent="0.3">
      <c r="A54" s="32"/>
      <c r="B54" s="43"/>
      <c r="C54" s="40"/>
      <c r="D54" s="40"/>
      <c r="E54" s="43"/>
      <c r="F54" s="32"/>
      <c r="G54" s="32"/>
      <c r="H54" s="37"/>
      <c r="I54" s="32"/>
      <c r="J54" s="32"/>
      <c r="K54" s="44"/>
      <c r="L54" s="44"/>
      <c r="M54" s="44"/>
      <c r="N54" s="45"/>
      <c r="O54" s="46"/>
      <c r="P54" s="37"/>
      <c r="Q54" s="37"/>
      <c r="R54" s="37"/>
      <c r="S54" s="46"/>
      <c r="T54" s="31"/>
      <c r="U54" s="38"/>
      <c r="V54" s="37"/>
      <c r="W54" s="39"/>
      <c r="X54" s="39"/>
      <c r="Y54" s="24"/>
      <c r="Z54" s="31"/>
      <c r="AA54" s="31"/>
    </row>
    <row r="55" spans="1:27" s="21" customFormat="1" ht="18.75" x14ac:dyDescent="0.3">
      <c r="A55" s="32"/>
      <c r="B55" s="43"/>
      <c r="C55" s="40"/>
      <c r="D55" s="40"/>
      <c r="E55" s="43"/>
      <c r="F55" s="32"/>
      <c r="G55" s="32"/>
      <c r="H55" s="37"/>
      <c r="I55" s="32"/>
      <c r="J55" s="32"/>
      <c r="K55" s="37"/>
      <c r="L55" s="37"/>
      <c r="M55" s="37"/>
      <c r="N55" s="32"/>
      <c r="O55" s="42"/>
      <c r="P55" s="37"/>
      <c r="Q55" s="37"/>
      <c r="R55" s="37"/>
      <c r="S55" s="42"/>
      <c r="T55" s="31"/>
      <c r="U55" s="38"/>
      <c r="V55" s="37"/>
      <c r="W55" s="39"/>
      <c r="X55" s="39"/>
      <c r="Y55" s="24"/>
      <c r="Z55" s="31"/>
      <c r="AA55" s="31"/>
    </row>
    <row r="56" spans="1:27" s="21" customFormat="1" ht="18.75" x14ac:dyDescent="0.3">
      <c r="A56" s="32"/>
      <c r="B56" s="43"/>
      <c r="C56" s="40"/>
      <c r="D56" s="40"/>
      <c r="E56" s="43"/>
      <c r="F56" s="32"/>
      <c r="G56" s="32"/>
      <c r="H56" s="37"/>
      <c r="I56" s="32"/>
      <c r="J56" s="32"/>
      <c r="K56" s="47"/>
      <c r="L56" s="47"/>
      <c r="M56" s="47"/>
      <c r="N56" s="47"/>
      <c r="O56" s="42"/>
      <c r="P56" s="37"/>
      <c r="Q56" s="37"/>
      <c r="R56" s="37"/>
      <c r="S56" s="42"/>
      <c r="T56" s="31"/>
      <c r="U56" s="38"/>
      <c r="V56" s="37"/>
      <c r="W56" s="39"/>
      <c r="X56" s="39"/>
      <c r="Y56" s="24"/>
      <c r="Z56" s="31"/>
      <c r="AA56" s="31"/>
    </row>
    <row r="57" spans="1:27" ht="18.75" x14ac:dyDescent="0.3">
      <c r="A57" s="32"/>
      <c r="B57" s="43"/>
      <c r="C57" s="40"/>
      <c r="D57" s="40"/>
      <c r="E57" s="43"/>
      <c r="F57" s="32"/>
      <c r="G57" s="32"/>
      <c r="H57" s="37"/>
      <c r="I57" s="32"/>
      <c r="J57" s="32"/>
      <c r="K57" s="47"/>
      <c r="L57" s="47"/>
      <c r="M57" s="47"/>
      <c r="N57" s="47"/>
      <c r="O57" s="48"/>
      <c r="P57" s="37"/>
      <c r="Q57" s="37"/>
      <c r="R57" s="37"/>
      <c r="S57" s="46"/>
      <c r="T57" s="31"/>
      <c r="U57" s="38"/>
      <c r="V57" s="37"/>
      <c r="W57" s="39"/>
      <c r="X57" s="39"/>
      <c r="Y57" s="24"/>
      <c r="Z57" s="31"/>
      <c r="AA57" s="31"/>
    </row>
    <row r="58" spans="1:27" s="21" customFormat="1" ht="18.75" x14ac:dyDescent="0.3">
      <c r="A58" s="32"/>
      <c r="B58" s="43"/>
      <c r="C58" s="40"/>
      <c r="D58" s="40"/>
      <c r="E58" s="43"/>
      <c r="F58" s="32"/>
      <c r="G58" s="32"/>
      <c r="H58" s="37"/>
      <c r="I58" s="32"/>
      <c r="J58" s="32"/>
      <c r="K58" s="47"/>
      <c r="L58" s="47"/>
      <c r="M58" s="47"/>
      <c r="N58" s="47"/>
      <c r="O58" s="42"/>
      <c r="P58" s="37"/>
      <c r="Q58" s="37"/>
      <c r="R58" s="37"/>
      <c r="S58" s="42"/>
      <c r="T58" s="31"/>
      <c r="U58" s="38"/>
      <c r="V58" s="37"/>
      <c r="W58" s="39"/>
      <c r="X58" s="39"/>
      <c r="Y58" s="24"/>
      <c r="Z58" s="31"/>
      <c r="AA58" s="31"/>
    </row>
    <row r="59" spans="1:27" s="21" customFormat="1" ht="18.75" x14ac:dyDescent="0.3">
      <c r="A59" s="32"/>
      <c r="B59" s="43"/>
      <c r="C59" s="40"/>
      <c r="D59" s="40"/>
      <c r="E59" s="40"/>
      <c r="F59" s="32"/>
      <c r="G59" s="32"/>
      <c r="H59" s="37"/>
      <c r="I59" s="32"/>
      <c r="J59" s="32"/>
      <c r="K59" s="37"/>
      <c r="L59" s="37"/>
      <c r="M59" s="37"/>
      <c r="N59" s="32"/>
      <c r="O59" s="46"/>
      <c r="P59" s="37"/>
      <c r="Q59" s="37"/>
      <c r="R59" s="37"/>
      <c r="S59" s="46"/>
      <c r="T59" s="31"/>
      <c r="U59" s="38"/>
      <c r="V59" s="37"/>
      <c r="W59" s="39"/>
      <c r="X59" s="39"/>
      <c r="Y59" s="24"/>
      <c r="Z59" s="31"/>
      <c r="AA59" s="31"/>
    </row>
    <row r="60" spans="1:27" ht="19.5" x14ac:dyDescent="0.35">
      <c r="A60" s="210"/>
      <c r="B60" s="210"/>
      <c r="C60" s="49"/>
      <c r="D60" s="49"/>
      <c r="E60" s="49"/>
      <c r="F60" s="43"/>
      <c r="G60" s="43"/>
      <c r="H60" s="50"/>
      <c r="I60" s="50"/>
      <c r="J60" s="50"/>
      <c r="K60" s="51"/>
      <c r="L60" s="51"/>
      <c r="M60" s="51"/>
      <c r="N60" s="51"/>
      <c r="O60" s="52"/>
      <c r="P60" s="52"/>
      <c r="Q60" s="52"/>
      <c r="R60" s="52"/>
      <c r="S60" s="53"/>
      <c r="T60" s="31"/>
      <c r="U60" s="38"/>
      <c r="V60" s="32"/>
      <c r="W60" s="43"/>
      <c r="X60" s="43"/>
      <c r="Y60" s="24"/>
      <c r="Z60" s="31"/>
      <c r="AA60" s="31"/>
    </row>
    <row r="61" spans="1:27" ht="18.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31"/>
      <c r="Z61" s="31"/>
      <c r="AA61" s="31"/>
    </row>
    <row r="62" spans="1:27" s="21" customFormat="1" ht="18.75" x14ac:dyDescent="0.3">
      <c r="A62" s="32"/>
      <c r="B62" s="43"/>
      <c r="C62" s="40"/>
      <c r="D62" s="40"/>
      <c r="E62" s="40"/>
      <c r="F62" s="32"/>
      <c r="G62" s="32"/>
      <c r="H62" s="37"/>
      <c r="I62" s="32"/>
      <c r="J62" s="32"/>
      <c r="K62" s="32"/>
      <c r="L62" s="32"/>
      <c r="M62" s="32"/>
      <c r="N62" s="32"/>
      <c r="O62" s="42"/>
      <c r="P62" s="37"/>
      <c r="Q62" s="37"/>
      <c r="R62" s="37"/>
      <c r="S62" s="42"/>
      <c r="T62" s="31"/>
      <c r="U62" s="38"/>
      <c r="V62" s="38"/>
      <c r="W62" s="39"/>
      <c r="X62" s="39"/>
      <c r="Y62" s="24"/>
      <c r="Z62" s="24"/>
      <c r="AA62" s="31"/>
    </row>
    <row r="63" spans="1:27" ht="18.75" x14ac:dyDescent="0.3">
      <c r="A63" s="32"/>
      <c r="B63" s="43"/>
      <c r="C63" s="40"/>
      <c r="D63" s="40"/>
      <c r="E63" s="40"/>
      <c r="F63" s="32"/>
      <c r="G63" s="32"/>
      <c r="H63" s="37"/>
      <c r="I63" s="32"/>
      <c r="J63" s="32"/>
      <c r="K63" s="37"/>
      <c r="L63" s="37"/>
      <c r="M63" s="37"/>
      <c r="N63" s="54"/>
      <c r="O63" s="42"/>
      <c r="P63" s="37"/>
      <c r="Q63" s="37"/>
      <c r="R63" s="37"/>
      <c r="S63" s="37"/>
      <c r="T63" s="31"/>
      <c r="U63" s="38"/>
      <c r="V63" s="37"/>
      <c r="W63" s="39"/>
      <c r="X63" s="39"/>
      <c r="Y63" s="24"/>
      <c r="Z63" s="24"/>
      <c r="AA63" s="31"/>
    </row>
    <row r="64" spans="1:27" ht="18.75" x14ac:dyDescent="0.3">
      <c r="A64" s="32"/>
      <c r="B64" s="55"/>
      <c r="C64" s="40"/>
      <c r="D64" s="40"/>
      <c r="E64" s="40"/>
      <c r="F64" s="54"/>
      <c r="G64" s="56"/>
      <c r="H64" s="37"/>
      <c r="I64" s="54"/>
      <c r="J64" s="54"/>
      <c r="K64" s="57"/>
      <c r="L64" s="57"/>
      <c r="M64" s="57"/>
      <c r="N64" s="54"/>
      <c r="O64" s="37"/>
      <c r="P64" s="37"/>
      <c r="Q64" s="37"/>
      <c r="R64" s="37"/>
      <c r="S64" s="37"/>
      <c r="T64" s="31"/>
      <c r="U64" s="37"/>
      <c r="V64" s="37"/>
      <c r="W64" s="39"/>
      <c r="X64" s="32"/>
      <c r="Y64" s="24"/>
      <c r="Z64" s="24"/>
      <c r="AA64" s="31"/>
    </row>
    <row r="65" spans="1:27" ht="18.75" x14ac:dyDescent="0.3">
      <c r="A65" s="32"/>
      <c r="B65" s="58"/>
      <c r="C65" s="40"/>
      <c r="D65" s="40"/>
      <c r="E65" s="40"/>
      <c r="F65" s="54"/>
      <c r="G65" s="56"/>
      <c r="H65" s="37"/>
      <c r="I65" s="54"/>
      <c r="J65" s="54"/>
      <c r="K65" s="37"/>
      <c r="L65" s="37"/>
      <c r="M65" s="37"/>
      <c r="N65" s="54"/>
      <c r="O65" s="37"/>
      <c r="P65" s="37"/>
      <c r="Q65" s="37"/>
      <c r="R65" s="37"/>
      <c r="S65" s="37"/>
      <c r="T65" s="31"/>
      <c r="U65" s="37"/>
      <c r="V65" s="37"/>
      <c r="W65" s="39"/>
      <c r="X65" s="32"/>
      <c r="Y65" s="24"/>
      <c r="Z65" s="24"/>
      <c r="AA65" s="31"/>
    </row>
    <row r="66" spans="1:27" ht="18.75" x14ac:dyDescent="0.3">
      <c r="A66" s="32"/>
      <c r="B66" s="55"/>
      <c r="C66" s="40"/>
      <c r="D66" s="40"/>
      <c r="E66" s="40"/>
      <c r="F66" s="54"/>
      <c r="G66" s="56"/>
      <c r="H66" s="37"/>
      <c r="I66" s="54"/>
      <c r="J66" s="54"/>
      <c r="K66" s="37"/>
      <c r="L66" s="37"/>
      <c r="M66" s="37"/>
      <c r="N66" s="54"/>
      <c r="O66" s="37"/>
      <c r="P66" s="37"/>
      <c r="Q66" s="37"/>
      <c r="R66" s="37"/>
      <c r="S66" s="37"/>
      <c r="T66" s="31"/>
      <c r="U66" s="37"/>
      <c r="V66" s="37"/>
      <c r="W66" s="39"/>
      <c r="X66" s="32"/>
      <c r="Y66" s="24"/>
      <c r="Z66" s="24"/>
      <c r="AA66" s="31"/>
    </row>
    <row r="67" spans="1:27" ht="18.75" x14ac:dyDescent="0.3">
      <c r="A67" s="32"/>
      <c r="B67" s="43"/>
      <c r="C67" s="40"/>
      <c r="D67" s="40"/>
      <c r="E67" s="40"/>
      <c r="F67" s="32"/>
      <c r="G67" s="32"/>
      <c r="H67" s="37"/>
      <c r="I67" s="32"/>
      <c r="J67" s="32"/>
      <c r="K67" s="37"/>
      <c r="L67" s="37"/>
      <c r="M67" s="37"/>
      <c r="N67" s="32"/>
      <c r="O67" s="59"/>
      <c r="P67" s="37"/>
      <c r="Q67" s="37"/>
      <c r="R67" s="37"/>
      <c r="S67" s="59"/>
      <c r="T67" s="31"/>
      <c r="U67" s="38"/>
      <c r="V67" s="37"/>
      <c r="W67" s="39"/>
      <c r="X67" s="39"/>
      <c r="Y67" s="24"/>
      <c r="Z67" s="24"/>
      <c r="AA67" s="31"/>
    </row>
    <row r="68" spans="1:27" ht="18.75" x14ac:dyDescent="0.3">
      <c r="A68" s="32"/>
      <c r="B68" s="55"/>
      <c r="C68" s="40"/>
      <c r="D68" s="40"/>
      <c r="E68" s="40"/>
      <c r="F68" s="54"/>
      <c r="G68" s="56"/>
      <c r="H68" s="37"/>
      <c r="I68" s="54"/>
      <c r="J68" s="54"/>
      <c r="K68" s="37"/>
      <c r="L68" s="37"/>
      <c r="M68" s="37"/>
      <c r="N68" s="54"/>
      <c r="O68" s="37"/>
      <c r="P68" s="37"/>
      <c r="Q68" s="37"/>
      <c r="R68" s="37"/>
      <c r="S68" s="37"/>
      <c r="T68" s="31"/>
      <c r="U68" s="37"/>
      <c r="V68" s="37"/>
      <c r="W68" s="39"/>
      <c r="X68" s="32"/>
      <c r="Y68" s="24"/>
      <c r="Z68" s="24"/>
      <c r="AA68" s="31"/>
    </row>
    <row r="69" spans="1:27" ht="19.5" x14ac:dyDescent="0.35">
      <c r="A69" s="210"/>
      <c r="B69" s="210"/>
      <c r="C69" s="52"/>
      <c r="D69" s="52"/>
      <c r="E69" s="52"/>
      <c r="F69" s="43"/>
      <c r="G69" s="43"/>
      <c r="H69" s="50"/>
      <c r="I69" s="50"/>
      <c r="J69" s="50"/>
      <c r="K69" s="51"/>
      <c r="L69" s="51"/>
      <c r="M69" s="51"/>
      <c r="N69" s="51"/>
      <c r="O69" s="52"/>
      <c r="P69" s="52"/>
      <c r="Q69" s="52"/>
      <c r="R69" s="52"/>
      <c r="S69" s="52"/>
      <c r="T69" s="31"/>
      <c r="U69" s="38"/>
      <c r="V69" s="32"/>
      <c r="W69" s="43"/>
      <c r="X69" s="43"/>
      <c r="Y69" s="24"/>
      <c r="Z69" s="31"/>
      <c r="AA69" s="31"/>
    </row>
    <row r="70" spans="1:27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</sheetData>
  <mergeCells count="35">
    <mergeCell ref="A51:W51"/>
    <mergeCell ref="A60:B60"/>
    <mergeCell ref="A69:B69"/>
    <mergeCell ref="V16:V17"/>
    <mergeCell ref="W16:W17"/>
    <mergeCell ref="X16:X17"/>
    <mergeCell ref="A19:X19"/>
    <mergeCell ref="A29:X29"/>
    <mergeCell ref="A39:X39"/>
    <mergeCell ref="J16:J17"/>
    <mergeCell ref="K16:K17"/>
    <mergeCell ref="L16:M16"/>
    <mergeCell ref="N16:N17"/>
    <mergeCell ref="O16:T16"/>
    <mergeCell ref="U16:U17"/>
    <mergeCell ref="A15:B15"/>
    <mergeCell ref="F15:S15"/>
    <mergeCell ref="A16:A17"/>
    <mergeCell ref="B16:B17"/>
    <mergeCell ref="C16:C17"/>
    <mergeCell ref="D16:D17"/>
    <mergeCell ref="E16:E17"/>
    <mergeCell ref="F16:G16"/>
    <mergeCell ref="H16:H17"/>
    <mergeCell ref="I16:I17"/>
    <mergeCell ref="B10:W14"/>
    <mergeCell ref="V1:X1"/>
    <mergeCell ref="P2:R2"/>
    <mergeCell ref="T2:X2"/>
    <mergeCell ref="T3:W3"/>
    <mergeCell ref="P4:R4"/>
    <mergeCell ref="S4:W4"/>
    <mergeCell ref="O5:R5"/>
    <mergeCell ref="T5:W5"/>
    <mergeCell ref="S8:X8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57"/>
  <sheetViews>
    <sheetView zoomScale="40" zoomScaleNormal="40" workbookViewId="0">
      <selection activeCell="D44" sqref="D44"/>
    </sheetView>
  </sheetViews>
  <sheetFormatPr defaultRowHeight="26.25" x14ac:dyDescent="0.4"/>
  <cols>
    <col min="1" max="1" width="10.28515625" style="1" customWidth="1"/>
    <col min="2" max="2" width="50.28515625" style="1" customWidth="1"/>
    <col min="3" max="3" width="37.85546875" style="1" customWidth="1"/>
    <col min="4" max="4" width="36" style="1" customWidth="1"/>
    <col min="5" max="6" width="37" style="1" bestFit="1" customWidth="1"/>
    <col min="7" max="7" width="38.140625" style="1" customWidth="1"/>
    <col min="8" max="8" width="36.7109375" style="1" customWidth="1"/>
    <col min="9" max="9" width="14.7109375" style="1" customWidth="1"/>
    <col min="10" max="10" width="32" style="1" customWidth="1"/>
    <col min="11" max="11" width="14.42578125" style="1" customWidth="1"/>
    <col min="12" max="12" width="15.140625" style="1" customWidth="1"/>
    <col min="13" max="13" width="14.7109375" style="1" customWidth="1"/>
    <col min="14" max="14" width="15" style="1" customWidth="1"/>
    <col min="15" max="15" width="33.42578125" style="1" customWidth="1"/>
    <col min="16" max="16" width="17" style="1" customWidth="1"/>
    <col min="17" max="17" width="34.7109375" style="1" customWidth="1"/>
    <col min="18" max="18" width="17.5703125" style="1" customWidth="1"/>
    <col min="19" max="19" width="36.28515625" style="1" bestFit="1" customWidth="1"/>
    <col min="20" max="20" width="16.140625" style="1" customWidth="1"/>
    <col min="21" max="21" width="33.85546875" style="1" customWidth="1"/>
    <col min="22" max="22" width="34.7109375" style="1" customWidth="1"/>
    <col min="23" max="25" width="14.7109375" style="1" bestFit="1" customWidth="1"/>
    <col min="26" max="26" width="34.28515625" style="1" customWidth="1"/>
    <col min="27" max="27" width="17.28515625" style="1" customWidth="1"/>
    <col min="28" max="28" width="32.85546875" style="1" customWidth="1"/>
    <col min="29" max="29" width="31.7109375" style="1" customWidth="1"/>
    <col min="30" max="30" width="39.140625" style="1" customWidth="1"/>
    <col min="31" max="16384" width="9.140625" style="1"/>
  </cols>
  <sheetData>
    <row r="2" spans="1:30" x14ac:dyDescent="0.4"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1:30" x14ac:dyDescent="0.4">
      <c r="A3" s="212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3"/>
      <c r="W3" s="213"/>
      <c r="X3" s="213"/>
      <c r="Y3" s="213"/>
      <c r="Z3" s="213"/>
      <c r="AA3" s="213"/>
      <c r="AB3" s="213"/>
    </row>
    <row r="4" spans="1:30" x14ac:dyDescent="0.4">
      <c r="A4" s="214" t="s">
        <v>1</v>
      </c>
      <c r="B4" s="214" t="s">
        <v>2</v>
      </c>
      <c r="C4" s="215" t="s">
        <v>3</v>
      </c>
      <c r="D4" s="218" t="s">
        <v>4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 t="s">
        <v>5</v>
      </c>
      <c r="W4" s="218"/>
      <c r="X4" s="218"/>
      <c r="Y4" s="218"/>
      <c r="Z4" s="218"/>
      <c r="AA4" s="218"/>
      <c r="AB4" s="218"/>
      <c r="AC4" s="218"/>
    </row>
    <row r="5" spans="1:30" x14ac:dyDescent="0.4">
      <c r="A5" s="214"/>
      <c r="B5" s="214"/>
      <c r="C5" s="216"/>
      <c r="D5" s="219" t="s">
        <v>6</v>
      </c>
      <c r="E5" s="220"/>
      <c r="F5" s="220"/>
      <c r="G5" s="220"/>
      <c r="H5" s="220"/>
      <c r="I5" s="220"/>
      <c r="J5" s="220"/>
      <c r="K5" s="221"/>
      <c r="L5" s="222" t="s">
        <v>7</v>
      </c>
      <c r="M5" s="223"/>
      <c r="N5" s="222" t="s">
        <v>8</v>
      </c>
      <c r="O5" s="223"/>
      <c r="P5" s="222" t="s">
        <v>9</v>
      </c>
      <c r="Q5" s="223"/>
      <c r="R5" s="222" t="s">
        <v>10</v>
      </c>
      <c r="S5" s="223"/>
      <c r="T5" s="222" t="s">
        <v>11</v>
      </c>
      <c r="U5" s="223"/>
      <c r="V5" s="228" t="s">
        <v>12</v>
      </c>
      <c r="W5" s="237" t="s">
        <v>13</v>
      </c>
      <c r="X5" s="238"/>
      <c r="Y5" s="237" t="s">
        <v>14</v>
      </c>
      <c r="Z5" s="238"/>
      <c r="AA5" s="228" t="s">
        <v>15</v>
      </c>
      <c r="AB5" s="228" t="s">
        <v>16</v>
      </c>
      <c r="AC5" s="230" t="s">
        <v>17</v>
      </c>
    </row>
    <row r="6" spans="1:30" ht="258.75" x14ac:dyDescent="0.4">
      <c r="A6" s="214"/>
      <c r="B6" s="214"/>
      <c r="C6" s="217"/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224"/>
      <c r="M6" s="225"/>
      <c r="N6" s="224"/>
      <c r="O6" s="225"/>
      <c r="P6" s="224"/>
      <c r="Q6" s="225"/>
      <c r="R6" s="224"/>
      <c r="S6" s="225"/>
      <c r="T6" s="224"/>
      <c r="U6" s="225"/>
      <c r="V6" s="229"/>
      <c r="W6" s="224"/>
      <c r="X6" s="225"/>
      <c r="Y6" s="224"/>
      <c r="Z6" s="225"/>
      <c r="AA6" s="229"/>
      <c r="AB6" s="229"/>
      <c r="AC6" s="230"/>
    </row>
    <row r="7" spans="1:30" x14ac:dyDescent="0.4">
      <c r="A7" s="214"/>
      <c r="B7" s="214"/>
      <c r="C7" s="134" t="s">
        <v>26</v>
      </c>
      <c r="D7" s="134" t="s">
        <v>26</v>
      </c>
      <c r="E7" s="134" t="s">
        <v>26</v>
      </c>
      <c r="F7" s="134" t="s">
        <v>26</v>
      </c>
      <c r="G7" s="134" t="s">
        <v>26</v>
      </c>
      <c r="H7" s="134" t="s">
        <v>26</v>
      </c>
      <c r="I7" s="134" t="s">
        <v>26</v>
      </c>
      <c r="J7" s="134" t="s">
        <v>26</v>
      </c>
      <c r="K7" s="134" t="s">
        <v>26</v>
      </c>
      <c r="L7" s="134" t="s">
        <v>27</v>
      </c>
      <c r="M7" s="134" t="s">
        <v>26</v>
      </c>
      <c r="N7" s="134" t="s">
        <v>28</v>
      </c>
      <c r="O7" s="134" t="s">
        <v>26</v>
      </c>
      <c r="P7" s="134" t="s">
        <v>28</v>
      </c>
      <c r="Q7" s="134" t="s">
        <v>26</v>
      </c>
      <c r="R7" s="134" t="s">
        <v>28</v>
      </c>
      <c r="S7" s="134" t="s">
        <v>26</v>
      </c>
      <c r="T7" s="134" t="s">
        <v>29</v>
      </c>
      <c r="U7" s="134" t="s">
        <v>26</v>
      </c>
      <c r="V7" s="134" t="s">
        <v>26</v>
      </c>
      <c r="W7" s="134" t="s">
        <v>28</v>
      </c>
      <c r="X7" s="134" t="s">
        <v>26</v>
      </c>
      <c r="Y7" s="134" t="s">
        <v>28</v>
      </c>
      <c r="Z7" s="134" t="s">
        <v>26</v>
      </c>
      <c r="AA7" s="134" t="s">
        <v>26</v>
      </c>
      <c r="AB7" s="134" t="s">
        <v>30</v>
      </c>
      <c r="AC7" s="6" t="s">
        <v>26</v>
      </c>
    </row>
    <row r="8" spans="1:30" x14ac:dyDescent="0.4">
      <c r="A8" s="113">
        <v>1</v>
      </c>
      <c r="B8" s="113">
        <v>2</v>
      </c>
      <c r="C8" s="113">
        <v>3</v>
      </c>
      <c r="D8" s="113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  <c r="T8" s="113">
        <v>20</v>
      </c>
      <c r="U8" s="113">
        <v>21</v>
      </c>
      <c r="V8" s="113">
        <v>22</v>
      </c>
      <c r="W8" s="113">
        <v>23</v>
      </c>
      <c r="X8" s="113">
        <v>24</v>
      </c>
      <c r="Y8" s="113">
        <v>25</v>
      </c>
      <c r="Z8" s="113">
        <v>26</v>
      </c>
      <c r="AA8" s="113">
        <v>27</v>
      </c>
      <c r="AB8" s="113">
        <v>28</v>
      </c>
      <c r="AC8" s="6">
        <v>29</v>
      </c>
    </row>
    <row r="9" spans="1:30" s="3" customFormat="1" x14ac:dyDescent="0.4">
      <c r="A9" s="231">
        <v>2023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3"/>
    </row>
    <row r="10" spans="1:30" s="3" customFormat="1" x14ac:dyDescent="0.4">
      <c r="A10" s="84">
        <v>1</v>
      </c>
      <c r="B10" s="114" t="s">
        <v>83</v>
      </c>
      <c r="C10" s="7">
        <f>D10+V10</f>
        <v>21792379.010000002</v>
      </c>
      <c r="D10" s="7">
        <f>O10</f>
        <v>21470324.149999999</v>
      </c>
      <c r="E10" s="7" t="s">
        <v>87</v>
      </c>
      <c r="F10" s="7" t="s">
        <v>87</v>
      </c>
      <c r="G10" s="7" t="s">
        <v>87</v>
      </c>
      <c r="H10" s="7" t="s">
        <v>87</v>
      </c>
      <c r="I10" s="7" t="s">
        <v>87</v>
      </c>
      <c r="J10" s="7" t="s">
        <v>87</v>
      </c>
      <c r="K10" s="7" t="s">
        <v>87</v>
      </c>
      <c r="L10" s="7" t="s">
        <v>87</v>
      </c>
      <c r="M10" s="7" t="s">
        <v>87</v>
      </c>
      <c r="N10" s="7" t="s">
        <v>87</v>
      </c>
      <c r="O10" s="7">
        <f>ROUND(5569.2*3855.19,2)</f>
        <v>21470324.149999999</v>
      </c>
      <c r="P10" s="7" t="s">
        <v>87</v>
      </c>
      <c r="Q10" s="7" t="s">
        <v>87</v>
      </c>
      <c r="R10" s="85" t="s">
        <v>87</v>
      </c>
      <c r="S10" s="7"/>
      <c r="T10" s="7" t="s">
        <v>87</v>
      </c>
      <c r="U10" s="7" t="s">
        <v>87</v>
      </c>
      <c r="V10" s="7">
        <f>ROUND(O10*1.5%,2)</f>
        <v>322054.86</v>
      </c>
      <c r="W10" s="7" t="s">
        <v>87</v>
      </c>
      <c r="X10" s="7" t="s">
        <v>87</v>
      </c>
      <c r="Y10" s="7" t="s">
        <v>87</v>
      </c>
      <c r="Z10" s="7" t="s">
        <v>87</v>
      </c>
      <c r="AA10" s="7" t="s">
        <v>87</v>
      </c>
      <c r="AB10" s="7" t="s">
        <v>87</v>
      </c>
      <c r="AC10" s="7" t="s">
        <v>87</v>
      </c>
      <c r="AD10" s="87"/>
    </row>
    <row r="11" spans="1:30" s="3" customFormat="1" x14ac:dyDescent="0.4">
      <c r="A11" s="84">
        <v>2</v>
      </c>
      <c r="B11" s="114" t="s">
        <v>84</v>
      </c>
      <c r="C11" s="7">
        <f>D11+V11</f>
        <v>6027014.8899999997</v>
      </c>
      <c r="D11" s="7">
        <f>O11</f>
        <v>5937945.7000000002</v>
      </c>
      <c r="E11" s="7" t="s">
        <v>87</v>
      </c>
      <c r="F11" s="7" t="s">
        <v>87</v>
      </c>
      <c r="G11" s="7" t="s">
        <v>87</v>
      </c>
      <c r="H11" s="7" t="s">
        <v>87</v>
      </c>
      <c r="I11" s="7" t="s">
        <v>87</v>
      </c>
      <c r="J11" s="7" t="s">
        <v>87</v>
      </c>
      <c r="K11" s="7" t="s">
        <v>87</v>
      </c>
      <c r="L11" s="7" t="s">
        <v>87</v>
      </c>
      <c r="M11" s="7" t="s">
        <v>87</v>
      </c>
      <c r="N11" s="7" t="s">
        <v>87</v>
      </c>
      <c r="O11" s="7">
        <f>ROUND(1593.1*3727.29,2)</f>
        <v>5937945.7000000002</v>
      </c>
      <c r="P11" s="7" t="s">
        <v>87</v>
      </c>
      <c r="Q11" s="7" t="s">
        <v>87</v>
      </c>
      <c r="R11" s="85" t="s">
        <v>87</v>
      </c>
      <c r="S11" s="7"/>
      <c r="T11" s="7" t="s">
        <v>87</v>
      </c>
      <c r="U11" s="7" t="s">
        <v>87</v>
      </c>
      <c r="V11" s="7">
        <f>ROUND(O11*1.5%,2)</f>
        <v>89069.19</v>
      </c>
      <c r="W11" s="7" t="s">
        <v>87</v>
      </c>
      <c r="X11" s="7" t="s">
        <v>87</v>
      </c>
      <c r="Y11" s="7" t="s">
        <v>87</v>
      </c>
      <c r="Z11" s="7" t="s">
        <v>87</v>
      </c>
      <c r="AA11" s="7" t="s">
        <v>87</v>
      </c>
      <c r="AB11" s="7" t="s">
        <v>87</v>
      </c>
      <c r="AC11" s="7" t="s">
        <v>87</v>
      </c>
    </row>
    <row r="12" spans="1:30" s="3" customFormat="1" x14ac:dyDescent="0.4">
      <c r="A12" s="84">
        <v>3</v>
      </c>
      <c r="B12" s="114" t="s">
        <v>86</v>
      </c>
      <c r="C12" s="7">
        <f>D12+V12</f>
        <v>11684361.460000001</v>
      </c>
      <c r="D12" s="7">
        <f>Z12</f>
        <v>11511686.17</v>
      </c>
      <c r="E12" s="7" t="s">
        <v>87</v>
      </c>
      <c r="F12" s="7" t="s">
        <v>87</v>
      </c>
      <c r="G12" s="7" t="s">
        <v>87</v>
      </c>
      <c r="H12" s="7" t="s">
        <v>87</v>
      </c>
      <c r="I12" s="7" t="s">
        <v>87</v>
      </c>
      <c r="J12" s="7" t="s">
        <v>87</v>
      </c>
      <c r="K12" s="7" t="s">
        <v>87</v>
      </c>
      <c r="L12" s="7" t="s">
        <v>87</v>
      </c>
      <c r="M12" s="7" t="s">
        <v>87</v>
      </c>
      <c r="N12" s="7" t="s">
        <v>87</v>
      </c>
      <c r="O12" s="7" t="s">
        <v>87</v>
      </c>
      <c r="P12" s="7" t="s">
        <v>87</v>
      </c>
      <c r="Q12" s="7" t="s">
        <v>87</v>
      </c>
      <c r="R12" s="85" t="s">
        <v>87</v>
      </c>
      <c r="S12" s="7"/>
      <c r="T12" s="7" t="s">
        <v>87</v>
      </c>
      <c r="U12" s="7" t="s">
        <v>87</v>
      </c>
      <c r="V12" s="7">
        <f>ROUND(Z12*1.5%,2)</f>
        <v>172675.29</v>
      </c>
      <c r="W12" s="7" t="s">
        <v>87</v>
      </c>
      <c r="X12" s="7" t="s">
        <v>87</v>
      </c>
      <c r="Y12" s="7" t="s">
        <v>87</v>
      </c>
      <c r="Z12" s="7">
        <f>ROUND(1490.9*7721.3,2)</f>
        <v>11511686.17</v>
      </c>
      <c r="AA12" s="7" t="s">
        <v>87</v>
      </c>
      <c r="AB12" s="7" t="s">
        <v>87</v>
      </c>
      <c r="AC12" s="7" t="s">
        <v>87</v>
      </c>
      <c r="AD12" s="87"/>
    </row>
    <row r="13" spans="1:30" s="3" customFormat="1" x14ac:dyDescent="0.4">
      <c r="A13" s="84">
        <v>4</v>
      </c>
      <c r="B13" s="114" t="s">
        <v>38</v>
      </c>
      <c r="C13" s="7">
        <f>D13+V13</f>
        <v>14699621.880000001</v>
      </c>
      <c r="D13" s="7">
        <f>S13</f>
        <v>14482386.09</v>
      </c>
      <c r="E13" s="7" t="s">
        <v>87</v>
      </c>
      <c r="F13" s="7" t="s">
        <v>87</v>
      </c>
      <c r="G13" s="7" t="s">
        <v>87</v>
      </c>
      <c r="H13" s="7" t="s">
        <v>87</v>
      </c>
      <c r="I13" s="7" t="s">
        <v>87</v>
      </c>
      <c r="J13" s="7" t="s">
        <v>87</v>
      </c>
      <c r="K13" s="7" t="s">
        <v>87</v>
      </c>
      <c r="L13" s="7" t="s">
        <v>87</v>
      </c>
      <c r="M13" s="7" t="s">
        <v>87</v>
      </c>
      <c r="N13" s="7" t="s">
        <v>87</v>
      </c>
      <c r="O13" s="7" t="s">
        <v>87</v>
      </c>
      <c r="P13" s="7" t="s">
        <v>87</v>
      </c>
      <c r="Q13" s="7" t="s">
        <v>87</v>
      </c>
      <c r="R13" s="85" t="s">
        <v>87</v>
      </c>
      <c r="S13" s="7">
        <f>ROUND(3435.59*4215.4,2)</f>
        <v>14482386.09</v>
      </c>
      <c r="T13" s="7" t="s">
        <v>87</v>
      </c>
      <c r="U13" s="7" t="s">
        <v>87</v>
      </c>
      <c r="V13" s="7">
        <f>ROUND(S13*1.5%,2)</f>
        <v>217235.79</v>
      </c>
      <c r="W13" s="7" t="s">
        <v>87</v>
      </c>
      <c r="X13" s="7" t="s">
        <v>87</v>
      </c>
      <c r="Y13" s="7" t="s">
        <v>87</v>
      </c>
      <c r="Z13" s="7" t="s">
        <v>87</v>
      </c>
      <c r="AA13" s="7" t="s">
        <v>87</v>
      </c>
      <c r="AB13" s="7" t="s">
        <v>87</v>
      </c>
      <c r="AC13" s="7" t="s">
        <v>87</v>
      </c>
      <c r="AD13" s="87"/>
    </row>
    <row r="14" spans="1:30" s="3" customFormat="1" x14ac:dyDescent="0.4">
      <c r="A14" s="84">
        <v>5</v>
      </c>
      <c r="B14" s="114" t="s">
        <v>33</v>
      </c>
      <c r="C14" s="7">
        <f>D14+V14</f>
        <v>6368231.4199999999</v>
      </c>
      <c r="D14" s="7">
        <f>Q14</f>
        <v>6274119.6299999999</v>
      </c>
      <c r="E14" s="7" t="s">
        <v>87</v>
      </c>
      <c r="F14" s="7" t="s">
        <v>87</v>
      </c>
      <c r="G14" s="7" t="s">
        <v>87</v>
      </c>
      <c r="H14" s="7" t="s">
        <v>87</v>
      </c>
      <c r="I14" s="7" t="s">
        <v>87</v>
      </c>
      <c r="J14" s="7" t="s">
        <v>87</v>
      </c>
      <c r="K14" s="7" t="s">
        <v>87</v>
      </c>
      <c r="L14" s="7" t="s">
        <v>87</v>
      </c>
      <c r="M14" s="7" t="s">
        <v>87</v>
      </c>
      <c r="N14" s="85" t="s">
        <v>87</v>
      </c>
      <c r="O14" s="7" t="s">
        <v>87</v>
      </c>
      <c r="P14" s="7" t="s">
        <v>87</v>
      </c>
      <c r="Q14" s="7">
        <f>ROUND(3210.5*1954.25,2)</f>
        <v>6274119.6299999999</v>
      </c>
      <c r="R14" s="85" t="s">
        <v>87</v>
      </c>
      <c r="S14" s="7"/>
      <c r="T14" s="7"/>
      <c r="U14" s="7"/>
      <c r="V14" s="7">
        <f>ROUND(Q14*1.5%,2)</f>
        <v>94111.79</v>
      </c>
      <c r="W14" s="7" t="s">
        <v>87</v>
      </c>
      <c r="X14" s="7" t="s">
        <v>87</v>
      </c>
      <c r="Y14" s="7" t="s">
        <v>87</v>
      </c>
      <c r="Z14" s="7" t="s">
        <v>87</v>
      </c>
      <c r="AA14" s="7" t="s">
        <v>87</v>
      </c>
      <c r="AB14" s="7"/>
      <c r="AC14" s="7"/>
    </row>
    <row r="15" spans="1:30" s="3" customFormat="1" x14ac:dyDescent="0.4">
      <c r="A15" s="94">
        <v>6</v>
      </c>
      <c r="B15" s="175" t="s">
        <v>85</v>
      </c>
      <c r="C15" s="91">
        <f>ROUND(D15+V15,2)</f>
        <v>6992663.7300000004</v>
      </c>
      <c r="D15" s="86">
        <f>ROUND(Q15+U15,2)</f>
        <v>6889323.8700000001</v>
      </c>
      <c r="E15" s="86"/>
      <c r="F15" s="86"/>
      <c r="G15" s="86"/>
      <c r="H15" s="86"/>
      <c r="I15" s="86" t="s">
        <v>87</v>
      </c>
      <c r="J15" s="86"/>
      <c r="K15" s="86" t="s">
        <v>87</v>
      </c>
      <c r="L15" s="86" t="s">
        <v>87</v>
      </c>
      <c r="M15" s="86" t="s">
        <v>87</v>
      </c>
      <c r="N15" s="86" t="s">
        <v>87</v>
      </c>
      <c r="O15" s="86" t="s">
        <v>87</v>
      </c>
      <c r="P15" s="86" t="s">
        <v>87</v>
      </c>
      <c r="Q15" s="86">
        <f>ROUND(2229.8*1954.25,2)</f>
        <v>4357586.6500000004</v>
      </c>
      <c r="R15" s="86" t="s">
        <v>87</v>
      </c>
      <c r="S15" s="7"/>
      <c r="T15" s="86" t="s">
        <v>87</v>
      </c>
      <c r="U15" s="141">
        <f>ROUND(2229.8*1135.41,2)</f>
        <v>2531737.2200000002</v>
      </c>
      <c r="V15" s="86">
        <f>ROUND(D15*1.5%,2)</f>
        <v>103339.86</v>
      </c>
      <c r="W15" s="86" t="s">
        <v>87</v>
      </c>
      <c r="X15" s="86" t="s">
        <v>87</v>
      </c>
      <c r="Y15" s="86" t="s">
        <v>87</v>
      </c>
      <c r="Z15" s="86" t="s">
        <v>87</v>
      </c>
      <c r="AA15" s="86" t="s">
        <v>87</v>
      </c>
      <c r="AB15" s="86"/>
      <c r="AC15" s="86"/>
      <c r="AD15" s="87"/>
    </row>
    <row r="16" spans="1:30" s="3" customFormat="1" x14ac:dyDescent="0.4">
      <c r="A16" s="94">
        <v>7</v>
      </c>
      <c r="B16" s="176" t="s">
        <v>36</v>
      </c>
      <c r="C16" s="91">
        <f>D16+V16+AB16+AC16</f>
        <v>15924589.449999999</v>
      </c>
      <c r="D16" s="86">
        <f>S16</f>
        <v>14740162.720000001</v>
      </c>
      <c r="E16" s="86" t="s">
        <v>87</v>
      </c>
      <c r="F16" s="86" t="s">
        <v>87</v>
      </c>
      <c r="G16" s="86" t="s">
        <v>87</v>
      </c>
      <c r="H16" s="86" t="s">
        <v>87</v>
      </c>
      <c r="I16" s="86" t="s">
        <v>87</v>
      </c>
      <c r="J16" s="86" t="s">
        <v>87</v>
      </c>
      <c r="K16" s="86" t="s">
        <v>87</v>
      </c>
      <c r="L16" s="86" t="s">
        <v>87</v>
      </c>
      <c r="M16" s="86" t="s">
        <v>87</v>
      </c>
      <c r="N16" s="86" t="s">
        <v>87</v>
      </c>
      <c r="O16" s="86" t="s">
        <v>87</v>
      </c>
      <c r="P16" s="86" t="s">
        <v>87</v>
      </c>
      <c r="Q16" s="86"/>
      <c r="R16" s="86" t="s">
        <v>87</v>
      </c>
      <c r="S16" s="7">
        <f>ROUND(5566.8*2647.87,2)</f>
        <v>14740162.720000001</v>
      </c>
      <c r="T16" s="86" t="s">
        <v>87</v>
      </c>
      <c r="U16" s="141"/>
      <c r="V16" s="86">
        <f>ROUND(S16*1.5%,2)</f>
        <v>221102.44</v>
      </c>
      <c r="W16" s="86" t="s">
        <v>87</v>
      </c>
      <c r="X16" s="86" t="s">
        <v>87</v>
      </c>
      <c r="Y16" s="86" t="s">
        <v>87</v>
      </c>
      <c r="Z16" s="86" t="s">
        <v>87</v>
      </c>
      <c r="AA16" s="86" t="s">
        <v>87</v>
      </c>
      <c r="AB16" s="86">
        <v>688585.2</v>
      </c>
      <c r="AC16" s="86">
        <v>274739.09000000003</v>
      </c>
    </row>
    <row r="17" spans="1:90" s="3" customFormat="1" x14ac:dyDescent="0.4">
      <c r="A17" s="84">
        <v>8</v>
      </c>
      <c r="B17" s="114" t="s">
        <v>37</v>
      </c>
      <c r="C17" s="7">
        <f>ROUND(D17+V17,2)</f>
        <v>51433354.850000001</v>
      </c>
      <c r="D17" s="7">
        <f>ROUND(E17+F17+G17+H17+J17+Q17+S17+U17,2)</f>
        <v>50673256.009999998</v>
      </c>
      <c r="E17" s="7">
        <f>ROUND(4225.7*660.21+1197448.78,2)</f>
        <v>3987298.18</v>
      </c>
      <c r="F17" s="7">
        <f>ROUND(4225.7*620.83,2)</f>
        <v>2623441.33</v>
      </c>
      <c r="G17" s="7">
        <f>ROUND(4225.7*665.62,2)</f>
        <v>2812710.43</v>
      </c>
      <c r="H17" s="7">
        <f>ROUND(4225.7*3201.73+2501151.24,2)</f>
        <v>16030701.699999999</v>
      </c>
      <c r="I17" s="7" t="s">
        <v>87</v>
      </c>
      <c r="J17" s="7">
        <f>ROUND(4225.7*690.32,2)</f>
        <v>2917085.22</v>
      </c>
      <c r="K17" s="7" t="s">
        <v>87</v>
      </c>
      <c r="L17" s="7" t="s">
        <v>87</v>
      </c>
      <c r="M17" s="7" t="s">
        <v>87</v>
      </c>
      <c r="N17" s="85" t="s">
        <v>87</v>
      </c>
      <c r="O17" s="7" t="s">
        <v>87</v>
      </c>
      <c r="P17" s="7" t="s">
        <v>87</v>
      </c>
      <c r="Q17" s="7">
        <f>ROUND(4225.7*706.71,2)</f>
        <v>2986344.45</v>
      </c>
      <c r="R17" s="85" t="s">
        <v>87</v>
      </c>
      <c r="S17" s="7">
        <f>ROUND(4225.7*3435.59,2)</f>
        <v>14517772.66</v>
      </c>
      <c r="T17" s="7"/>
      <c r="U17" s="7">
        <f>ROUND(4225.7*1135.41,2)</f>
        <v>4797902.04</v>
      </c>
      <c r="V17" s="7">
        <f>ROUND(D17*1.5%,2)</f>
        <v>760098.84</v>
      </c>
      <c r="W17" s="7" t="s">
        <v>87</v>
      </c>
      <c r="X17" s="7" t="s">
        <v>87</v>
      </c>
      <c r="Y17" s="7" t="s">
        <v>87</v>
      </c>
      <c r="Z17" s="7" t="s">
        <v>87</v>
      </c>
      <c r="AA17" s="7" t="s">
        <v>87</v>
      </c>
      <c r="AB17" s="7" t="s">
        <v>87</v>
      </c>
      <c r="AC17" s="7" t="s">
        <v>87</v>
      </c>
      <c r="AD17" s="87"/>
    </row>
    <row r="18" spans="1:90" s="3" customFormat="1" x14ac:dyDescent="0.4">
      <c r="A18" s="92"/>
      <c r="B18" s="92" t="s">
        <v>105</v>
      </c>
      <c r="C18" s="93">
        <f>ROUND(C10+C11+C12+C13+C14+C15+C16+C17,2)</f>
        <v>134922216.69</v>
      </c>
      <c r="D18" s="93">
        <f>ROUND(D10+D11+D12+D13+D14+D15+D16+D17,2)</f>
        <v>131979204.34</v>
      </c>
      <c r="E18" s="93">
        <f>E17</f>
        <v>3987298.18</v>
      </c>
      <c r="F18" s="93">
        <f>F17</f>
        <v>2623441.33</v>
      </c>
      <c r="G18" s="93">
        <f>G17</f>
        <v>2812710.43</v>
      </c>
      <c r="H18" s="93">
        <f>H17</f>
        <v>16030701.699999999</v>
      </c>
      <c r="I18" s="93" t="s">
        <v>87</v>
      </c>
      <c r="J18" s="93">
        <f>J17</f>
        <v>2917085.22</v>
      </c>
      <c r="K18" s="93" t="s">
        <v>87</v>
      </c>
      <c r="L18" s="93" t="s">
        <v>87</v>
      </c>
      <c r="M18" s="93" t="s">
        <v>87</v>
      </c>
      <c r="N18" s="93" t="s">
        <v>87</v>
      </c>
      <c r="O18" s="93">
        <f>ROUND(O10+O11,2)</f>
        <v>27408269.850000001</v>
      </c>
      <c r="P18" s="93" t="s">
        <v>87</v>
      </c>
      <c r="Q18" s="93">
        <f>ROUND(Q14+Q15+Q17,2)</f>
        <v>13618050.73</v>
      </c>
      <c r="R18" s="93" t="s">
        <v>87</v>
      </c>
      <c r="S18" s="93">
        <f>ROUND(S13+S16+S17,2)</f>
        <v>43740321.469999999</v>
      </c>
      <c r="T18" s="93" t="s">
        <v>87</v>
      </c>
      <c r="U18" s="93">
        <f>ROUND(U15+U17,2)</f>
        <v>7329639.2599999998</v>
      </c>
      <c r="V18" s="93">
        <f>ROUND(V10+V11+V12+V13+V14+V15+V16+V17,2)</f>
        <v>1979688.06</v>
      </c>
      <c r="W18" s="93" t="s">
        <v>87</v>
      </c>
      <c r="X18" s="93" t="s">
        <v>87</v>
      </c>
      <c r="Y18" s="93" t="s">
        <v>87</v>
      </c>
      <c r="Z18" s="93">
        <f>Z12</f>
        <v>11511686.17</v>
      </c>
      <c r="AA18" s="93" t="s">
        <v>87</v>
      </c>
      <c r="AB18" s="93">
        <f>AB16</f>
        <v>688585.2</v>
      </c>
      <c r="AC18" s="93">
        <f>AC16</f>
        <v>274739.09000000003</v>
      </c>
    </row>
    <row r="19" spans="1:90" s="3" customFormat="1" x14ac:dyDescent="0.4">
      <c r="A19" s="234">
        <v>2024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5"/>
    </row>
    <row r="20" spans="1:90" s="3" customFormat="1" x14ac:dyDescent="0.4">
      <c r="A20" s="94">
        <v>1</v>
      </c>
      <c r="B20" s="114" t="s">
        <v>31</v>
      </c>
      <c r="C20" s="86">
        <f>ROUND(D20+V20+AB20+AC20,2)</f>
        <v>20502760.829999998</v>
      </c>
      <c r="D20" s="86">
        <f>ROUND(Q20+S20+U20,2)</f>
        <v>18941881.539999999</v>
      </c>
      <c r="E20" s="86"/>
      <c r="F20" s="86"/>
      <c r="G20" s="86"/>
      <c r="H20" s="86"/>
      <c r="I20" s="86" t="s">
        <v>87</v>
      </c>
      <c r="J20" s="86" t="s">
        <v>87</v>
      </c>
      <c r="K20" s="86" t="s">
        <v>87</v>
      </c>
      <c r="L20" s="86" t="s">
        <v>87</v>
      </c>
      <c r="M20" s="86" t="s">
        <v>87</v>
      </c>
      <c r="N20" s="86" t="s">
        <v>87</v>
      </c>
      <c r="O20" s="86" t="s">
        <v>87</v>
      </c>
      <c r="P20" s="86" t="s">
        <v>87</v>
      </c>
      <c r="Q20" s="86">
        <f>ROUND(3301.4*1954.25,2)</f>
        <v>6451760.9500000002</v>
      </c>
      <c r="R20" s="86" t="s">
        <v>87</v>
      </c>
      <c r="S20" s="7">
        <f>ROUND(3301.4*2647.87,2)</f>
        <v>8741678.0199999996</v>
      </c>
      <c r="T20" s="86" t="s">
        <v>87</v>
      </c>
      <c r="U20" s="141">
        <f>ROUND(3301.4*1135.41,2)</f>
        <v>3748442.57</v>
      </c>
      <c r="V20" s="86">
        <f>ROUND(D20*1.5%,2)</f>
        <v>284128.21999999997</v>
      </c>
      <c r="W20" s="86" t="s">
        <v>87</v>
      </c>
      <c r="X20" s="86" t="s">
        <v>87</v>
      </c>
      <c r="Y20" s="86" t="s">
        <v>87</v>
      </c>
      <c r="Z20" s="86" t="s">
        <v>87</v>
      </c>
      <c r="AA20" s="86" t="s">
        <v>87</v>
      </c>
      <c r="AB20" s="7">
        <v>948698.69</v>
      </c>
      <c r="AC20" s="7">
        <v>328052.38</v>
      </c>
      <c r="AD20" s="87"/>
    </row>
    <row r="21" spans="1:90" s="3" customFormat="1" x14ac:dyDescent="0.4">
      <c r="A21" s="84">
        <v>2</v>
      </c>
      <c r="B21" s="114" t="s">
        <v>32</v>
      </c>
      <c r="C21" s="7">
        <f t="shared" ref="C21:C27" si="0">D21+V21+AB21+AC21</f>
        <v>9851876.6600000001</v>
      </c>
      <c r="D21" s="7">
        <f>ROUND(Q21+U21,2)</f>
        <v>8684893.7100000009</v>
      </c>
      <c r="E21" s="7" t="s">
        <v>87</v>
      </c>
      <c r="F21" s="7" t="s">
        <v>87</v>
      </c>
      <c r="G21" s="7" t="s">
        <v>87</v>
      </c>
      <c r="H21" s="7" t="s">
        <v>87</v>
      </c>
      <c r="I21" s="7" t="s">
        <v>87</v>
      </c>
      <c r="J21" s="7" t="s">
        <v>87</v>
      </c>
      <c r="K21" s="7" t="s">
        <v>87</v>
      </c>
      <c r="L21" s="7" t="s">
        <v>87</v>
      </c>
      <c r="M21" s="7" t="s">
        <v>87</v>
      </c>
      <c r="N21" s="85" t="s">
        <v>87</v>
      </c>
      <c r="O21" s="84" t="s">
        <v>87</v>
      </c>
      <c r="P21" s="7" t="s">
        <v>87</v>
      </c>
      <c r="Q21" s="7">
        <f>ROUND(2811*1954.2,2)</f>
        <v>5493256.2000000002</v>
      </c>
      <c r="R21" s="85" t="s">
        <v>87</v>
      </c>
      <c r="S21" s="7">
        <f>'Разд 1'!L29*2647.87</f>
        <v>0</v>
      </c>
      <c r="T21" s="7" t="s">
        <v>87</v>
      </c>
      <c r="U21" s="7">
        <f>ROUND(2811*1135.41,2)</f>
        <v>3191637.51</v>
      </c>
      <c r="V21" s="7">
        <f>ROUND(D21*1.5%,2)</f>
        <v>130273.41</v>
      </c>
      <c r="W21" s="7" t="s">
        <v>87</v>
      </c>
      <c r="X21" s="7" t="s">
        <v>87</v>
      </c>
      <c r="Y21" s="7" t="s">
        <v>87</v>
      </c>
      <c r="Z21" s="7" t="s">
        <v>87</v>
      </c>
      <c r="AA21" s="7" t="s">
        <v>87</v>
      </c>
      <c r="AB21" s="7">
        <v>741038.89</v>
      </c>
      <c r="AC21" s="7">
        <v>295670.65000000002</v>
      </c>
      <c r="AD21" s="87"/>
    </row>
    <row r="22" spans="1:90" s="3" customFormat="1" x14ac:dyDescent="0.4">
      <c r="A22" s="84">
        <v>3</v>
      </c>
      <c r="B22" s="114" t="s">
        <v>89</v>
      </c>
      <c r="C22" s="7">
        <f t="shared" si="0"/>
        <v>18863071.989999998</v>
      </c>
      <c r="D22" s="7">
        <f>ROUND(O22,2)</f>
        <v>17831728.09</v>
      </c>
      <c r="E22" s="7" t="s">
        <v>87</v>
      </c>
      <c r="F22" s="7" t="s">
        <v>87</v>
      </c>
      <c r="G22" s="7" t="s">
        <v>87</v>
      </c>
      <c r="H22" s="7" t="s">
        <v>87</v>
      </c>
      <c r="I22" s="7" t="s">
        <v>87</v>
      </c>
      <c r="J22" s="7" t="s">
        <v>87</v>
      </c>
      <c r="K22" s="7" t="s">
        <v>87</v>
      </c>
      <c r="L22" s="7" t="s">
        <v>87</v>
      </c>
      <c r="M22" s="7" t="s">
        <v>87</v>
      </c>
      <c r="N22" s="85" t="s">
        <v>87</v>
      </c>
      <c r="O22" s="7">
        <f>ROUND(4784.1*3727.29,2)</f>
        <v>17831728.09</v>
      </c>
      <c r="P22" s="7" t="s">
        <v>87</v>
      </c>
      <c r="Q22" s="7" t="s">
        <v>87</v>
      </c>
      <c r="R22" s="85" t="s">
        <v>87</v>
      </c>
      <c r="S22" s="7"/>
      <c r="T22" s="7" t="s">
        <v>87</v>
      </c>
      <c r="U22" s="7" t="s">
        <v>87</v>
      </c>
      <c r="V22" s="7">
        <f>ROUND(O22*1.5%,2)</f>
        <v>267475.92</v>
      </c>
      <c r="W22" s="7" t="s">
        <v>87</v>
      </c>
      <c r="X22" s="7" t="s">
        <v>87</v>
      </c>
      <c r="Y22" s="7" t="s">
        <v>87</v>
      </c>
      <c r="Z22" s="7" t="s">
        <v>87</v>
      </c>
      <c r="AA22" s="7" t="s">
        <v>87</v>
      </c>
      <c r="AB22" s="7">
        <v>546013.63</v>
      </c>
      <c r="AC22" s="7">
        <v>217854.35</v>
      </c>
    </row>
    <row r="23" spans="1:90" s="3" customFormat="1" x14ac:dyDescent="0.4">
      <c r="A23" s="94">
        <v>4</v>
      </c>
      <c r="B23" s="114" t="s">
        <v>33</v>
      </c>
      <c r="C23" s="86">
        <f t="shared" si="0"/>
        <v>22406403.449999999</v>
      </c>
      <c r="D23" s="86">
        <f>ROUND(H23+S23+U23,2)</f>
        <v>20921491.32</v>
      </c>
      <c r="E23" s="86"/>
      <c r="F23" s="86"/>
      <c r="G23" s="86"/>
      <c r="H23" s="86">
        <f>ROUND(1954.25*3210.5+2501151.24,2)</f>
        <v>8775270.8699999992</v>
      </c>
      <c r="I23" s="86" t="s">
        <v>87</v>
      </c>
      <c r="J23" s="86"/>
      <c r="K23" s="86" t="s">
        <v>87</v>
      </c>
      <c r="L23" s="86" t="s">
        <v>87</v>
      </c>
      <c r="M23" s="86" t="s">
        <v>87</v>
      </c>
      <c r="N23" s="86" t="s">
        <v>87</v>
      </c>
      <c r="O23" s="95" t="s">
        <v>87</v>
      </c>
      <c r="P23" s="86" t="s">
        <v>87</v>
      </c>
      <c r="Q23" s="86" t="s">
        <v>87</v>
      </c>
      <c r="R23" s="86" t="s">
        <v>87</v>
      </c>
      <c r="S23" s="7">
        <f>ROUND(2647.87*3210.5,2)</f>
        <v>8500986.6400000006</v>
      </c>
      <c r="T23" s="86" t="s">
        <v>87</v>
      </c>
      <c r="U23" s="141">
        <f>ROUND(1135.41*3210.5,2)</f>
        <v>3645233.81</v>
      </c>
      <c r="V23" s="7">
        <f>ROUND(D23*1.5%,2)</f>
        <v>313822.37</v>
      </c>
      <c r="W23" s="86" t="s">
        <v>87</v>
      </c>
      <c r="X23" s="86" t="s">
        <v>87</v>
      </c>
      <c r="Y23" s="86" t="s">
        <v>87</v>
      </c>
      <c r="Z23" s="86" t="s">
        <v>87</v>
      </c>
      <c r="AA23" s="86" t="s">
        <v>87</v>
      </c>
      <c r="AB23" s="7">
        <v>837095.87</v>
      </c>
      <c r="AC23" s="7">
        <v>333993.89</v>
      </c>
    </row>
    <row r="24" spans="1:90" s="3" customFormat="1" x14ac:dyDescent="0.4">
      <c r="A24" s="84">
        <v>5</v>
      </c>
      <c r="B24" s="114" t="s">
        <v>90</v>
      </c>
      <c r="C24" s="7">
        <f t="shared" si="0"/>
        <v>24402799.579999998</v>
      </c>
      <c r="D24" s="7">
        <f>Q24+S24+U24</f>
        <v>22706274.989999998</v>
      </c>
      <c r="E24" s="7" t="s">
        <v>87</v>
      </c>
      <c r="F24" s="7" t="s">
        <v>87</v>
      </c>
      <c r="G24" s="7" t="s">
        <v>87</v>
      </c>
      <c r="H24" s="7" t="s">
        <v>87</v>
      </c>
      <c r="I24" s="7" t="s">
        <v>87</v>
      </c>
      <c r="J24" s="7" t="s">
        <v>87</v>
      </c>
      <c r="K24" s="7" t="s">
        <v>87</v>
      </c>
      <c r="L24" s="7" t="s">
        <v>87</v>
      </c>
      <c r="M24" s="7" t="s">
        <v>87</v>
      </c>
      <c r="N24" s="85" t="s">
        <v>87</v>
      </c>
      <c r="O24" s="7" t="s">
        <v>87</v>
      </c>
      <c r="P24" s="7" t="s">
        <v>87</v>
      </c>
      <c r="Q24" s="7">
        <f>ROUND(3957.5*1954.25,2)</f>
        <v>7733944.3799999999</v>
      </c>
      <c r="R24" s="85" t="s">
        <v>87</v>
      </c>
      <c r="S24" s="7">
        <f>ROUND(3957.5*2647.87,2)</f>
        <v>10478945.529999999</v>
      </c>
      <c r="T24" s="7" t="s">
        <v>87</v>
      </c>
      <c r="U24" s="7">
        <f>ROUND(3957.5*1135.41,2)</f>
        <v>4493385.08</v>
      </c>
      <c r="V24" s="7">
        <f>ROUND(D24*1.5%,2)</f>
        <v>340594.12</v>
      </c>
      <c r="W24" s="7" t="s">
        <v>87</v>
      </c>
      <c r="X24" s="7" t="s">
        <v>87</v>
      </c>
      <c r="Y24" s="7" t="s">
        <v>87</v>
      </c>
      <c r="Z24" s="7" t="s">
        <v>87</v>
      </c>
      <c r="AA24" s="7" t="s">
        <v>87</v>
      </c>
      <c r="AB24" s="7">
        <v>1007169.36</v>
      </c>
      <c r="AC24" s="7">
        <v>348761.11</v>
      </c>
      <c r="AD24" s="87"/>
    </row>
    <row r="25" spans="1:90" s="3" customFormat="1" x14ac:dyDescent="0.4">
      <c r="A25" s="94">
        <v>6</v>
      </c>
      <c r="B25" s="175" t="s">
        <v>85</v>
      </c>
      <c r="C25" s="91">
        <f t="shared" si="0"/>
        <v>19718099.399999999</v>
      </c>
      <c r="D25" s="86">
        <f>ROUND(E25+F25+G25+H25+J25+S25,2)</f>
        <v>18126966.879999999</v>
      </c>
      <c r="E25" s="86">
        <f>ROUND(2229.8*589.88+1197448.78,2)</f>
        <v>2512763.2000000002</v>
      </c>
      <c r="F25" s="86">
        <f>ROUND(2229.8*596.38,2)</f>
        <v>1329808.1200000001</v>
      </c>
      <c r="G25" s="86">
        <f>ROUND(2229.8*1074.75,2)</f>
        <v>2396477.5499999998</v>
      </c>
      <c r="H25" s="86">
        <f>ROUND(2229.8*871.5+2501151.24,2)</f>
        <v>4444421.9400000004</v>
      </c>
      <c r="I25" s="86" t="s">
        <v>87</v>
      </c>
      <c r="J25" s="86">
        <f>ROUND(2229.8*690.32,2)</f>
        <v>1539275.54</v>
      </c>
      <c r="K25" s="86" t="s">
        <v>87</v>
      </c>
      <c r="L25" s="86" t="s">
        <v>87</v>
      </c>
      <c r="M25" s="86" t="s">
        <v>87</v>
      </c>
      <c r="N25" s="86" t="s">
        <v>87</v>
      </c>
      <c r="O25" s="86" t="s">
        <v>87</v>
      </c>
      <c r="P25" s="86" t="s">
        <v>87</v>
      </c>
      <c r="Q25" s="86"/>
      <c r="R25" s="86" t="s">
        <v>87</v>
      </c>
      <c r="S25" s="7">
        <f>ROUND(2229.8*2647.87,2)</f>
        <v>5904220.5300000003</v>
      </c>
      <c r="T25" s="86" t="s">
        <v>87</v>
      </c>
      <c r="U25" s="141"/>
      <c r="V25" s="86">
        <f>ROUND(D25*1.5%,2)</f>
        <v>271904.5</v>
      </c>
      <c r="W25" s="86" t="s">
        <v>87</v>
      </c>
      <c r="X25" s="86" t="s">
        <v>87</v>
      </c>
      <c r="Y25" s="86" t="s">
        <v>87</v>
      </c>
      <c r="Z25" s="86" t="s">
        <v>87</v>
      </c>
      <c r="AA25" s="86" t="s">
        <v>87</v>
      </c>
      <c r="AB25" s="86">
        <v>980261.51</v>
      </c>
      <c r="AC25" s="86">
        <v>338966.51</v>
      </c>
      <c r="AD25" s="87"/>
    </row>
    <row r="26" spans="1:90" s="3" customFormat="1" x14ac:dyDescent="0.4">
      <c r="A26" s="94">
        <v>7</v>
      </c>
      <c r="B26" s="176" t="s">
        <v>94</v>
      </c>
      <c r="C26" s="91">
        <f t="shared" si="0"/>
        <v>6329104.4299999997</v>
      </c>
      <c r="D26" s="86">
        <f>O26</f>
        <v>5591680</v>
      </c>
      <c r="E26" s="86" t="s">
        <v>87</v>
      </c>
      <c r="F26" s="86" t="s">
        <v>87</v>
      </c>
      <c r="G26" s="86" t="s">
        <v>87</v>
      </c>
      <c r="H26" s="86" t="s">
        <v>87</v>
      </c>
      <c r="I26" s="86" t="s">
        <v>87</v>
      </c>
      <c r="J26" s="86" t="s">
        <v>87</v>
      </c>
      <c r="K26" s="86" t="s">
        <v>87</v>
      </c>
      <c r="L26" s="86" t="s">
        <v>87</v>
      </c>
      <c r="M26" s="86" t="s">
        <v>87</v>
      </c>
      <c r="N26" s="86" t="s">
        <v>87</v>
      </c>
      <c r="O26" s="133">
        <f>ROUND(1500.2*3727.29,)</f>
        <v>5591680</v>
      </c>
      <c r="P26" s="86" t="s">
        <v>87</v>
      </c>
      <c r="Q26" s="86" t="s">
        <v>87</v>
      </c>
      <c r="R26" s="86" t="s">
        <v>87</v>
      </c>
      <c r="S26" s="7" t="s">
        <v>87</v>
      </c>
      <c r="T26" s="86" t="s">
        <v>87</v>
      </c>
      <c r="U26" s="141" t="s">
        <v>87</v>
      </c>
      <c r="V26" s="86">
        <f>ROUND(O26*1.5%,)</f>
        <v>83875</v>
      </c>
      <c r="W26" s="86" t="s">
        <v>87</v>
      </c>
      <c r="X26" s="86" t="s">
        <v>87</v>
      </c>
      <c r="Y26" s="86" t="s">
        <v>87</v>
      </c>
      <c r="Z26" s="86" t="s">
        <v>87</v>
      </c>
      <c r="AA26" s="86" t="s">
        <v>87</v>
      </c>
      <c r="AB26" s="86">
        <v>467157.83</v>
      </c>
      <c r="AC26" s="86">
        <v>186391.6</v>
      </c>
    </row>
    <row r="27" spans="1:90" s="3" customFormat="1" x14ac:dyDescent="0.4">
      <c r="A27" s="94">
        <v>8</v>
      </c>
      <c r="B27" s="176" t="s">
        <v>95</v>
      </c>
      <c r="C27" s="91">
        <f t="shared" si="0"/>
        <v>10276824.51</v>
      </c>
      <c r="D27" s="86">
        <f>O27</f>
        <v>9421098.1999999993</v>
      </c>
      <c r="E27" s="86" t="s">
        <v>87</v>
      </c>
      <c r="F27" s="86" t="s">
        <v>87</v>
      </c>
      <c r="G27" s="86" t="s">
        <v>87</v>
      </c>
      <c r="H27" s="86" t="s">
        <v>87</v>
      </c>
      <c r="I27" s="86" t="s">
        <v>87</v>
      </c>
      <c r="J27" s="86" t="s">
        <v>87</v>
      </c>
      <c r="K27" s="86" t="s">
        <v>87</v>
      </c>
      <c r="L27" s="86" t="s">
        <v>87</v>
      </c>
      <c r="M27" s="86" t="s">
        <v>87</v>
      </c>
      <c r="N27" s="86" t="s">
        <v>87</v>
      </c>
      <c r="O27" s="86">
        <f>ROUND(2527.6*3727.29,2)</f>
        <v>9421098.1999999993</v>
      </c>
      <c r="P27" s="86" t="s">
        <v>87</v>
      </c>
      <c r="Q27" s="86" t="s">
        <v>87</v>
      </c>
      <c r="R27" s="86" t="s">
        <v>87</v>
      </c>
      <c r="S27" s="7" t="s">
        <v>87</v>
      </c>
      <c r="T27" s="86" t="s">
        <v>87</v>
      </c>
      <c r="U27" s="141" t="s">
        <v>87</v>
      </c>
      <c r="V27" s="86">
        <f>ROUND(D27*1.5%,)</f>
        <v>141316</v>
      </c>
      <c r="W27" s="86" t="s">
        <v>87</v>
      </c>
      <c r="X27" s="86" t="s">
        <v>87</v>
      </c>
      <c r="Y27" s="86" t="s">
        <v>87</v>
      </c>
      <c r="Z27" s="86" t="s">
        <v>87</v>
      </c>
      <c r="AA27" s="86" t="s">
        <v>87</v>
      </c>
      <c r="AB27" s="86">
        <v>510661.23</v>
      </c>
      <c r="AC27" s="86">
        <v>203749.08</v>
      </c>
    </row>
    <row r="28" spans="1:90" s="3" customFormat="1" x14ac:dyDescent="0.4">
      <c r="A28" s="92"/>
      <c r="B28" s="112" t="s">
        <v>106</v>
      </c>
      <c r="C28" s="142">
        <f>ROUND(C20+C21+C22+C23+C24+C25+C26+C27,2)</f>
        <v>132350940.84999999</v>
      </c>
      <c r="D28" s="142">
        <f>ROUND(D20+D21+D22+D23+D24+D25+D26+D27,2)</f>
        <v>122226014.73</v>
      </c>
      <c r="E28" s="142">
        <f>E25</f>
        <v>2512763.2000000002</v>
      </c>
      <c r="F28" s="142">
        <f>F25</f>
        <v>1329808.1200000001</v>
      </c>
      <c r="G28" s="142">
        <f>SUM(G20:G27)</f>
        <v>2396477.5499999998</v>
      </c>
      <c r="H28" s="142">
        <f>SUM(H20:H27)</f>
        <v>13219692.810000001</v>
      </c>
      <c r="I28" s="142" t="s">
        <v>87</v>
      </c>
      <c r="J28" s="142">
        <f>SUM(J20:J27)</f>
        <v>1539275.54</v>
      </c>
      <c r="K28" s="142" t="s">
        <v>87</v>
      </c>
      <c r="L28" s="142" t="s">
        <v>87</v>
      </c>
      <c r="M28" s="142" t="s">
        <v>87</v>
      </c>
      <c r="N28" s="142" t="s">
        <v>87</v>
      </c>
      <c r="O28" s="142">
        <f>ROUND(O22+O26+O27,2)</f>
        <v>32844506.289999999</v>
      </c>
      <c r="P28" s="142">
        <f>SUM(P20:P25)</f>
        <v>0</v>
      </c>
      <c r="Q28" s="142">
        <f>ROUND(Q20+Q21+Q24,2)</f>
        <v>19678961.530000001</v>
      </c>
      <c r="R28" s="142" t="s">
        <v>87</v>
      </c>
      <c r="S28" s="142">
        <f>ROUND(S20+S23+S24+S25,2)</f>
        <v>33625830.719999999</v>
      </c>
      <c r="T28" s="142" t="s">
        <v>87</v>
      </c>
      <c r="U28" s="142">
        <f>ROUND(U20+U21+U23+U24,2)</f>
        <v>15078698.970000001</v>
      </c>
      <c r="V28" s="142">
        <f>ROUND(V20+V21+V22+V23+V24+V25+V26+V27,2)</f>
        <v>1833389.54</v>
      </c>
      <c r="W28" s="142" t="s">
        <v>87</v>
      </c>
      <c r="X28" s="142" t="s">
        <v>87</v>
      </c>
      <c r="Y28" s="142" t="s">
        <v>87</v>
      </c>
      <c r="Z28" s="142" t="s">
        <v>87</v>
      </c>
      <c r="AA28" s="142" t="s">
        <v>87</v>
      </c>
      <c r="AB28" s="142">
        <f>ROUND(AB20+AB21+AB22+AB23+AB24+AB25+AB26+AB27,2)</f>
        <v>6038097.0099999998</v>
      </c>
      <c r="AC28" s="142">
        <f>ROUND(AC20+AC21+AC22+AC23+AC24+AC25+AC26+AC27,2)</f>
        <v>2253439.5699999998</v>
      </c>
      <c r="AD28" s="87"/>
    </row>
    <row r="29" spans="1:90" s="3" customFormat="1" x14ac:dyDescent="0.4">
      <c r="A29" s="236">
        <v>2025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5"/>
    </row>
    <row r="30" spans="1:90" s="90" customFormat="1" x14ac:dyDescent="0.4">
      <c r="A30" s="84">
        <v>1</v>
      </c>
      <c r="B30" s="114" t="s">
        <v>34</v>
      </c>
      <c r="C30" s="86">
        <f>D30+V30+AB30+AC30</f>
        <v>20308466.920000002</v>
      </c>
      <c r="D30" s="141">
        <f>ROUND(E30+F30+G30+H30+J30,2)</f>
        <v>18827449.75</v>
      </c>
      <c r="E30" s="141">
        <f>ROUND(3957.5*589.88+1197448.78,2)</f>
        <v>3531898.8799999999</v>
      </c>
      <c r="F30" s="141">
        <f>ROUND(3957.5*596.38,2)</f>
        <v>2360173.85</v>
      </c>
      <c r="G30" s="141">
        <f>ROUND(3957.5*1074.75,2)</f>
        <v>4253323.13</v>
      </c>
      <c r="H30" s="141">
        <f>ROUND(3957.5*871.5+2501151.24,2)</f>
        <v>5950112.4900000002</v>
      </c>
      <c r="I30" s="141" t="s">
        <v>87</v>
      </c>
      <c r="J30" s="141">
        <f>ROUND(3957.5*690.32,2)</f>
        <v>2731941.4</v>
      </c>
      <c r="K30" s="141" t="s">
        <v>87</v>
      </c>
      <c r="L30" s="141" t="s">
        <v>87</v>
      </c>
      <c r="M30" s="141" t="s">
        <v>87</v>
      </c>
      <c r="N30" s="141" t="s">
        <v>87</v>
      </c>
      <c r="O30" s="141" t="s">
        <v>87</v>
      </c>
      <c r="P30" s="141" t="s">
        <v>87</v>
      </c>
      <c r="Q30" s="141" t="s">
        <v>87</v>
      </c>
      <c r="R30" s="141" t="s">
        <v>87</v>
      </c>
      <c r="S30" s="141" t="s">
        <v>87</v>
      </c>
      <c r="T30" s="141" t="s">
        <v>87</v>
      </c>
      <c r="U30" s="141" t="s">
        <v>87</v>
      </c>
      <c r="V30" s="141">
        <f>ROUND(D30*1.5%,2)</f>
        <v>282411.75</v>
      </c>
      <c r="W30" s="141" t="s">
        <v>87</v>
      </c>
      <c r="X30" s="141" t="s">
        <v>87</v>
      </c>
      <c r="Y30" s="141" t="s">
        <v>87</v>
      </c>
      <c r="Z30" s="141" t="s">
        <v>87</v>
      </c>
      <c r="AA30" s="141" t="s">
        <v>87</v>
      </c>
      <c r="AB30" s="141">
        <v>890632.05</v>
      </c>
      <c r="AC30" s="141">
        <v>307973.37</v>
      </c>
      <c r="AD30" s="88"/>
      <c r="AE30" s="88"/>
      <c r="AF30" s="88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</row>
    <row r="31" spans="1:90" s="3" customFormat="1" x14ac:dyDescent="0.4">
      <c r="A31" s="84">
        <v>2</v>
      </c>
      <c r="B31" s="114" t="s">
        <v>91</v>
      </c>
      <c r="C31" s="7">
        <f>ROUND(D31+V31+AB31+AC31,2)</f>
        <v>10192963.23</v>
      </c>
      <c r="D31" s="7">
        <f>O31</f>
        <v>9345806.9499999993</v>
      </c>
      <c r="E31" s="7" t="s">
        <v>87</v>
      </c>
      <c r="F31" s="7" t="s">
        <v>87</v>
      </c>
      <c r="G31" s="7" t="s">
        <v>87</v>
      </c>
      <c r="H31" s="7" t="s">
        <v>87</v>
      </c>
      <c r="I31" s="7" t="s">
        <v>87</v>
      </c>
      <c r="J31" s="7" t="s">
        <v>87</v>
      </c>
      <c r="K31" s="7" t="s">
        <v>87</v>
      </c>
      <c r="L31" s="7" t="s">
        <v>87</v>
      </c>
      <c r="M31" s="7" t="s">
        <v>87</v>
      </c>
      <c r="N31" s="85" t="s">
        <v>87</v>
      </c>
      <c r="O31" s="7">
        <f>ROUND(2507.4*3727.29,20)</f>
        <v>9345806.9499999993</v>
      </c>
      <c r="P31" s="7" t="s">
        <v>87</v>
      </c>
      <c r="Q31" s="7" t="s">
        <v>87</v>
      </c>
      <c r="R31" s="85" t="s">
        <v>87</v>
      </c>
      <c r="S31" s="7" t="s">
        <v>87</v>
      </c>
      <c r="T31" s="7"/>
      <c r="U31" s="7" t="s">
        <v>87</v>
      </c>
      <c r="V31" s="7">
        <f>ROUND(O31*1.5%,2)</f>
        <v>140187.1</v>
      </c>
      <c r="W31" s="7" t="s">
        <v>87</v>
      </c>
      <c r="X31" s="7" t="s">
        <v>87</v>
      </c>
      <c r="Y31" s="7" t="s">
        <v>87</v>
      </c>
      <c r="Z31" s="7" t="s">
        <v>87</v>
      </c>
      <c r="AA31" s="7" t="s">
        <v>87</v>
      </c>
      <c r="AB31" s="7">
        <v>505342.31</v>
      </c>
      <c r="AC31" s="7">
        <v>201626.87</v>
      </c>
      <c r="AD31" s="88"/>
      <c r="AE31" s="88"/>
      <c r="AF31" s="88"/>
      <c r="AG31" s="89"/>
    </row>
    <row r="32" spans="1:90" s="3" customFormat="1" x14ac:dyDescent="0.4">
      <c r="A32" s="84">
        <v>3</v>
      </c>
      <c r="B32" s="177" t="s">
        <v>35</v>
      </c>
      <c r="C32" s="86">
        <f>D32+V32+AB32+AC32</f>
        <v>36431138.649999999</v>
      </c>
      <c r="D32" s="141">
        <f>ROUND(O32+Q32+U32,2)</f>
        <v>34818626.590000004</v>
      </c>
      <c r="E32" s="141" t="s">
        <v>87</v>
      </c>
      <c r="F32" s="141"/>
      <c r="G32" s="141" t="s">
        <v>87</v>
      </c>
      <c r="H32" s="141"/>
      <c r="I32" s="141" t="s">
        <v>87</v>
      </c>
      <c r="J32" s="141"/>
      <c r="K32" s="141" t="s">
        <v>87</v>
      </c>
      <c r="L32" s="141" t="s">
        <v>87</v>
      </c>
      <c r="M32" s="141" t="s">
        <v>87</v>
      </c>
      <c r="N32" s="141" t="s">
        <v>87</v>
      </c>
      <c r="O32" s="91">
        <f>ROUND(3841*5975.33,2)</f>
        <v>22951242.530000001</v>
      </c>
      <c r="P32" s="141" t="s">
        <v>87</v>
      </c>
      <c r="Q32" s="141">
        <f>ROUND(3841*1954.25,2)</f>
        <v>7506274.25</v>
      </c>
      <c r="R32" s="141" t="s">
        <v>87</v>
      </c>
      <c r="S32" s="141" t="s">
        <v>87</v>
      </c>
      <c r="T32" s="141" t="s">
        <v>87</v>
      </c>
      <c r="U32" s="141">
        <f>ROUND(3841*1135.41,2)</f>
        <v>4361109.8099999996</v>
      </c>
      <c r="V32" s="141">
        <f>ROUND(D32*1.5%,2)</f>
        <v>522279.4</v>
      </c>
      <c r="W32" s="141" t="s">
        <v>87</v>
      </c>
      <c r="X32" s="141" t="s">
        <v>87</v>
      </c>
      <c r="Y32" s="141" t="s">
        <v>87</v>
      </c>
      <c r="Z32" s="141" t="s">
        <v>87</v>
      </c>
      <c r="AA32" s="141" t="s">
        <v>87</v>
      </c>
      <c r="AB32" s="86">
        <v>779299.44</v>
      </c>
      <c r="AC32" s="86">
        <v>310933.21999999997</v>
      </c>
      <c r="AD32" s="88"/>
      <c r="AE32" s="88"/>
      <c r="AF32" s="88"/>
      <c r="AG32" s="89"/>
    </row>
    <row r="33" spans="1:33" s="3" customFormat="1" x14ac:dyDescent="0.4">
      <c r="A33" s="84">
        <v>4</v>
      </c>
      <c r="B33" s="177" t="s">
        <v>108</v>
      </c>
      <c r="C33" s="86">
        <f>D33+V33</f>
        <v>3305643.58</v>
      </c>
      <c r="D33" s="141">
        <f>J33</f>
        <v>3256791.7</v>
      </c>
      <c r="E33" s="178"/>
      <c r="F33" s="179"/>
      <c r="G33" s="141"/>
      <c r="H33" s="141"/>
      <c r="I33" s="141"/>
      <c r="J33" s="141">
        <f>ROUND(690.32*4717.8,2)</f>
        <v>3256791.7</v>
      </c>
      <c r="K33" s="141"/>
      <c r="L33" s="141"/>
      <c r="M33" s="141"/>
      <c r="N33" s="141"/>
      <c r="O33" s="91"/>
      <c r="P33" s="141"/>
      <c r="Q33" s="141"/>
      <c r="R33" s="141"/>
      <c r="S33" s="141"/>
      <c r="T33" s="141"/>
      <c r="U33" s="141"/>
      <c r="V33" s="141">
        <f>ROUND(J33*1.5%,2)</f>
        <v>48851.88</v>
      </c>
      <c r="W33" s="141"/>
      <c r="X33" s="141"/>
      <c r="Y33" s="141"/>
      <c r="Z33" s="141"/>
      <c r="AA33" s="141"/>
      <c r="AB33" s="141"/>
      <c r="AC33" s="141"/>
      <c r="AD33" s="88"/>
      <c r="AE33" s="88"/>
      <c r="AF33" s="88"/>
      <c r="AG33" s="89"/>
    </row>
    <row r="34" spans="1:33" s="3" customFormat="1" x14ac:dyDescent="0.4">
      <c r="A34" s="84">
        <v>5</v>
      </c>
      <c r="B34" s="114" t="s">
        <v>32</v>
      </c>
      <c r="C34" s="7">
        <f>ROUND(D34+V34+AB34+AC34,2)</f>
        <v>13665934.539999999</v>
      </c>
      <c r="D34" s="7">
        <f>Q34+S34+U34</f>
        <v>12667674.869999999</v>
      </c>
      <c r="E34" s="7" t="s">
        <v>87</v>
      </c>
      <c r="F34" s="7" t="s">
        <v>87</v>
      </c>
      <c r="G34" s="7" t="s">
        <v>87</v>
      </c>
      <c r="H34" s="7" t="s">
        <v>87</v>
      </c>
      <c r="I34" s="7" t="s">
        <v>87</v>
      </c>
      <c r="J34" s="7" t="s">
        <v>87</v>
      </c>
      <c r="K34" s="7" t="s">
        <v>87</v>
      </c>
      <c r="L34" s="7" t="s">
        <v>87</v>
      </c>
      <c r="M34" s="7" t="s">
        <v>87</v>
      </c>
      <c r="N34" s="85" t="s">
        <v>87</v>
      </c>
      <c r="O34" s="111" t="s">
        <v>87</v>
      </c>
      <c r="P34" s="7" t="s">
        <v>87</v>
      </c>
      <c r="Q34" s="7"/>
      <c r="R34" s="85" t="s">
        <v>87</v>
      </c>
      <c r="S34" s="7">
        <f>ROUND(4784.1*2647.87,2)</f>
        <v>12667674.869999999</v>
      </c>
      <c r="T34" s="7"/>
      <c r="U34" s="7"/>
      <c r="V34" s="7">
        <f>ROUND(S34*1.5%,2)</f>
        <v>190015.12</v>
      </c>
      <c r="W34" s="7" t="s">
        <v>87</v>
      </c>
      <c r="X34" s="7" t="s">
        <v>87</v>
      </c>
      <c r="Y34" s="7" t="s">
        <v>87</v>
      </c>
      <c r="Z34" s="7" t="s">
        <v>87</v>
      </c>
      <c r="AA34" s="7" t="s">
        <v>87</v>
      </c>
      <c r="AB34" s="7">
        <v>577733.9</v>
      </c>
      <c r="AC34" s="7">
        <v>230510.65</v>
      </c>
      <c r="AD34" s="87"/>
    </row>
    <row r="35" spans="1:33" s="3" customFormat="1" x14ac:dyDescent="0.4">
      <c r="A35" s="84">
        <v>6</v>
      </c>
      <c r="B35" s="177" t="s">
        <v>38</v>
      </c>
      <c r="C35" s="86">
        <f>D35+V35</f>
        <v>6267495.4299999997</v>
      </c>
      <c r="D35" s="141">
        <f>H35</f>
        <v>6174872.3399999999</v>
      </c>
      <c r="E35" s="178"/>
      <c r="F35" s="179"/>
      <c r="G35" s="141"/>
      <c r="H35" s="141">
        <f>ROUND(4215.4*871.5+2501151.24,2)</f>
        <v>6174872.3399999999</v>
      </c>
      <c r="I35" s="141"/>
      <c r="J35" s="141"/>
      <c r="K35" s="141"/>
      <c r="L35" s="141"/>
      <c r="M35" s="141"/>
      <c r="N35" s="141"/>
      <c r="O35" s="91"/>
      <c r="P35" s="141"/>
      <c r="Q35" s="141"/>
      <c r="R35" s="141"/>
      <c r="S35" s="141"/>
      <c r="T35" s="141"/>
      <c r="U35" s="141"/>
      <c r="V35" s="141">
        <f>ROUND(H35*1.5%,2)</f>
        <v>92623.09</v>
      </c>
      <c r="W35" s="141"/>
      <c r="X35" s="141"/>
      <c r="Y35" s="141"/>
      <c r="Z35" s="141"/>
      <c r="AA35" s="141"/>
      <c r="AB35" s="141"/>
      <c r="AC35" s="141"/>
      <c r="AD35" s="88"/>
      <c r="AE35" s="88"/>
      <c r="AF35" s="88"/>
      <c r="AG35" s="89"/>
    </row>
    <row r="36" spans="1:33" s="3" customFormat="1" x14ac:dyDescent="0.4">
      <c r="A36" s="94">
        <v>7</v>
      </c>
      <c r="B36" s="114" t="s">
        <v>33</v>
      </c>
      <c r="C36" s="86">
        <f>D36+V36+AB36+AC36</f>
        <v>11816617.32</v>
      </c>
      <c r="D36" s="86">
        <f>ROUND(E36+F36+G36+J36,2)</f>
        <v>10672693.75</v>
      </c>
      <c r="E36" s="86">
        <f>ROUND(3210.5*589.88+1197448.78,2)</f>
        <v>3091258.52</v>
      </c>
      <c r="F36" s="86">
        <f>ROUND(3210.5*596.38,2)</f>
        <v>1914677.99</v>
      </c>
      <c r="G36" s="86">
        <f>ROUND(3210.5*1074.75,2)</f>
        <v>3450484.88</v>
      </c>
      <c r="H36" s="86"/>
      <c r="I36" s="86" t="s">
        <v>87</v>
      </c>
      <c r="J36" s="86">
        <f>ROUND(3210.5*690.32,2)</f>
        <v>2216272.36</v>
      </c>
      <c r="K36" s="86" t="s">
        <v>87</v>
      </c>
      <c r="L36" s="86" t="s">
        <v>87</v>
      </c>
      <c r="M36" s="86" t="s">
        <v>87</v>
      </c>
      <c r="N36" s="86" t="s">
        <v>87</v>
      </c>
      <c r="O36" s="95" t="s">
        <v>87</v>
      </c>
      <c r="P36" s="86" t="s">
        <v>87</v>
      </c>
      <c r="Q36" s="86" t="s">
        <v>87</v>
      </c>
      <c r="R36" s="86" t="s">
        <v>87</v>
      </c>
      <c r="S36" s="7" t="s">
        <v>87</v>
      </c>
      <c r="T36" s="86" t="s">
        <v>87</v>
      </c>
      <c r="U36" s="141" t="s">
        <v>87</v>
      </c>
      <c r="V36" s="7">
        <f>ROUND(D36*1.5%,)</f>
        <v>160090</v>
      </c>
      <c r="W36" s="86" t="s">
        <v>87</v>
      </c>
      <c r="X36" s="86" t="s">
        <v>87</v>
      </c>
      <c r="Y36" s="86" t="s">
        <v>87</v>
      </c>
      <c r="Z36" s="86" t="s">
        <v>87</v>
      </c>
      <c r="AA36" s="86" t="s">
        <v>87</v>
      </c>
      <c r="AB36" s="7">
        <v>703245.26</v>
      </c>
      <c r="AC36" s="7">
        <v>280588.31</v>
      </c>
    </row>
    <row r="37" spans="1:33" s="3" customFormat="1" x14ac:dyDescent="0.4">
      <c r="A37" s="94">
        <v>8</v>
      </c>
      <c r="B37" s="114" t="s">
        <v>31</v>
      </c>
      <c r="C37" s="86">
        <f>ROUND(D37+V37+AB37+AC37,2)</f>
        <v>15200592.23</v>
      </c>
      <c r="D37" s="86">
        <f>E37+F37+G37+H37</f>
        <v>14040268.529999999</v>
      </c>
      <c r="E37" s="86">
        <f>ROUND(3301.4*589.88+1197448.78,2)</f>
        <v>3144878.61</v>
      </c>
      <c r="F37" s="86">
        <f>ROUND(3301.4*596.38,2)</f>
        <v>1968888.93</v>
      </c>
      <c r="G37" s="86">
        <f>ROUND(3301.4*1074.75,2)</f>
        <v>3548179.65</v>
      </c>
      <c r="H37" s="86">
        <f>ROUND(3301.4*871.5+2501151.24,2)</f>
        <v>5378321.3399999999</v>
      </c>
      <c r="I37" s="86" t="s">
        <v>87</v>
      </c>
      <c r="J37" s="86" t="s">
        <v>87</v>
      </c>
      <c r="K37" s="86" t="s">
        <v>87</v>
      </c>
      <c r="L37" s="86" t="s">
        <v>87</v>
      </c>
      <c r="M37" s="86" t="s">
        <v>87</v>
      </c>
      <c r="N37" s="86" t="s">
        <v>87</v>
      </c>
      <c r="O37" s="86" t="s">
        <v>87</v>
      </c>
      <c r="P37" s="86" t="s">
        <v>87</v>
      </c>
      <c r="Q37" s="86"/>
      <c r="R37" s="86" t="s">
        <v>87</v>
      </c>
      <c r="S37" s="7"/>
      <c r="T37" s="86" t="s">
        <v>87</v>
      </c>
      <c r="U37" s="141"/>
      <c r="V37" s="86">
        <f>ROUND(D37*1.5%,)</f>
        <v>210604</v>
      </c>
      <c r="W37" s="86" t="s">
        <v>87</v>
      </c>
      <c r="X37" s="86" t="s">
        <v>87</v>
      </c>
      <c r="Y37" s="86" t="s">
        <v>87</v>
      </c>
      <c r="Z37" s="86" t="s">
        <v>87</v>
      </c>
      <c r="AA37" s="86" t="s">
        <v>87</v>
      </c>
      <c r="AB37" s="7">
        <v>678860.63</v>
      </c>
      <c r="AC37" s="7">
        <v>270859.07</v>
      </c>
      <c r="AD37" s="87"/>
    </row>
    <row r="38" spans="1:33" s="3" customFormat="1" x14ac:dyDescent="0.4">
      <c r="A38" s="94">
        <v>9</v>
      </c>
      <c r="B38" s="176" t="s">
        <v>93</v>
      </c>
      <c r="C38" s="91">
        <f t="shared" ref="C38" si="1">D38+V38+AB38+AC38</f>
        <v>10239400.57</v>
      </c>
      <c r="D38" s="86">
        <f>O38</f>
        <v>9437498.2799999993</v>
      </c>
      <c r="E38" s="86" t="s">
        <v>87</v>
      </c>
      <c r="F38" s="86" t="s">
        <v>87</v>
      </c>
      <c r="G38" s="86" t="s">
        <v>87</v>
      </c>
      <c r="H38" s="86" t="s">
        <v>87</v>
      </c>
      <c r="I38" s="86" t="s">
        <v>87</v>
      </c>
      <c r="J38" s="86" t="s">
        <v>87</v>
      </c>
      <c r="K38" s="86" t="s">
        <v>87</v>
      </c>
      <c r="L38" s="86" t="s">
        <v>87</v>
      </c>
      <c r="M38" s="86" t="s">
        <v>87</v>
      </c>
      <c r="N38" s="86" t="s">
        <v>87</v>
      </c>
      <c r="O38" s="86">
        <f>ROUND(2532*3727.29,2)</f>
        <v>9437498.2799999993</v>
      </c>
      <c r="P38" s="86" t="s">
        <v>87</v>
      </c>
      <c r="Q38" s="86" t="s">
        <v>87</v>
      </c>
      <c r="R38" s="86" t="s">
        <v>87</v>
      </c>
      <c r="S38" s="7" t="s">
        <v>87</v>
      </c>
      <c r="T38" s="86" t="s">
        <v>87</v>
      </c>
      <c r="U38" s="141" t="s">
        <v>87</v>
      </c>
      <c r="V38" s="86">
        <f>ROUND(O38*1.5%,)</f>
        <v>141562</v>
      </c>
      <c r="W38" s="86" t="s">
        <v>87</v>
      </c>
      <c r="X38" s="86" t="s">
        <v>87</v>
      </c>
      <c r="Y38" s="86" t="s">
        <v>87</v>
      </c>
      <c r="Z38" s="86" t="s">
        <v>87</v>
      </c>
      <c r="AA38" s="86" t="s">
        <v>87</v>
      </c>
      <c r="AB38" s="86">
        <v>546101.62</v>
      </c>
      <c r="AC38" s="86">
        <v>114238.67</v>
      </c>
    </row>
    <row r="39" spans="1:33" s="3" customFormat="1" x14ac:dyDescent="0.4">
      <c r="A39" s="84">
        <v>10</v>
      </c>
      <c r="B39" s="114" t="s">
        <v>92</v>
      </c>
      <c r="C39" s="7">
        <f>ROUND(D39+V39+AB39+AC39,2)</f>
        <v>10327754.26</v>
      </c>
      <c r="D39" s="7">
        <f>O39</f>
        <v>9473652.9900000002</v>
      </c>
      <c r="E39" s="7" t="s">
        <v>87</v>
      </c>
      <c r="F39" s="7" t="s">
        <v>87</v>
      </c>
      <c r="G39" s="7" t="s">
        <v>87</v>
      </c>
      <c r="H39" s="7" t="s">
        <v>87</v>
      </c>
      <c r="I39" s="7" t="s">
        <v>87</v>
      </c>
      <c r="J39" s="7" t="s">
        <v>87</v>
      </c>
      <c r="K39" s="7" t="s">
        <v>87</v>
      </c>
      <c r="L39" s="7" t="s">
        <v>87</v>
      </c>
      <c r="M39" s="7" t="s">
        <v>87</v>
      </c>
      <c r="N39" s="85" t="s">
        <v>87</v>
      </c>
      <c r="O39" s="7">
        <f>ROUND(2541.7*3727.29,2)</f>
        <v>9473652.9900000002</v>
      </c>
      <c r="P39" s="7" t="s">
        <v>87</v>
      </c>
      <c r="Q39" s="7" t="s">
        <v>87</v>
      </c>
      <c r="R39" s="85" t="s">
        <v>87</v>
      </c>
      <c r="S39" s="7" t="s">
        <v>87</v>
      </c>
      <c r="T39" s="7"/>
      <c r="U39" s="7" t="s">
        <v>87</v>
      </c>
      <c r="V39" s="7">
        <f>ROUND(D39*1.5%,2)</f>
        <v>142104.79</v>
      </c>
      <c r="W39" s="7" t="s">
        <v>87</v>
      </c>
      <c r="X39" s="7" t="s">
        <v>87</v>
      </c>
      <c r="Y39" s="7" t="s">
        <v>87</v>
      </c>
      <c r="Z39" s="7" t="s">
        <v>87</v>
      </c>
      <c r="AA39" s="7" t="s">
        <v>87</v>
      </c>
      <c r="AB39" s="7">
        <v>508935.82</v>
      </c>
      <c r="AC39" s="7">
        <v>203060.66</v>
      </c>
      <c r="AD39" s="87"/>
    </row>
    <row r="40" spans="1:33" s="3" customFormat="1" x14ac:dyDescent="0.4">
      <c r="A40" s="84"/>
      <c r="B40" s="92" t="s">
        <v>107</v>
      </c>
      <c r="C40" s="142">
        <f>ROUND(C30+C31+C32+C33+C34+C35+C36+C37+C38+C39,2)</f>
        <v>137756006.72999999</v>
      </c>
      <c r="D40" s="142">
        <f>ROUND(D30+D31+D32+D33+D34+D35+D36+D37+D38+D39,2)</f>
        <v>128715335.75</v>
      </c>
      <c r="E40" s="142">
        <f>ROUND(E30+E36+E37,2)</f>
        <v>9768036.0099999998</v>
      </c>
      <c r="F40" s="142">
        <f>ROUND(F30+F36+F37,2)</f>
        <v>6243740.7699999996</v>
      </c>
      <c r="G40" s="142">
        <f>ROUND(G30+G36+G37,2)</f>
        <v>11251987.66</v>
      </c>
      <c r="H40" s="142">
        <f>ROUND(H30+H35+H37,2)</f>
        <v>17503306.170000002</v>
      </c>
      <c r="I40" s="142" t="s">
        <v>87</v>
      </c>
      <c r="J40" s="142">
        <f>ROUND(J30+J33+J36,2)</f>
        <v>8205005.46</v>
      </c>
      <c r="K40" s="142" t="s">
        <v>87</v>
      </c>
      <c r="L40" s="142" t="s">
        <v>87</v>
      </c>
      <c r="M40" s="142" t="s">
        <v>87</v>
      </c>
      <c r="N40" s="142" t="s">
        <v>87</v>
      </c>
      <c r="O40" s="142">
        <f>ROUND(O31+O32+O38+O39,2)</f>
        <v>51208200.75</v>
      </c>
      <c r="P40" s="142" t="s">
        <v>87</v>
      </c>
      <c r="Q40" s="142">
        <f>Q32</f>
        <v>7506274.25</v>
      </c>
      <c r="R40" s="142" t="s">
        <v>87</v>
      </c>
      <c r="S40" s="142">
        <f>S34</f>
        <v>12667674.869999999</v>
      </c>
      <c r="T40" s="142" t="s">
        <v>87</v>
      </c>
      <c r="U40" s="142">
        <f>U32</f>
        <v>4361109.8099999996</v>
      </c>
      <c r="V40" s="142">
        <f>ROUND(V30+V31+V32+V33+V34+V35+V36+V37+V38+V39,2)</f>
        <v>1930729.13</v>
      </c>
      <c r="W40" s="142" t="s">
        <v>87</v>
      </c>
      <c r="X40" s="142" t="s">
        <v>87</v>
      </c>
      <c r="Y40" s="142" t="s">
        <v>87</v>
      </c>
      <c r="Z40" s="142"/>
      <c r="AA40" s="142" t="s">
        <v>87</v>
      </c>
      <c r="AB40" s="142">
        <f>ROUND(AB30+AB31+AB32+AB34+AB36+AB37+AB38+AB39,2)</f>
        <v>5190151.03</v>
      </c>
      <c r="AC40" s="142">
        <f>ROUND(AC30+AC31+AC32+AC34+AC36+AC37+AC38+AC39,2)</f>
        <v>1919790.82</v>
      </c>
    </row>
    <row r="41" spans="1:33" x14ac:dyDescent="0.4">
      <c r="A41" s="3"/>
      <c r="B41" s="226"/>
      <c r="C41" s="226"/>
      <c r="D41" s="226"/>
      <c r="E41" s="226"/>
      <c r="F41" s="226"/>
      <c r="G41" s="226"/>
      <c r="H41" s="226"/>
      <c r="I41" s="226"/>
      <c r="J41" s="22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33" x14ac:dyDescent="0.4">
      <c r="B42" s="227"/>
      <c r="C42" s="227"/>
      <c r="D42" s="227"/>
      <c r="E42" s="227"/>
      <c r="F42" s="227"/>
      <c r="G42" s="227"/>
      <c r="H42" s="227"/>
      <c r="I42" s="227"/>
      <c r="J42" s="227"/>
      <c r="V42" s="117"/>
    </row>
    <row r="43" spans="1:33" x14ac:dyDescent="0.4">
      <c r="C43" s="117"/>
      <c r="D43" s="117"/>
      <c r="E43" s="117"/>
      <c r="G43" s="117"/>
      <c r="H43" s="117"/>
      <c r="O43" s="117"/>
      <c r="S43" s="117"/>
      <c r="U43" s="117"/>
    </row>
    <row r="44" spans="1:33" x14ac:dyDescent="0.4">
      <c r="B44" s="3"/>
      <c r="C44" s="106"/>
      <c r="D44" s="3"/>
      <c r="E44" s="87"/>
      <c r="F44" s="87"/>
      <c r="G44" s="87"/>
      <c r="H44" s="87"/>
      <c r="I44" s="3"/>
      <c r="J44" s="3"/>
      <c r="K44" s="3"/>
      <c r="L44" s="3"/>
      <c r="M44" s="3"/>
      <c r="N44" s="3"/>
      <c r="O44" s="3"/>
      <c r="P44" s="87"/>
      <c r="Q44" s="3"/>
      <c r="R44" s="3"/>
      <c r="V44" s="117"/>
    </row>
    <row r="45" spans="1:33" x14ac:dyDescent="0.4">
      <c r="B45" s="3"/>
      <c r="C45" s="107"/>
      <c r="D45" s="87"/>
      <c r="E45" s="87"/>
      <c r="F45" s="87"/>
      <c r="G45" s="3"/>
      <c r="H45" s="3"/>
      <c r="I45" s="3"/>
      <c r="J45" s="3"/>
      <c r="K45" s="3"/>
      <c r="L45" s="3"/>
      <c r="M45" s="3"/>
      <c r="N45" s="87"/>
      <c r="O45" s="3"/>
      <c r="P45" s="3"/>
      <c r="Q45" s="3"/>
      <c r="R45" s="3"/>
    </row>
    <row r="46" spans="1:33" x14ac:dyDescent="0.4">
      <c r="B46" s="3"/>
      <c r="C46" s="87"/>
      <c r="D46" s="87"/>
      <c r="E46" s="87"/>
      <c r="F46" s="3"/>
      <c r="G46" s="3"/>
      <c r="H46" s="87"/>
      <c r="I46" s="3"/>
      <c r="J46" s="3"/>
      <c r="K46" s="3"/>
      <c r="L46" s="3"/>
      <c r="M46" s="3"/>
      <c r="N46" s="87"/>
      <c r="O46" s="3"/>
      <c r="P46" s="3"/>
      <c r="Q46" s="3"/>
      <c r="R46" s="3"/>
    </row>
    <row r="47" spans="1:33" x14ac:dyDescent="0.4">
      <c r="B47" s="108"/>
      <c r="C47" s="3"/>
      <c r="D47" s="87"/>
      <c r="E47" s="87"/>
      <c r="F47" s="87"/>
      <c r="G47" s="3"/>
      <c r="H47" s="87"/>
      <c r="I47" s="3"/>
      <c r="J47" s="3"/>
      <c r="K47" s="3"/>
      <c r="L47" s="3"/>
      <c r="M47" s="3"/>
      <c r="N47" s="87"/>
      <c r="O47" s="3"/>
      <c r="P47" s="3"/>
      <c r="Q47" s="3"/>
      <c r="R47" s="3"/>
    </row>
    <row r="48" spans="1:33" x14ac:dyDescent="0.4">
      <c r="B48" s="109"/>
      <c r="C48" s="109"/>
      <c r="D48" s="109"/>
      <c r="E48" s="17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9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9" x14ac:dyDescent="0.4">
      <c r="B50" s="3"/>
      <c r="C50" s="3"/>
      <c r="D50" s="3"/>
      <c r="E50" s="3"/>
      <c r="F50" s="87"/>
      <c r="G50" s="87">
        <f>F33</f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17"/>
    </row>
    <row r="51" spans="2:19" x14ac:dyDescent="0.4">
      <c r="B51" s="110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9" x14ac:dyDescent="0.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9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9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9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9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9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</sheetData>
  <mergeCells count="24">
    <mergeCell ref="B41:J41"/>
    <mergeCell ref="B42:J42"/>
    <mergeCell ref="AA5:AA6"/>
    <mergeCell ref="AB5:AB6"/>
    <mergeCell ref="AC5:AC6"/>
    <mergeCell ref="A9:AC9"/>
    <mergeCell ref="A19:AC19"/>
    <mergeCell ref="A29:AC29"/>
    <mergeCell ref="P5:Q6"/>
    <mergeCell ref="R5:S6"/>
    <mergeCell ref="T5:U6"/>
    <mergeCell ref="V5:V6"/>
    <mergeCell ref="W5:X6"/>
    <mergeCell ref="Y5:Z6"/>
    <mergeCell ref="S2:AB2"/>
    <mergeCell ref="A3:AB3"/>
    <mergeCell ref="A4:A7"/>
    <mergeCell ref="B4:B7"/>
    <mergeCell ref="C4:C6"/>
    <mergeCell ref="D4:U4"/>
    <mergeCell ref="V4:AC4"/>
    <mergeCell ref="D5:K5"/>
    <mergeCell ref="L5:M6"/>
    <mergeCell ref="N5:O6"/>
  </mergeCells>
  <pageMargins left="0.23622047244094491" right="0.23622047244094491" top="0.74803149606299213" bottom="0.74803149606299213" header="0.31496062992125984" footer="0.31496062992125984"/>
  <pageSetup paperSize="9" scale="1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M13" sqref="M13"/>
    </sheetView>
  </sheetViews>
  <sheetFormatPr defaultRowHeight="15" x14ac:dyDescent="0.25"/>
  <cols>
    <col min="1" max="1" width="9.140625" style="8"/>
    <col min="2" max="2" width="24.85546875" style="8" customWidth="1"/>
    <col min="3" max="3" width="19.140625" style="8" customWidth="1"/>
    <col min="4" max="4" width="20" style="8" customWidth="1"/>
    <col min="5" max="5" width="16.42578125" style="8" customWidth="1"/>
    <col min="6" max="6" width="13" style="8" customWidth="1"/>
    <col min="7" max="7" width="12.7109375" style="8" customWidth="1"/>
    <col min="8" max="8" width="19.5703125" style="8" bestFit="1" customWidth="1"/>
    <col min="9" max="9" width="19.42578125" style="8" bestFit="1" customWidth="1"/>
    <col min="10" max="10" width="15.42578125" style="8" bestFit="1" customWidth="1"/>
    <col min="11" max="11" width="20.5703125" style="8" customWidth="1"/>
    <col min="12" max="12" width="14.28515625" style="8" customWidth="1"/>
    <col min="13" max="14" width="21" style="8" customWidth="1"/>
    <col min="15" max="15" width="9.140625" style="8"/>
    <col min="16" max="16" width="13.5703125" style="8" bestFit="1" customWidth="1"/>
    <col min="17" max="17" width="9.140625" style="8"/>
    <col min="18" max="18" width="12.85546875" style="8" customWidth="1"/>
    <col min="19" max="16384" width="9.140625" style="8"/>
  </cols>
  <sheetData>
    <row r="1" spans="1:17" x14ac:dyDescent="0.25">
      <c r="G1" s="16"/>
    </row>
    <row r="2" spans="1:17" ht="18.75" x14ac:dyDescent="0.3">
      <c r="A2" s="188"/>
      <c r="B2" s="188"/>
      <c r="C2" s="188" t="s">
        <v>70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7" ht="18.75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56.25" x14ac:dyDescent="0.3">
      <c r="A4" s="239" t="s">
        <v>41</v>
      </c>
      <c r="B4" s="239" t="s">
        <v>71</v>
      </c>
      <c r="C4" s="60" t="s">
        <v>72</v>
      </c>
      <c r="D4" s="61" t="s">
        <v>73</v>
      </c>
      <c r="E4" s="241" t="s">
        <v>74</v>
      </c>
      <c r="F4" s="241"/>
      <c r="G4" s="241"/>
      <c r="H4" s="241"/>
      <c r="I4" s="241"/>
      <c r="J4" s="241" t="s">
        <v>52</v>
      </c>
      <c r="K4" s="241"/>
      <c r="L4" s="241"/>
      <c r="M4" s="241"/>
      <c r="N4" s="241"/>
      <c r="O4" s="9"/>
    </row>
    <row r="5" spans="1:17" ht="18.75" x14ac:dyDescent="0.3">
      <c r="A5" s="240"/>
      <c r="B5" s="240"/>
      <c r="C5" s="62" t="s">
        <v>75</v>
      </c>
      <c r="D5" s="62" t="s">
        <v>76</v>
      </c>
      <c r="E5" s="62" t="s">
        <v>77</v>
      </c>
      <c r="F5" s="62" t="s">
        <v>78</v>
      </c>
      <c r="G5" s="62" t="s">
        <v>79</v>
      </c>
      <c r="H5" s="62" t="s">
        <v>80</v>
      </c>
      <c r="I5" s="62" t="s">
        <v>81</v>
      </c>
      <c r="J5" s="62" t="s">
        <v>77</v>
      </c>
      <c r="K5" s="62" t="s">
        <v>78</v>
      </c>
      <c r="L5" s="62" t="s">
        <v>79</v>
      </c>
      <c r="M5" s="62" t="s">
        <v>80</v>
      </c>
      <c r="N5" s="62" t="s">
        <v>81</v>
      </c>
      <c r="O5" s="9"/>
    </row>
    <row r="6" spans="1:17" ht="18.75" x14ac:dyDescent="0.3">
      <c r="A6" s="243">
        <v>2023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/>
      <c r="O6" s="9"/>
    </row>
    <row r="7" spans="1:17" ht="18.75" x14ac:dyDescent="0.3">
      <c r="A7" s="63">
        <v>1</v>
      </c>
      <c r="B7" s="63" t="s">
        <v>82</v>
      </c>
      <c r="C7" s="19">
        <f>'Разд 1'!K28</f>
        <v>32740.9</v>
      </c>
      <c r="D7" s="20">
        <f>'Разд 1'!N28</f>
        <v>694</v>
      </c>
      <c r="E7" s="64">
        <v>0</v>
      </c>
      <c r="F7" s="64">
        <v>0</v>
      </c>
      <c r="G7" s="64">
        <v>0</v>
      </c>
      <c r="H7" s="149">
        <v>10</v>
      </c>
      <c r="I7" s="149">
        <f>H7</f>
        <v>10</v>
      </c>
      <c r="J7" s="64">
        <v>0</v>
      </c>
      <c r="K7" s="64">
        <v>0</v>
      </c>
      <c r="L7" s="64">
        <v>0</v>
      </c>
      <c r="M7" s="19">
        <f>'Разд 2'!C18</f>
        <v>134922216.69</v>
      </c>
      <c r="N7" s="19">
        <f>M7</f>
        <v>134922216.69</v>
      </c>
      <c r="O7" s="9"/>
      <c r="P7" s="23"/>
    </row>
    <row r="8" spans="1:17" ht="18.75" x14ac:dyDescent="0.3">
      <c r="A8" s="246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8"/>
      <c r="O8" s="9"/>
    </row>
    <row r="9" spans="1:17" ht="18.75" x14ac:dyDescent="0.3">
      <c r="A9" s="249">
        <v>2024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9"/>
      <c r="P9" s="23"/>
    </row>
    <row r="10" spans="1:17" ht="18.75" x14ac:dyDescent="0.3">
      <c r="A10" s="18">
        <v>1</v>
      </c>
      <c r="B10" s="18" t="s">
        <v>82</v>
      </c>
      <c r="C10" s="19">
        <f>'Разд 1'!K38</f>
        <v>27170.6</v>
      </c>
      <c r="D10" s="20">
        <f>'Разд 1'!N38</f>
        <v>666</v>
      </c>
      <c r="E10" s="64">
        <v>0</v>
      </c>
      <c r="F10" s="64">
        <v>0</v>
      </c>
      <c r="G10" s="64">
        <v>0</v>
      </c>
      <c r="H10" s="149">
        <v>12</v>
      </c>
      <c r="I10" s="149">
        <f>H10</f>
        <v>12</v>
      </c>
      <c r="J10" s="65" t="s">
        <v>87</v>
      </c>
      <c r="K10" s="65" t="s">
        <v>87</v>
      </c>
      <c r="L10" s="65" t="s">
        <v>87</v>
      </c>
      <c r="M10" s="66">
        <f>'Разд 2'!C28</f>
        <v>132350940.84999999</v>
      </c>
      <c r="N10" s="66">
        <f>M10</f>
        <v>132350940.84999999</v>
      </c>
      <c r="O10" s="9"/>
      <c r="P10" s="23"/>
    </row>
    <row r="11" spans="1:17" ht="18.75" x14ac:dyDescent="0.3">
      <c r="A11" s="67"/>
      <c r="B11" s="67"/>
      <c r="C11" s="67"/>
      <c r="D11" s="68"/>
      <c r="E11" s="68"/>
      <c r="F11" s="68"/>
      <c r="G11" s="68"/>
      <c r="H11" s="68"/>
      <c r="I11" s="68"/>
      <c r="J11" s="68"/>
      <c r="K11" s="68"/>
      <c r="L11" s="67"/>
      <c r="M11" s="69"/>
      <c r="N11" s="70"/>
      <c r="O11" s="9"/>
      <c r="P11" s="23"/>
    </row>
    <row r="12" spans="1:17" ht="18.75" x14ac:dyDescent="0.3">
      <c r="A12" s="249">
        <v>2025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9"/>
    </row>
    <row r="13" spans="1:17" ht="18.75" x14ac:dyDescent="0.3">
      <c r="A13" s="18">
        <v>1</v>
      </c>
      <c r="B13" s="18" t="s">
        <v>82</v>
      </c>
      <c r="C13" s="132">
        <f>'Разд 1'!K50</f>
        <v>40310.800000000003</v>
      </c>
      <c r="D13" s="20">
        <f>'Разд 1'!N50</f>
        <v>853</v>
      </c>
      <c r="E13" s="64">
        <v>0</v>
      </c>
      <c r="F13" s="64">
        <v>0</v>
      </c>
      <c r="G13" s="64">
        <v>0</v>
      </c>
      <c r="H13" s="149">
        <v>12</v>
      </c>
      <c r="I13" s="149">
        <f>H13</f>
        <v>12</v>
      </c>
      <c r="J13" s="65" t="s">
        <v>87</v>
      </c>
      <c r="K13" s="65" t="s">
        <v>87</v>
      </c>
      <c r="L13" s="65" t="s">
        <v>87</v>
      </c>
      <c r="M13" s="66">
        <f>'Разд 2'!C40</f>
        <v>137756006.72999999</v>
      </c>
      <c r="N13" s="19">
        <f>M13</f>
        <v>137756006.72999999</v>
      </c>
      <c r="O13" s="9"/>
      <c r="P13" s="23"/>
    </row>
    <row r="14" spans="1:17" ht="18.75" x14ac:dyDescent="0.3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9"/>
    </row>
    <row r="15" spans="1:17" ht="18.75" x14ac:dyDescent="0.3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9"/>
    </row>
    <row r="16" spans="1:17" ht="18.75" x14ac:dyDescent="0.3">
      <c r="A16" s="71"/>
      <c r="B16" s="71"/>
      <c r="C16" s="72"/>
      <c r="D16" s="71"/>
      <c r="E16" s="71"/>
      <c r="F16" s="71"/>
      <c r="G16" s="71"/>
      <c r="H16" s="71"/>
      <c r="I16" s="71"/>
      <c r="J16" s="73"/>
      <c r="K16" s="74"/>
      <c r="L16" s="71"/>
      <c r="M16" s="71"/>
      <c r="N16" s="75"/>
      <c r="O16" s="76"/>
      <c r="P16" s="77"/>
      <c r="Q16" s="78"/>
    </row>
    <row r="17" spans="1:17" x14ac:dyDescent="0.25">
      <c r="A17" s="78"/>
      <c r="B17" s="78"/>
      <c r="C17" s="79"/>
      <c r="D17" s="78"/>
      <c r="E17" s="78"/>
      <c r="F17" s="78"/>
      <c r="G17" s="78"/>
      <c r="H17" s="78"/>
      <c r="I17" s="78"/>
      <c r="J17" s="78"/>
      <c r="K17" s="77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80"/>
      <c r="L18" s="78"/>
      <c r="M18" s="78"/>
      <c r="N18" s="77"/>
      <c r="O18" s="78"/>
      <c r="P18" s="77"/>
      <c r="Q18" s="78"/>
    </row>
    <row r="19" spans="1:17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81"/>
      <c r="K19" s="78"/>
      <c r="L19" s="78"/>
      <c r="M19" s="81"/>
      <c r="N19" s="78"/>
      <c r="O19" s="78"/>
      <c r="P19" s="78"/>
      <c r="Q19" s="78"/>
    </row>
    <row r="20" spans="1:17" x14ac:dyDescent="0.25">
      <c r="A20" s="78"/>
      <c r="B20" s="252"/>
      <c r="C20" s="78"/>
      <c r="D20" s="77"/>
      <c r="E20" s="78"/>
      <c r="F20" s="82"/>
      <c r="G20" s="78"/>
      <c r="H20" s="78"/>
      <c r="I20" s="78"/>
      <c r="J20" s="78"/>
      <c r="K20" s="77"/>
      <c r="L20" s="78"/>
      <c r="M20" s="77"/>
      <c r="N20" s="78"/>
      <c r="O20" s="78"/>
      <c r="P20" s="78"/>
      <c r="Q20" s="78"/>
    </row>
    <row r="21" spans="1:17" x14ac:dyDescent="0.25">
      <c r="A21" s="78"/>
      <c r="B21" s="252"/>
      <c r="C21" s="78"/>
      <c r="D21" s="77"/>
      <c r="E21" s="77"/>
      <c r="F21" s="82"/>
      <c r="G21" s="78"/>
      <c r="H21" s="78"/>
      <c r="I21" s="78"/>
      <c r="J21" s="78"/>
      <c r="K21" s="78"/>
      <c r="L21" s="78"/>
      <c r="M21" s="77"/>
      <c r="N21" s="78"/>
      <c r="O21" s="78"/>
      <c r="P21" s="78"/>
      <c r="Q21" s="78"/>
    </row>
    <row r="22" spans="1:17" x14ac:dyDescent="0.25">
      <c r="A22" s="78"/>
      <c r="B22" s="252"/>
      <c r="C22" s="78"/>
      <c r="D22" s="77"/>
      <c r="E22" s="77"/>
      <c r="F22" s="82"/>
      <c r="G22" s="78"/>
      <c r="H22" s="78"/>
      <c r="I22" s="78"/>
      <c r="J22" s="78"/>
      <c r="K22" s="78"/>
      <c r="L22" s="78"/>
      <c r="M22" s="77"/>
      <c r="N22" s="78"/>
      <c r="O22" s="78"/>
      <c r="P22" s="78"/>
      <c r="Q22" s="78"/>
    </row>
    <row r="23" spans="1:17" x14ac:dyDescent="0.25">
      <c r="A23" s="78"/>
      <c r="B23" s="252"/>
      <c r="C23" s="78"/>
      <c r="D23" s="77"/>
      <c r="E23" s="77"/>
      <c r="F23" s="82"/>
      <c r="G23" s="78"/>
      <c r="H23" s="78"/>
      <c r="I23" s="78"/>
      <c r="J23" s="78"/>
      <c r="K23" s="78"/>
      <c r="L23" s="78"/>
      <c r="M23" s="77"/>
      <c r="N23" s="78"/>
      <c r="O23" s="78"/>
      <c r="P23" s="78"/>
      <c r="Q23" s="78"/>
    </row>
    <row r="24" spans="1:17" x14ac:dyDescent="0.25">
      <c r="A24" s="78"/>
      <c r="B24" s="78"/>
      <c r="C24" s="78"/>
      <c r="D24" s="242"/>
      <c r="E24" s="242"/>
      <c r="F24" s="82"/>
      <c r="G24" s="78"/>
      <c r="H24" s="78"/>
      <c r="I24" s="78"/>
      <c r="J24" s="78"/>
      <c r="K24" s="78"/>
      <c r="L24" s="78"/>
      <c r="M24" s="77"/>
      <c r="N24" s="78"/>
      <c r="O24" s="78"/>
      <c r="P24" s="78"/>
      <c r="Q24" s="78"/>
    </row>
    <row r="25" spans="1:17" x14ac:dyDescent="0.25">
      <c r="A25" s="78"/>
      <c r="B25" s="78"/>
      <c r="C25" s="78"/>
      <c r="D25" s="242"/>
      <c r="E25" s="242"/>
      <c r="F25" s="82"/>
      <c r="G25" s="78"/>
      <c r="H25" s="78"/>
      <c r="I25" s="78"/>
      <c r="J25" s="78"/>
      <c r="K25" s="78"/>
      <c r="L25" s="78"/>
      <c r="M25" s="77"/>
      <c r="N25" s="78"/>
      <c r="O25" s="78"/>
      <c r="P25" s="78"/>
      <c r="Q25" s="78"/>
    </row>
    <row r="26" spans="1:17" x14ac:dyDescent="0.25">
      <c r="A26" s="78"/>
      <c r="B26" s="252"/>
      <c r="C26" s="78"/>
      <c r="D26" s="77"/>
      <c r="E26" s="77"/>
      <c r="F26" s="82"/>
      <c r="G26" s="78"/>
      <c r="H26" s="78"/>
      <c r="I26" s="78"/>
      <c r="J26" s="78"/>
      <c r="K26" s="78"/>
      <c r="L26" s="78"/>
      <c r="M26" s="77"/>
      <c r="N26" s="78"/>
      <c r="O26" s="78"/>
      <c r="P26" s="78"/>
      <c r="Q26" s="78"/>
    </row>
    <row r="27" spans="1:17" x14ac:dyDescent="0.25">
      <c r="A27" s="78"/>
      <c r="B27" s="252"/>
      <c r="C27" s="78"/>
      <c r="D27" s="77"/>
      <c r="E27" s="77"/>
      <c r="F27" s="82"/>
      <c r="G27" s="78"/>
      <c r="H27" s="78"/>
      <c r="I27" s="78"/>
      <c r="J27" s="78"/>
      <c r="K27" s="78"/>
      <c r="L27" s="78"/>
      <c r="M27" s="77"/>
      <c r="N27" s="78"/>
      <c r="O27" s="78"/>
      <c r="P27" s="78"/>
      <c r="Q27" s="78"/>
    </row>
    <row r="28" spans="1:17" x14ac:dyDescent="0.25">
      <c r="A28" s="78"/>
      <c r="B28" s="252"/>
      <c r="C28" s="78"/>
      <c r="D28" s="77"/>
      <c r="E28" s="77"/>
      <c r="F28" s="82"/>
      <c r="G28" s="78"/>
      <c r="H28" s="78"/>
      <c r="I28" s="78"/>
      <c r="J28" s="77"/>
      <c r="K28" s="83"/>
      <c r="L28" s="78"/>
      <c r="M28" s="77"/>
      <c r="N28" s="78"/>
      <c r="O28" s="78"/>
      <c r="P28" s="78"/>
      <c r="Q28" s="78"/>
    </row>
    <row r="29" spans="1:17" x14ac:dyDescent="0.25">
      <c r="A29" s="78"/>
      <c r="B29" s="78"/>
      <c r="C29" s="78"/>
      <c r="D29" s="242"/>
      <c r="E29" s="242"/>
      <c r="F29" s="82"/>
      <c r="G29" s="78"/>
      <c r="H29" s="78"/>
      <c r="I29" s="78"/>
      <c r="J29" s="78"/>
      <c r="K29" s="78"/>
      <c r="L29" s="78"/>
      <c r="M29" s="77"/>
      <c r="N29" s="78"/>
      <c r="O29" s="78"/>
      <c r="P29" s="78"/>
      <c r="Q29" s="78"/>
    </row>
    <row r="30" spans="1:17" x14ac:dyDescent="0.25">
      <c r="A30" s="78"/>
      <c r="B30" s="78"/>
      <c r="C30" s="78"/>
      <c r="D30" s="77"/>
      <c r="E30" s="77"/>
      <c r="F30" s="82"/>
      <c r="G30" s="78"/>
      <c r="H30" s="78"/>
      <c r="I30" s="78"/>
      <c r="J30" s="78"/>
      <c r="K30" s="83"/>
      <c r="L30" s="253"/>
      <c r="M30" s="77"/>
      <c r="N30" s="78"/>
      <c r="O30" s="78"/>
      <c r="P30" s="78"/>
      <c r="Q30" s="78"/>
    </row>
    <row r="31" spans="1:17" x14ac:dyDescent="0.25">
      <c r="A31" s="78"/>
      <c r="B31" s="78"/>
      <c r="C31" s="78"/>
      <c r="D31" s="77"/>
      <c r="E31" s="77"/>
      <c r="F31" s="82"/>
      <c r="G31" s="78"/>
      <c r="H31" s="78"/>
      <c r="I31" s="78"/>
      <c r="J31" s="78"/>
      <c r="K31" s="83"/>
      <c r="L31" s="253"/>
      <c r="M31" s="77"/>
      <c r="N31" s="78"/>
      <c r="O31" s="78"/>
      <c r="P31" s="78"/>
      <c r="Q31" s="78"/>
    </row>
    <row r="32" spans="1:17" x14ac:dyDescent="0.25">
      <c r="A32" s="78"/>
      <c r="B32" s="252"/>
      <c r="C32" s="78"/>
      <c r="D32" s="77"/>
      <c r="E32" s="77"/>
      <c r="F32" s="82"/>
      <c r="G32" s="78"/>
      <c r="H32" s="78"/>
      <c r="I32" s="78"/>
      <c r="J32" s="78"/>
      <c r="K32" s="78"/>
      <c r="L32" s="78"/>
      <c r="M32" s="77"/>
      <c r="N32" s="78"/>
      <c r="O32" s="78"/>
      <c r="P32" s="78"/>
      <c r="Q32" s="78"/>
    </row>
    <row r="33" spans="1:17" x14ac:dyDescent="0.25">
      <c r="A33" s="78"/>
      <c r="B33" s="252"/>
      <c r="C33" s="78"/>
      <c r="D33" s="77"/>
      <c r="E33" s="77"/>
      <c r="F33" s="82"/>
      <c r="G33" s="78"/>
      <c r="H33" s="78"/>
      <c r="I33" s="77"/>
      <c r="J33" s="78"/>
      <c r="K33" s="78"/>
      <c r="L33" s="78"/>
      <c r="M33" s="78"/>
      <c r="N33" s="78"/>
      <c r="O33" s="78"/>
      <c r="P33" s="78"/>
      <c r="Q33" s="78"/>
    </row>
    <row r="34" spans="1:17" x14ac:dyDescent="0.25">
      <c r="A34" s="78"/>
      <c r="B34" s="252"/>
      <c r="C34" s="78"/>
      <c r="D34" s="77"/>
      <c r="E34" s="77"/>
      <c r="F34" s="8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x14ac:dyDescent="0.25">
      <c r="A35" s="78"/>
      <c r="B35" s="252"/>
      <c r="C35" s="78"/>
      <c r="D35" s="77"/>
      <c r="E35" s="77"/>
      <c r="F35" s="82"/>
      <c r="G35" s="78"/>
      <c r="H35" s="78"/>
      <c r="I35" s="77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78"/>
      <c r="B36" s="78"/>
      <c r="C36" s="78"/>
      <c r="D36" s="242"/>
      <c r="E36" s="242"/>
      <c r="F36" s="8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x14ac:dyDescent="0.25">
      <c r="A37" s="78"/>
      <c r="B37" s="252"/>
      <c r="C37" s="78"/>
      <c r="D37" s="77"/>
      <c r="E37" s="77"/>
      <c r="F37" s="82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252"/>
      <c r="C38" s="78"/>
      <c r="D38" s="77"/>
      <c r="E38" s="77"/>
      <c r="F38" s="82"/>
      <c r="G38" s="78"/>
      <c r="H38" s="78"/>
      <c r="I38" s="77"/>
      <c r="J38" s="77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252"/>
      <c r="C39" s="78"/>
      <c r="D39" s="77"/>
      <c r="E39" s="77"/>
      <c r="F39" s="82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5">
      <c r="A40" s="78"/>
      <c r="B40" s="252"/>
      <c r="C40" s="78"/>
      <c r="D40" s="77"/>
      <c r="E40" s="77"/>
      <c r="F40" s="82"/>
      <c r="G40" s="78"/>
      <c r="H40" s="78"/>
      <c r="I40" s="77"/>
      <c r="J40" s="77"/>
      <c r="K40" s="78"/>
      <c r="L40" s="78"/>
      <c r="M40" s="78"/>
      <c r="N40" s="78"/>
      <c r="O40" s="78"/>
      <c r="P40" s="78"/>
      <c r="Q40" s="78"/>
    </row>
    <row r="41" spans="1:17" x14ac:dyDescent="0.25">
      <c r="A41" s="78"/>
      <c r="B41" s="252"/>
      <c r="C41" s="78"/>
      <c r="D41" s="77"/>
      <c r="E41" s="77"/>
      <c r="F41" s="82"/>
      <c r="G41" s="78"/>
      <c r="H41" s="78"/>
      <c r="I41" s="78"/>
      <c r="J41" s="77"/>
      <c r="K41" s="78"/>
      <c r="L41" s="78"/>
      <c r="M41" s="78"/>
      <c r="N41" s="78"/>
      <c r="O41" s="78"/>
      <c r="P41" s="78"/>
      <c r="Q41" s="78"/>
    </row>
    <row r="42" spans="1:17" x14ac:dyDescent="0.25">
      <c r="A42" s="78"/>
      <c r="B42" s="252"/>
      <c r="C42" s="78"/>
      <c r="D42" s="77"/>
      <c r="E42" s="77"/>
      <c r="F42" s="8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5">
      <c r="A43" s="78"/>
      <c r="B43" s="252"/>
      <c r="C43" s="78"/>
      <c r="D43" s="77"/>
      <c r="E43" s="77"/>
      <c r="F43" s="82"/>
      <c r="G43" s="78"/>
      <c r="H43" s="78"/>
      <c r="I43" s="77"/>
      <c r="J43" s="77"/>
      <c r="K43" s="78"/>
      <c r="L43" s="78"/>
      <c r="M43" s="78"/>
      <c r="N43" s="78"/>
      <c r="O43" s="78"/>
      <c r="P43" s="78"/>
      <c r="Q43" s="78"/>
    </row>
    <row r="44" spans="1:17" x14ac:dyDescent="0.25">
      <c r="A44" s="78"/>
      <c r="B44" s="252"/>
      <c r="C44" s="78"/>
      <c r="D44" s="77"/>
      <c r="E44" s="77"/>
      <c r="F44" s="82"/>
      <c r="G44" s="78"/>
      <c r="H44" s="78"/>
      <c r="I44" s="77"/>
      <c r="J44" s="77"/>
      <c r="K44" s="78"/>
      <c r="L44" s="78"/>
      <c r="M44" s="78"/>
      <c r="N44" s="78"/>
      <c r="O44" s="78"/>
      <c r="P44" s="78"/>
      <c r="Q44" s="78"/>
    </row>
    <row r="45" spans="1:17" x14ac:dyDescent="0.25">
      <c r="A45" s="78"/>
      <c r="B45" s="252"/>
      <c r="C45" s="78"/>
      <c r="D45" s="77"/>
      <c r="E45" s="77"/>
      <c r="F45" s="82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252"/>
      <c r="C46" s="78"/>
      <c r="D46" s="77"/>
      <c r="E46" s="77"/>
      <c r="F46" s="82"/>
      <c r="G46" s="78"/>
      <c r="H46" s="78"/>
      <c r="I46" s="77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78"/>
      <c r="B47" s="78"/>
      <c r="C47" s="78"/>
      <c r="D47" s="78"/>
      <c r="E47" s="78"/>
      <c r="F47" s="78"/>
      <c r="G47" s="78"/>
      <c r="H47" s="78"/>
      <c r="I47" s="77"/>
      <c r="J47" s="77"/>
      <c r="K47" s="77"/>
      <c r="L47" s="78"/>
      <c r="M47" s="78"/>
      <c r="N47" s="78"/>
      <c r="O47" s="78"/>
      <c r="P47" s="78"/>
      <c r="Q47" s="78"/>
    </row>
    <row r="48" spans="1:17" x14ac:dyDescent="0.25">
      <c r="A48" s="78"/>
      <c r="B48" s="78"/>
      <c r="C48" s="7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x14ac:dyDescent="0.25">
      <c r="A49" s="78"/>
      <c r="B49" s="78"/>
      <c r="C49" s="77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x14ac:dyDescent="0.25">
      <c r="A50" s="78"/>
      <c r="B50" s="78"/>
      <c r="C50" s="77"/>
      <c r="D50" s="7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x14ac:dyDescent="0.25">
      <c r="A51" s="78"/>
      <c r="B51" s="78"/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</sheetData>
  <mergeCells count="26">
    <mergeCell ref="B42:B44"/>
    <mergeCell ref="B45:B46"/>
    <mergeCell ref="L30:L31"/>
    <mergeCell ref="B32:B33"/>
    <mergeCell ref="B34:B35"/>
    <mergeCell ref="D36:E36"/>
    <mergeCell ref="B37:B38"/>
    <mergeCell ref="B39:B41"/>
    <mergeCell ref="D29:E29"/>
    <mergeCell ref="A6:N6"/>
    <mergeCell ref="A8:N8"/>
    <mergeCell ref="A9:N9"/>
    <mergeCell ref="A12:N12"/>
    <mergeCell ref="A14:N14"/>
    <mergeCell ref="A15:N15"/>
    <mergeCell ref="B20:B21"/>
    <mergeCell ref="B22:B23"/>
    <mergeCell ref="D24:E24"/>
    <mergeCell ref="D25:E25"/>
    <mergeCell ref="B26:B28"/>
    <mergeCell ref="A2:B2"/>
    <mergeCell ref="C2:O2"/>
    <mergeCell ref="A4:A5"/>
    <mergeCell ref="B4:B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M54"/>
  <sheetViews>
    <sheetView topLeftCell="A7" zoomScale="59" zoomScaleNormal="59" workbookViewId="0">
      <selection activeCell="A18" sqref="A18:XFD18"/>
    </sheetView>
  </sheetViews>
  <sheetFormatPr defaultRowHeight="26.25" x14ac:dyDescent="0.4"/>
  <cols>
    <col min="1" max="1" width="10.28515625" style="1" customWidth="1"/>
    <col min="2" max="2" width="50.28515625" style="1" customWidth="1"/>
    <col min="3" max="3" width="37.85546875" style="1" customWidth="1"/>
    <col min="4" max="4" width="36" style="1" customWidth="1"/>
    <col min="5" max="6" width="37" style="1" bestFit="1" customWidth="1"/>
    <col min="7" max="7" width="32.42578125" style="1" bestFit="1" customWidth="1"/>
    <col min="8" max="8" width="36.7109375" style="1" customWidth="1"/>
    <col min="9" max="9" width="14.7109375" style="1" customWidth="1"/>
    <col min="10" max="10" width="32" style="1" customWidth="1"/>
    <col min="11" max="11" width="14.42578125" style="1" customWidth="1"/>
    <col min="12" max="12" width="15.140625" style="1" customWidth="1"/>
    <col min="13" max="13" width="14.7109375" style="1" customWidth="1"/>
    <col min="14" max="14" width="15" style="1" customWidth="1"/>
    <col min="15" max="15" width="33.42578125" style="1" customWidth="1"/>
    <col min="16" max="16" width="17" style="1" customWidth="1"/>
    <col min="17" max="17" width="34.7109375" style="1" customWidth="1"/>
    <col min="18" max="18" width="17.5703125" style="1" customWidth="1"/>
    <col min="19" max="19" width="36.28515625" style="1" bestFit="1" customWidth="1"/>
    <col min="20" max="20" width="16.140625" style="1" customWidth="1"/>
    <col min="21" max="21" width="33.85546875" style="1" customWidth="1"/>
    <col min="22" max="22" width="34.7109375" style="1" customWidth="1"/>
    <col min="23" max="25" width="14.7109375" style="1" bestFit="1" customWidth="1"/>
    <col min="26" max="26" width="34.28515625" style="1" customWidth="1"/>
    <col min="27" max="27" width="17.28515625" style="1" customWidth="1"/>
    <col min="28" max="28" width="32.85546875" style="1" customWidth="1"/>
    <col min="29" max="29" width="31.7109375" style="1" customWidth="1"/>
    <col min="30" max="30" width="39.140625" style="1" customWidth="1"/>
    <col min="31" max="16384" width="9.140625" style="1"/>
  </cols>
  <sheetData>
    <row r="2" spans="1:143" x14ac:dyDescent="0.4"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1:143" x14ac:dyDescent="0.4">
      <c r="A3" s="212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3"/>
      <c r="W3" s="213"/>
      <c r="X3" s="213"/>
      <c r="Y3" s="213"/>
      <c r="Z3" s="213"/>
      <c r="AA3" s="213"/>
      <c r="AB3" s="213"/>
    </row>
    <row r="4" spans="1:143" x14ac:dyDescent="0.4">
      <c r="A4" s="214" t="s">
        <v>1</v>
      </c>
      <c r="B4" s="214" t="s">
        <v>2</v>
      </c>
      <c r="C4" s="215" t="s">
        <v>3</v>
      </c>
      <c r="D4" s="218" t="s">
        <v>4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 t="s">
        <v>5</v>
      </c>
      <c r="W4" s="218"/>
      <c r="X4" s="218"/>
      <c r="Y4" s="218"/>
      <c r="Z4" s="218"/>
      <c r="AA4" s="218"/>
      <c r="AB4" s="218"/>
      <c r="AC4" s="218"/>
    </row>
    <row r="5" spans="1:143" x14ac:dyDescent="0.4">
      <c r="A5" s="214"/>
      <c r="B5" s="214"/>
      <c r="C5" s="216"/>
      <c r="D5" s="219" t="s">
        <v>6</v>
      </c>
      <c r="E5" s="220"/>
      <c r="F5" s="220"/>
      <c r="G5" s="220"/>
      <c r="H5" s="220"/>
      <c r="I5" s="220"/>
      <c r="J5" s="220"/>
      <c r="K5" s="221"/>
      <c r="L5" s="222" t="s">
        <v>7</v>
      </c>
      <c r="M5" s="223"/>
      <c r="N5" s="222" t="s">
        <v>8</v>
      </c>
      <c r="O5" s="223"/>
      <c r="P5" s="222" t="s">
        <v>9</v>
      </c>
      <c r="Q5" s="223"/>
      <c r="R5" s="222" t="s">
        <v>10</v>
      </c>
      <c r="S5" s="223"/>
      <c r="T5" s="222" t="s">
        <v>11</v>
      </c>
      <c r="U5" s="223"/>
      <c r="V5" s="228" t="s">
        <v>12</v>
      </c>
      <c r="W5" s="237" t="s">
        <v>13</v>
      </c>
      <c r="X5" s="238"/>
      <c r="Y5" s="237" t="s">
        <v>14</v>
      </c>
      <c r="Z5" s="238"/>
      <c r="AA5" s="228" t="s">
        <v>15</v>
      </c>
      <c r="AB5" s="228" t="s">
        <v>16</v>
      </c>
      <c r="AC5" s="230" t="s">
        <v>17</v>
      </c>
    </row>
    <row r="6" spans="1:143" ht="258.75" x14ac:dyDescent="0.4">
      <c r="A6" s="214"/>
      <c r="B6" s="214"/>
      <c r="C6" s="217"/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224"/>
      <c r="M6" s="225"/>
      <c r="N6" s="224"/>
      <c r="O6" s="225"/>
      <c r="P6" s="224"/>
      <c r="Q6" s="225"/>
      <c r="R6" s="224"/>
      <c r="S6" s="225"/>
      <c r="T6" s="224"/>
      <c r="U6" s="225"/>
      <c r="V6" s="229"/>
      <c r="W6" s="224"/>
      <c r="X6" s="225"/>
      <c r="Y6" s="224"/>
      <c r="Z6" s="225"/>
      <c r="AA6" s="229"/>
      <c r="AB6" s="229"/>
      <c r="AC6" s="230"/>
    </row>
    <row r="7" spans="1:143" x14ac:dyDescent="0.4">
      <c r="A7" s="214"/>
      <c r="B7" s="214"/>
      <c r="C7" s="165" t="s">
        <v>26</v>
      </c>
      <c r="D7" s="165" t="s">
        <v>26</v>
      </c>
      <c r="E7" s="165" t="s">
        <v>26</v>
      </c>
      <c r="F7" s="165" t="s">
        <v>26</v>
      </c>
      <c r="G7" s="165" t="s">
        <v>26</v>
      </c>
      <c r="H7" s="165" t="s">
        <v>26</v>
      </c>
      <c r="I7" s="165" t="s">
        <v>26</v>
      </c>
      <c r="J7" s="165" t="s">
        <v>26</v>
      </c>
      <c r="K7" s="165" t="s">
        <v>26</v>
      </c>
      <c r="L7" s="165" t="s">
        <v>27</v>
      </c>
      <c r="M7" s="165" t="s">
        <v>26</v>
      </c>
      <c r="N7" s="165" t="s">
        <v>28</v>
      </c>
      <c r="O7" s="165" t="s">
        <v>26</v>
      </c>
      <c r="P7" s="165" t="s">
        <v>28</v>
      </c>
      <c r="Q7" s="165" t="s">
        <v>26</v>
      </c>
      <c r="R7" s="165" t="s">
        <v>28</v>
      </c>
      <c r="S7" s="165" t="s">
        <v>26</v>
      </c>
      <c r="T7" s="165" t="s">
        <v>29</v>
      </c>
      <c r="U7" s="165" t="s">
        <v>26</v>
      </c>
      <c r="V7" s="165" t="s">
        <v>26</v>
      </c>
      <c r="W7" s="165" t="s">
        <v>28</v>
      </c>
      <c r="X7" s="165" t="s">
        <v>26</v>
      </c>
      <c r="Y7" s="165" t="s">
        <v>28</v>
      </c>
      <c r="Z7" s="165" t="s">
        <v>26</v>
      </c>
      <c r="AA7" s="165" t="s">
        <v>26</v>
      </c>
      <c r="AB7" s="165" t="s">
        <v>30</v>
      </c>
      <c r="AC7" s="6" t="s">
        <v>26</v>
      </c>
    </row>
    <row r="8" spans="1:143" x14ac:dyDescent="0.4">
      <c r="A8" s="113">
        <v>1</v>
      </c>
      <c r="B8" s="113">
        <v>2</v>
      </c>
      <c r="C8" s="113">
        <v>3</v>
      </c>
      <c r="D8" s="113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  <c r="T8" s="113">
        <v>20</v>
      </c>
      <c r="U8" s="113">
        <v>21</v>
      </c>
      <c r="V8" s="113">
        <v>22</v>
      </c>
      <c r="W8" s="113">
        <v>23</v>
      </c>
      <c r="X8" s="113">
        <v>24</v>
      </c>
      <c r="Y8" s="113">
        <v>25</v>
      </c>
      <c r="Z8" s="113">
        <v>26</v>
      </c>
      <c r="AA8" s="113">
        <v>27</v>
      </c>
      <c r="AB8" s="113">
        <v>28</v>
      </c>
      <c r="AC8" s="6">
        <v>29</v>
      </c>
    </row>
    <row r="9" spans="1:143" x14ac:dyDescent="0.4">
      <c r="A9" s="231">
        <v>2023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3"/>
    </row>
    <row r="10" spans="1:143" s="3" customFormat="1" x14ac:dyDescent="0.4">
      <c r="A10" s="84">
        <v>1</v>
      </c>
      <c r="B10" s="114" t="s">
        <v>32</v>
      </c>
      <c r="C10" s="7" t="e">
        <f>D10+V10+AB10+AC10</f>
        <v>#REF!</v>
      </c>
      <c r="D10" s="7" t="e">
        <f>Q10+S10+U10</f>
        <v>#REF!</v>
      </c>
      <c r="E10" s="7" t="s">
        <v>87</v>
      </c>
      <c r="F10" s="7" t="s">
        <v>87</v>
      </c>
      <c r="G10" s="7" t="s">
        <v>87</v>
      </c>
      <c r="H10" s="7" t="s">
        <v>87</v>
      </c>
      <c r="I10" s="7" t="s">
        <v>87</v>
      </c>
      <c r="J10" s="7" t="s">
        <v>87</v>
      </c>
      <c r="K10" s="7" t="s">
        <v>87</v>
      </c>
      <c r="L10" s="7" t="s">
        <v>87</v>
      </c>
      <c r="M10" s="7" t="s">
        <v>87</v>
      </c>
      <c r="N10" s="85" t="s">
        <v>87</v>
      </c>
      <c r="O10" s="111" t="s">
        <v>87</v>
      </c>
      <c r="P10" s="7" t="s">
        <v>87</v>
      </c>
      <c r="Q10" s="7" t="e">
        <f>'Разд 1'!#REF!*1954.25</f>
        <v>#REF!</v>
      </c>
      <c r="R10" s="85" t="s">
        <v>87</v>
      </c>
      <c r="S10" s="7" t="e">
        <f>'Разд 1'!#REF!*2647.87</f>
        <v>#REF!</v>
      </c>
      <c r="T10" s="7" t="s">
        <v>87</v>
      </c>
      <c r="U10" s="7" t="e">
        <f>'Разд 1'!#REF!*1135.41</f>
        <v>#REF!</v>
      </c>
      <c r="V10" s="7" t="e">
        <f>D10*1.5%</f>
        <v>#REF!</v>
      </c>
      <c r="W10" s="7" t="s">
        <v>87</v>
      </c>
      <c r="X10" s="7" t="s">
        <v>87</v>
      </c>
      <c r="Y10" s="7" t="s">
        <v>87</v>
      </c>
      <c r="Z10" s="7" t="s">
        <v>87</v>
      </c>
      <c r="AA10" s="7" t="s">
        <v>87</v>
      </c>
      <c r="AB10" s="7">
        <v>970787.74</v>
      </c>
      <c r="AC10" s="7">
        <v>341344.3</v>
      </c>
      <c r="AD10" s="87"/>
    </row>
    <row r="11" spans="1:143" s="3" customFormat="1" x14ac:dyDescent="0.4">
      <c r="A11" s="84">
        <v>2</v>
      </c>
      <c r="B11" s="114" t="s">
        <v>83</v>
      </c>
      <c r="C11" s="7">
        <f>D11+V11</f>
        <v>21792379.010000002</v>
      </c>
      <c r="D11" s="7">
        <f>O11</f>
        <v>21470324.149999999</v>
      </c>
      <c r="E11" s="7" t="s">
        <v>87</v>
      </c>
      <c r="F11" s="7" t="s">
        <v>87</v>
      </c>
      <c r="G11" s="7" t="s">
        <v>87</v>
      </c>
      <c r="H11" s="7" t="s">
        <v>87</v>
      </c>
      <c r="I11" s="7" t="s">
        <v>87</v>
      </c>
      <c r="J11" s="7" t="s">
        <v>87</v>
      </c>
      <c r="K11" s="7" t="s">
        <v>87</v>
      </c>
      <c r="L11" s="7" t="s">
        <v>87</v>
      </c>
      <c r="M11" s="7" t="s">
        <v>87</v>
      </c>
      <c r="N11" s="7" t="s">
        <v>87</v>
      </c>
      <c r="O11" s="7">
        <f>'Разд 1'!L20*3855.19</f>
        <v>21470324.149999999</v>
      </c>
      <c r="P11" s="7" t="s">
        <v>87</v>
      </c>
      <c r="Q11" s="7" t="s">
        <v>87</v>
      </c>
      <c r="R11" s="85" t="s">
        <v>87</v>
      </c>
      <c r="S11" s="7"/>
      <c r="T11" s="7" t="s">
        <v>87</v>
      </c>
      <c r="U11" s="7" t="s">
        <v>87</v>
      </c>
      <c r="V11" s="7">
        <f>O11*1.5%</f>
        <v>322054.86</v>
      </c>
      <c r="W11" s="7" t="s">
        <v>87</v>
      </c>
      <c r="X11" s="7" t="s">
        <v>87</v>
      </c>
      <c r="Y11" s="7" t="s">
        <v>87</v>
      </c>
      <c r="Z11" s="7" t="s">
        <v>87</v>
      </c>
      <c r="AA11" s="7" t="s">
        <v>87</v>
      </c>
      <c r="AB11" s="7" t="s">
        <v>87</v>
      </c>
      <c r="AC11" s="7" t="s">
        <v>87</v>
      </c>
      <c r="AD11" s="87"/>
    </row>
    <row r="12" spans="1:143" s="3" customFormat="1" x14ac:dyDescent="0.4">
      <c r="A12" s="84">
        <v>3</v>
      </c>
      <c r="B12" s="114" t="s">
        <v>84</v>
      </c>
      <c r="C12" s="7">
        <f>D12+V12</f>
        <v>5848870.3799999999</v>
      </c>
      <c r="D12" s="7">
        <f>O12</f>
        <v>5762433.8700000001</v>
      </c>
      <c r="E12" s="7" t="s">
        <v>87</v>
      </c>
      <c r="F12" s="7" t="s">
        <v>87</v>
      </c>
      <c r="G12" s="7" t="s">
        <v>87</v>
      </c>
      <c r="H12" s="7" t="s">
        <v>87</v>
      </c>
      <c r="I12" s="7" t="s">
        <v>87</v>
      </c>
      <c r="J12" s="7" t="s">
        <v>87</v>
      </c>
      <c r="K12" s="7" t="s">
        <v>87</v>
      </c>
      <c r="L12" s="7" t="s">
        <v>87</v>
      </c>
      <c r="M12" s="7" t="s">
        <v>87</v>
      </c>
      <c r="N12" s="7" t="s">
        <v>87</v>
      </c>
      <c r="O12" s="7">
        <f>'Разд 1'!L21*3617.12</f>
        <v>5762433.8700000001</v>
      </c>
      <c r="P12" s="7" t="s">
        <v>87</v>
      </c>
      <c r="Q12" s="7" t="s">
        <v>87</v>
      </c>
      <c r="R12" s="85" t="s">
        <v>87</v>
      </c>
      <c r="S12" s="7"/>
      <c r="T12" s="7" t="s">
        <v>87</v>
      </c>
      <c r="U12" s="7" t="s">
        <v>87</v>
      </c>
      <c r="V12" s="7">
        <f>O12*1.5%</f>
        <v>86436.51</v>
      </c>
      <c r="W12" s="7" t="s">
        <v>87</v>
      </c>
      <c r="X12" s="7" t="s">
        <v>87</v>
      </c>
      <c r="Y12" s="7" t="s">
        <v>87</v>
      </c>
      <c r="Z12" s="7" t="s">
        <v>87</v>
      </c>
      <c r="AA12" s="7" t="s">
        <v>87</v>
      </c>
      <c r="AB12" s="7" t="s">
        <v>87</v>
      </c>
      <c r="AC12" s="7" t="s">
        <v>87</v>
      </c>
    </row>
    <row r="13" spans="1:143" s="3" customFormat="1" x14ac:dyDescent="0.4">
      <c r="A13" s="84">
        <v>4</v>
      </c>
      <c r="B13" s="114" t="s">
        <v>86</v>
      </c>
      <c r="C13" s="7">
        <f>D13+V13</f>
        <v>11684361.460000001</v>
      </c>
      <c r="D13" s="7">
        <f>Z13</f>
        <v>11511686.17</v>
      </c>
      <c r="E13" s="7" t="s">
        <v>87</v>
      </c>
      <c r="F13" s="7" t="s">
        <v>87</v>
      </c>
      <c r="G13" s="7" t="s">
        <v>87</v>
      </c>
      <c r="H13" s="7" t="s">
        <v>87</v>
      </c>
      <c r="I13" s="7" t="s">
        <v>87</v>
      </c>
      <c r="J13" s="7" t="s">
        <v>87</v>
      </c>
      <c r="K13" s="7" t="s">
        <v>87</v>
      </c>
      <c r="L13" s="7" t="s">
        <v>87</v>
      </c>
      <c r="M13" s="7" t="s">
        <v>87</v>
      </c>
      <c r="N13" s="7" t="s">
        <v>87</v>
      </c>
      <c r="O13" s="7" t="s">
        <v>87</v>
      </c>
      <c r="P13" s="7" t="s">
        <v>87</v>
      </c>
      <c r="Q13" s="7" t="s">
        <v>87</v>
      </c>
      <c r="R13" s="85" t="s">
        <v>87</v>
      </c>
      <c r="S13" s="7"/>
      <c r="T13" s="7" t="s">
        <v>87</v>
      </c>
      <c r="U13" s="7" t="s">
        <v>87</v>
      </c>
      <c r="V13" s="7">
        <f>Z13*1.5%</f>
        <v>172675.29</v>
      </c>
      <c r="W13" s="7" t="s">
        <v>87</v>
      </c>
      <c r="X13" s="7" t="s">
        <v>87</v>
      </c>
      <c r="Y13" s="7" t="s">
        <v>87</v>
      </c>
      <c r="Z13" s="7">
        <f>1490.9*7721.3</f>
        <v>11511686.17</v>
      </c>
      <c r="AA13" s="7" t="s">
        <v>87</v>
      </c>
      <c r="AB13" s="7" t="s">
        <v>87</v>
      </c>
      <c r="AC13" s="7" t="s">
        <v>87</v>
      </c>
      <c r="AD13" s="87"/>
    </row>
    <row r="14" spans="1:143" s="3" customFormat="1" x14ac:dyDescent="0.4">
      <c r="A14" s="84">
        <v>5</v>
      </c>
      <c r="B14" s="114" t="s">
        <v>38</v>
      </c>
      <c r="C14" s="7">
        <f>D14+V14</f>
        <v>14699621.880000001</v>
      </c>
      <c r="D14" s="7">
        <f>S14</f>
        <v>14482386.09</v>
      </c>
      <c r="E14" s="7" t="s">
        <v>87</v>
      </c>
      <c r="F14" s="7" t="s">
        <v>87</v>
      </c>
      <c r="G14" s="7" t="s">
        <v>87</v>
      </c>
      <c r="H14" s="7" t="s">
        <v>87</v>
      </c>
      <c r="I14" s="7" t="s">
        <v>87</v>
      </c>
      <c r="J14" s="7" t="s">
        <v>87</v>
      </c>
      <c r="K14" s="7" t="s">
        <v>87</v>
      </c>
      <c r="L14" s="7" t="s">
        <v>87</v>
      </c>
      <c r="M14" s="7" t="s">
        <v>87</v>
      </c>
      <c r="N14" s="7" t="s">
        <v>87</v>
      </c>
      <c r="O14" s="7" t="s">
        <v>87</v>
      </c>
      <c r="P14" s="7" t="s">
        <v>87</v>
      </c>
      <c r="Q14" s="7" t="s">
        <v>87</v>
      </c>
      <c r="R14" s="85" t="s">
        <v>87</v>
      </c>
      <c r="S14" s="7">
        <f>'Разд 1'!L23*3435.59</f>
        <v>14482386.09</v>
      </c>
      <c r="T14" s="7" t="s">
        <v>87</v>
      </c>
      <c r="U14" s="7" t="s">
        <v>87</v>
      </c>
      <c r="V14" s="7">
        <f>S14*1.5%</f>
        <v>217235.79</v>
      </c>
      <c r="W14" s="7" t="s">
        <v>87</v>
      </c>
      <c r="X14" s="7" t="s">
        <v>87</v>
      </c>
      <c r="Y14" s="7" t="s">
        <v>87</v>
      </c>
      <c r="Z14" s="7" t="s">
        <v>87</v>
      </c>
      <c r="AA14" s="7" t="s">
        <v>87</v>
      </c>
      <c r="AB14" s="7" t="s">
        <v>87</v>
      </c>
      <c r="AC14" s="7" t="s">
        <v>87</v>
      </c>
      <c r="AD14" s="87"/>
    </row>
    <row r="15" spans="1:143" s="2" customFormat="1" x14ac:dyDescent="0.4">
      <c r="A15" s="84">
        <v>6</v>
      </c>
      <c r="B15" s="114" t="s">
        <v>89</v>
      </c>
      <c r="C15" s="7">
        <f>D15+V15+AB15+AC15</f>
        <v>18854028.260000002</v>
      </c>
      <c r="D15" s="7">
        <f>O15</f>
        <v>17831728.09</v>
      </c>
      <c r="E15" s="7" t="s">
        <v>87</v>
      </c>
      <c r="F15" s="7" t="s">
        <v>87</v>
      </c>
      <c r="G15" s="7" t="s">
        <v>87</v>
      </c>
      <c r="H15" s="7" t="s">
        <v>87</v>
      </c>
      <c r="I15" s="7" t="s">
        <v>87</v>
      </c>
      <c r="J15" s="7" t="s">
        <v>87</v>
      </c>
      <c r="K15" s="7" t="s">
        <v>87</v>
      </c>
      <c r="L15" s="7" t="s">
        <v>87</v>
      </c>
      <c r="M15" s="7" t="s">
        <v>87</v>
      </c>
      <c r="N15" s="85" t="s">
        <v>87</v>
      </c>
      <c r="O15" s="7">
        <f>'Разд 1'!L32*3727.29</f>
        <v>17831728.09</v>
      </c>
      <c r="P15" s="7" t="s">
        <v>87</v>
      </c>
      <c r="Q15" s="7" t="s">
        <v>87</v>
      </c>
      <c r="R15" s="85" t="s">
        <v>87</v>
      </c>
      <c r="S15" s="7"/>
      <c r="T15" s="7" t="s">
        <v>87</v>
      </c>
      <c r="U15" s="7" t="s">
        <v>87</v>
      </c>
      <c r="V15" s="7">
        <f>O15*1.5%</f>
        <v>267475.92</v>
      </c>
      <c r="W15" s="7" t="s">
        <v>87</v>
      </c>
      <c r="X15" s="7" t="s">
        <v>87</v>
      </c>
      <c r="Y15" s="7" t="s">
        <v>87</v>
      </c>
      <c r="Z15" s="7" t="s">
        <v>87</v>
      </c>
      <c r="AA15" s="7" t="s">
        <v>87</v>
      </c>
      <c r="AB15" s="7">
        <v>536969.9</v>
      </c>
      <c r="AC15" s="7">
        <v>217854.35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s="2" customFormat="1" x14ac:dyDescent="0.4">
      <c r="A16" s="84">
        <v>7</v>
      </c>
      <c r="B16" s="114" t="s">
        <v>33</v>
      </c>
      <c r="C16" s="7">
        <f>D16+V16+AB16+AC16</f>
        <v>19735306.809999999</v>
      </c>
      <c r="D16" s="7">
        <v>18420340.079999998</v>
      </c>
      <c r="E16" s="7" t="s">
        <v>87</v>
      </c>
      <c r="F16" s="7" t="s">
        <v>87</v>
      </c>
      <c r="G16" s="7" t="s">
        <v>87</v>
      </c>
      <c r="H16" s="7" t="s">
        <v>87</v>
      </c>
      <c r="I16" s="7" t="s">
        <v>87</v>
      </c>
      <c r="J16" s="7" t="s">
        <v>87</v>
      </c>
      <c r="K16" s="7" t="s">
        <v>87</v>
      </c>
      <c r="L16" s="7" t="s">
        <v>87</v>
      </c>
      <c r="M16" s="7" t="s">
        <v>87</v>
      </c>
      <c r="N16" s="85" t="s">
        <v>87</v>
      </c>
      <c r="O16" s="7" t="s">
        <v>87</v>
      </c>
      <c r="P16" s="7" t="s">
        <v>87</v>
      </c>
      <c r="Q16" s="7">
        <f>'Разд 1'!L24*1954.25</f>
        <v>6274119.6299999999</v>
      </c>
      <c r="R16" s="85" t="s">
        <v>87</v>
      </c>
      <c r="S16" s="7">
        <f>'Разд 1'!L24*2647.87</f>
        <v>8500986.6400000006</v>
      </c>
      <c r="T16" s="7" t="s">
        <v>87</v>
      </c>
      <c r="U16" s="7">
        <v>3645233.81</v>
      </c>
      <c r="V16" s="7">
        <f>D16*1.5%</f>
        <v>276305.09999999998</v>
      </c>
      <c r="W16" s="7" t="s">
        <v>87</v>
      </c>
      <c r="X16" s="7" t="s">
        <v>87</v>
      </c>
      <c r="Y16" s="7" t="s">
        <v>87</v>
      </c>
      <c r="Z16" s="7" t="s">
        <v>87</v>
      </c>
      <c r="AA16" s="7" t="s">
        <v>87</v>
      </c>
      <c r="AB16" s="7">
        <v>738887.28</v>
      </c>
      <c r="AC16" s="7">
        <v>299774.34999999998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s="2" customFormat="1" x14ac:dyDescent="0.4">
      <c r="A17" s="84">
        <v>8</v>
      </c>
      <c r="B17" s="114" t="s">
        <v>90</v>
      </c>
      <c r="C17" s="7">
        <f>D17+V17+AB17+AC17</f>
        <v>24431250.379999999</v>
      </c>
      <c r="D17" s="7">
        <v>22706274.989999998</v>
      </c>
      <c r="E17" s="7" t="s">
        <v>87</v>
      </c>
      <c r="F17" s="7" t="s">
        <v>87</v>
      </c>
      <c r="G17" s="7" t="s">
        <v>87</v>
      </c>
      <c r="H17" s="7" t="s">
        <v>87</v>
      </c>
      <c r="I17" s="7" t="s">
        <v>87</v>
      </c>
      <c r="J17" s="7" t="s">
        <v>87</v>
      </c>
      <c r="K17" s="7" t="s">
        <v>87</v>
      </c>
      <c r="L17" s="7" t="s">
        <v>87</v>
      </c>
      <c r="M17" s="7" t="s">
        <v>87</v>
      </c>
      <c r="N17" s="85" t="s">
        <v>87</v>
      </c>
      <c r="O17" s="7" t="s">
        <v>87</v>
      </c>
      <c r="P17" s="7" t="s">
        <v>87</v>
      </c>
      <c r="Q17" s="7" t="e">
        <f>'Разд 1'!#REF!*1954.25</f>
        <v>#REF!</v>
      </c>
      <c r="R17" s="85" t="s">
        <v>87</v>
      </c>
      <c r="S17" s="7" t="e">
        <f>'Разд 1'!#REF!*2647.87</f>
        <v>#REF!</v>
      </c>
      <c r="T17" s="7" t="s">
        <v>87</v>
      </c>
      <c r="U17" s="7" t="e">
        <f>'Разд 1'!#REF!*1135.41</f>
        <v>#REF!</v>
      </c>
      <c r="V17" s="7">
        <f>D17*1.5%</f>
        <v>340594.12</v>
      </c>
      <c r="W17" s="7" t="s">
        <v>87</v>
      </c>
      <c r="X17" s="7" t="s">
        <v>87</v>
      </c>
      <c r="Y17" s="7" t="s">
        <v>87</v>
      </c>
      <c r="Z17" s="7" t="s">
        <v>87</v>
      </c>
      <c r="AA17" s="7" t="s">
        <v>87</v>
      </c>
      <c r="AB17" s="7">
        <v>1024241.71</v>
      </c>
      <c r="AC17" s="7">
        <v>360139.56</v>
      </c>
      <c r="AD17" s="8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s="2" customFormat="1" x14ac:dyDescent="0.4">
      <c r="A18" s="84">
        <v>9</v>
      </c>
      <c r="B18" s="114" t="s">
        <v>92</v>
      </c>
      <c r="C18" s="7">
        <v>10319324.710000001</v>
      </c>
      <c r="D18" s="7" t="e">
        <f>O18</f>
        <v>#REF!</v>
      </c>
      <c r="E18" s="7" t="s">
        <v>87</v>
      </c>
      <c r="F18" s="7" t="s">
        <v>87</v>
      </c>
      <c r="G18" s="7" t="s">
        <v>87</v>
      </c>
      <c r="H18" s="7" t="s">
        <v>87</v>
      </c>
      <c r="I18" s="7" t="s">
        <v>87</v>
      </c>
      <c r="J18" s="7" t="s">
        <v>87</v>
      </c>
      <c r="K18" s="7" t="s">
        <v>87</v>
      </c>
      <c r="L18" s="7" t="s">
        <v>87</v>
      </c>
      <c r="M18" s="7" t="s">
        <v>87</v>
      </c>
      <c r="N18" s="85" t="s">
        <v>87</v>
      </c>
      <c r="O18" s="7" t="e">
        <f>'Разд 1'!#REF!*3727.29</f>
        <v>#REF!</v>
      </c>
      <c r="P18" s="7" t="s">
        <v>87</v>
      </c>
      <c r="Q18" s="7" t="s">
        <v>87</v>
      </c>
      <c r="R18" s="85" t="s">
        <v>87</v>
      </c>
      <c r="S18" s="7" t="s">
        <v>87</v>
      </c>
      <c r="T18" s="7"/>
      <c r="U18" s="7" t="s">
        <v>87</v>
      </c>
      <c r="V18" s="7" t="e">
        <f>D18*1.5%</f>
        <v>#REF!</v>
      </c>
      <c r="W18" s="7" t="s">
        <v>87</v>
      </c>
      <c r="X18" s="7" t="s">
        <v>87</v>
      </c>
      <c r="Y18" s="7" t="s">
        <v>87</v>
      </c>
      <c r="Z18" s="7" t="s">
        <v>87</v>
      </c>
      <c r="AA18" s="7" t="s">
        <v>87</v>
      </c>
      <c r="AB18" s="7">
        <v>500506.27</v>
      </c>
      <c r="AC18" s="7">
        <v>203060.66</v>
      </c>
      <c r="AD18" s="8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s="2" customFormat="1" x14ac:dyDescent="0.4">
      <c r="A19" s="84">
        <v>10</v>
      </c>
      <c r="B19" s="167" t="s">
        <v>37</v>
      </c>
      <c r="C19" s="7">
        <f>D19+V19</f>
        <v>48472513.350000001</v>
      </c>
      <c r="D19" s="7">
        <f>E19+F19+G19+H19+Q19+S19+U19</f>
        <v>47756170.789999999</v>
      </c>
      <c r="E19" s="7">
        <f>4225.7*660.21+1197448.78</f>
        <v>3987298.18</v>
      </c>
      <c r="F19" s="7">
        <f>4225.7*620.83</f>
        <v>2623441.33</v>
      </c>
      <c r="G19" s="7">
        <f>4225.7*665.62</f>
        <v>2812710.43</v>
      </c>
      <c r="H19" s="7">
        <f>4225.7*3201.73+2501151.24</f>
        <v>16030701.699999999</v>
      </c>
      <c r="I19" s="7" t="s">
        <v>87</v>
      </c>
      <c r="J19" s="163">
        <f>ROUND(4225.7*690.32,2)</f>
        <v>2917085.22</v>
      </c>
      <c r="K19" s="7" t="s">
        <v>87</v>
      </c>
      <c r="L19" s="7" t="s">
        <v>87</v>
      </c>
      <c r="M19" s="7" t="s">
        <v>87</v>
      </c>
      <c r="N19" s="85" t="s">
        <v>87</v>
      </c>
      <c r="O19" s="7" t="s">
        <v>87</v>
      </c>
      <c r="P19" s="7" t="s">
        <v>87</v>
      </c>
      <c r="Q19" s="7">
        <f>4225.7*706.71</f>
        <v>2986344.45</v>
      </c>
      <c r="R19" s="85" t="s">
        <v>87</v>
      </c>
      <c r="S19" s="7">
        <f>4225.7*3435.59</f>
        <v>14517772.66</v>
      </c>
      <c r="T19" s="7"/>
      <c r="U19" s="7">
        <f>4225.7*1135.41</f>
        <v>4797902.04</v>
      </c>
      <c r="V19" s="7">
        <f>D19*1.5%</f>
        <v>716342.56</v>
      </c>
      <c r="W19" s="7" t="s">
        <v>87</v>
      </c>
      <c r="X19" s="7" t="s">
        <v>87</v>
      </c>
      <c r="Y19" s="7" t="s">
        <v>87</v>
      </c>
      <c r="Z19" s="7" t="s">
        <v>87</v>
      </c>
      <c r="AA19" s="7" t="s">
        <v>87</v>
      </c>
      <c r="AB19" s="7" t="s">
        <v>87</v>
      </c>
      <c r="AC19" s="7" t="s">
        <v>87</v>
      </c>
      <c r="AD19" s="8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s="3" customFormat="1" x14ac:dyDescent="0.4">
      <c r="A20" s="92"/>
      <c r="B20" s="92" t="s">
        <v>105</v>
      </c>
      <c r="C20" s="93">
        <f>D20+V20+AB20+AC20</f>
        <v>193519908.06</v>
      </c>
      <c r="D20" s="93">
        <v>185543194.05000001</v>
      </c>
      <c r="E20" s="93">
        <f>E19</f>
        <v>3987298.18</v>
      </c>
      <c r="F20" s="93">
        <f>F19</f>
        <v>2623441.33</v>
      </c>
      <c r="G20" s="93">
        <f>G19</f>
        <v>2812710.43</v>
      </c>
      <c r="H20" s="93">
        <f>H19</f>
        <v>16030701.699999999</v>
      </c>
      <c r="I20" s="93" t="s">
        <v>87</v>
      </c>
      <c r="J20" s="93" t="s">
        <v>87</v>
      </c>
      <c r="K20" s="93" t="s">
        <v>87</v>
      </c>
      <c r="L20" s="93" t="s">
        <v>87</v>
      </c>
      <c r="M20" s="93" t="s">
        <v>87</v>
      </c>
      <c r="N20" s="93" t="s">
        <v>87</v>
      </c>
      <c r="O20" s="93" t="e">
        <f>SUM(O10:O19)</f>
        <v>#REF!</v>
      </c>
      <c r="P20" s="93" t="s">
        <v>87</v>
      </c>
      <c r="Q20" s="93">
        <v>22487805.210000001</v>
      </c>
      <c r="R20" s="93" t="s">
        <v>87</v>
      </c>
      <c r="S20" s="93">
        <v>55423253.490000002</v>
      </c>
      <c r="T20" s="93" t="s">
        <v>87</v>
      </c>
      <c r="U20" s="93">
        <v>16128158.439999999</v>
      </c>
      <c r="V20" s="93">
        <v>2783147.89</v>
      </c>
      <c r="W20" s="93" t="s">
        <v>87</v>
      </c>
      <c r="X20" s="93" t="s">
        <v>87</v>
      </c>
      <c r="Y20" s="93" t="s">
        <v>87</v>
      </c>
      <c r="Z20" s="93">
        <f>Z13</f>
        <v>11511686.17</v>
      </c>
      <c r="AA20" s="93" t="s">
        <v>87</v>
      </c>
      <c r="AB20" s="93">
        <f>SUM(AB10:AB19)</f>
        <v>3771392.9</v>
      </c>
      <c r="AC20" s="93">
        <f>SUM(AC10:AC19)</f>
        <v>1422173.22</v>
      </c>
    </row>
    <row r="21" spans="1:143" s="3" customFormat="1" x14ac:dyDescent="0.4">
      <c r="A21" s="234">
        <v>2024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5"/>
    </row>
    <row r="22" spans="1:143" s="3" customFormat="1" x14ac:dyDescent="0.4">
      <c r="A22" s="94">
        <v>1</v>
      </c>
      <c r="B22" s="114" t="s">
        <v>31</v>
      </c>
      <c r="C22" s="86">
        <f t="shared" ref="C22:C29" si="0">D22+V22+AB22+AC22</f>
        <v>36073579.789999999</v>
      </c>
      <c r="D22" s="86">
        <v>32982150.07</v>
      </c>
      <c r="E22" s="86">
        <f>3301.4*589.88+1197448.78</f>
        <v>3144878.61</v>
      </c>
      <c r="F22" s="86">
        <f>3301.4*596.38</f>
        <v>1968888.93</v>
      </c>
      <c r="G22" s="86">
        <f>3301.4*1074.75</f>
        <v>3548179.65</v>
      </c>
      <c r="H22" s="86">
        <f>3301.4*871.5+2501151.24</f>
        <v>5378321.3399999999</v>
      </c>
      <c r="I22" s="86" t="s">
        <v>87</v>
      </c>
      <c r="J22" s="86" t="s">
        <v>87</v>
      </c>
      <c r="K22" s="86" t="s">
        <v>87</v>
      </c>
      <c r="L22" s="86" t="s">
        <v>87</v>
      </c>
      <c r="M22" s="86" t="s">
        <v>87</v>
      </c>
      <c r="N22" s="86" t="s">
        <v>87</v>
      </c>
      <c r="O22" s="86" t="s">
        <v>87</v>
      </c>
      <c r="P22" s="86" t="s">
        <v>87</v>
      </c>
      <c r="Q22" s="86">
        <f>3301.4*1954.25</f>
        <v>6451760.9500000002</v>
      </c>
      <c r="R22" s="86" t="s">
        <v>87</v>
      </c>
      <c r="S22" s="7">
        <f>3301.4*2647.87</f>
        <v>8741678.0199999996</v>
      </c>
      <c r="T22" s="86" t="s">
        <v>87</v>
      </c>
      <c r="U22" s="141">
        <f>3301.4*1135.41</f>
        <v>3748442.57</v>
      </c>
      <c r="V22" s="86">
        <f>D22*1.5%</f>
        <v>494732.25</v>
      </c>
      <c r="W22" s="86" t="s">
        <v>87</v>
      </c>
      <c r="X22" s="86" t="s">
        <v>87</v>
      </c>
      <c r="Y22" s="86" t="s">
        <v>87</v>
      </c>
      <c r="Z22" s="86" t="s">
        <v>87</v>
      </c>
      <c r="AA22" s="86" t="s">
        <v>87</v>
      </c>
      <c r="AB22" s="7">
        <f>877384.03+1043796.18</f>
        <v>1921180.21</v>
      </c>
      <c r="AC22" s="7">
        <f>308502.04+367015.22</f>
        <v>675517.26</v>
      </c>
      <c r="AD22" s="87"/>
    </row>
    <row r="23" spans="1:143" s="3" customFormat="1" x14ac:dyDescent="0.4">
      <c r="A23" s="94">
        <v>3</v>
      </c>
      <c r="B23" s="150" t="s">
        <v>38</v>
      </c>
      <c r="C23" s="86">
        <f>D23+V23</f>
        <v>6267495.4299999997</v>
      </c>
      <c r="D23" s="86">
        <f>H23</f>
        <v>6174872.3399999999</v>
      </c>
      <c r="E23" s="86" t="s">
        <v>87</v>
      </c>
      <c r="F23" s="86" t="s">
        <v>87</v>
      </c>
      <c r="G23" s="86" t="s">
        <v>87</v>
      </c>
      <c r="H23" s="86">
        <f>4215.4*871.5+2501151.24</f>
        <v>6174872.3399999999</v>
      </c>
      <c r="I23" s="86" t="s">
        <v>87</v>
      </c>
      <c r="J23" s="86" t="s">
        <v>87</v>
      </c>
      <c r="K23" s="86" t="s">
        <v>87</v>
      </c>
      <c r="L23" s="86" t="s">
        <v>87</v>
      </c>
      <c r="M23" s="86" t="s">
        <v>87</v>
      </c>
      <c r="N23" s="86" t="s">
        <v>87</v>
      </c>
      <c r="O23" s="86" t="s">
        <v>87</v>
      </c>
      <c r="P23" s="86" t="s">
        <v>87</v>
      </c>
      <c r="Q23" s="151"/>
      <c r="R23" s="86" t="s">
        <v>87</v>
      </c>
      <c r="S23" s="7"/>
      <c r="T23" s="86" t="s">
        <v>87</v>
      </c>
      <c r="U23" s="152"/>
      <c r="V23" s="86">
        <f>H23*1.5%</f>
        <v>92623.09</v>
      </c>
      <c r="W23" s="86" t="s">
        <v>87</v>
      </c>
      <c r="X23" s="86" t="s">
        <v>87</v>
      </c>
      <c r="Y23" s="86" t="s">
        <v>87</v>
      </c>
      <c r="Z23" s="86" t="s">
        <v>87</v>
      </c>
      <c r="AA23" s="86" t="s">
        <v>87</v>
      </c>
      <c r="AB23" s="7"/>
      <c r="AC23" s="7"/>
      <c r="AD23" s="87"/>
    </row>
    <row r="24" spans="1:143" s="3" customFormat="1" x14ac:dyDescent="0.4">
      <c r="A24" s="94">
        <v>4</v>
      </c>
      <c r="B24" s="150" t="s">
        <v>33</v>
      </c>
      <c r="C24" s="86">
        <v>17337061.280000001</v>
      </c>
      <c r="D24" s="86">
        <f>E24+F24+G24+H24+J24</f>
        <v>15971795.74</v>
      </c>
      <c r="E24" s="86">
        <f>3210.5*589.88+1197448.78</f>
        <v>3091258.52</v>
      </c>
      <c r="F24" s="86">
        <f>3210.5*596.38</f>
        <v>1914677.99</v>
      </c>
      <c r="G24" s="86">
        <f>3210.5*1074.75</f>
        <v>3450484.88</v>
      </c>
      <c r="H24" s="86">
        <f>3210.5*871.5+2501151.24</f>
        <v>5299101.99</v>
      </c>
      <c r="I24" s="86" t="s">
        <v>87</v>
      </c>
      <c r="J24" s="86">
        <f>3210.5*690.32</f>
        <v>2216272.36</v>
      </c>
      <c r="K24" s="86" t="s">
        <v>87</v>
      </c>
      <c r="L24" s="86" t="s">
        <v>87</v>
      </c>
      <c r="M24" s="86" t="s">
        <v>87</v>
      </c>
      <c r="N24" s="86" t="s">
        <v>87</v>
      </c>
      <c r="O24" s="95" t="s">
        <v>87</v>
      </c>
      <c r="P24" s="86" t="s">
        <v>87</v>
      </c>
      <c r="Q24" s="86" t="s">
        <v>87</v>
      </c>
      <c r="R24" s="86" t="s">
        <v>87</v>
      </c>
      <c r="S24" s="7" t="s">
        <v>87</v>
      </c>
      <c r="T24" s="86" t="s">
        <v>87</v>
      </c>
      <c r="U24" s="141" t="s">
        <v>87</v>
      </c>
      <c r="V24" s="7">
        <f>D24*1.5%</f>
        <v>239576.94</v>
      </c>
      <c r="W24" s="86" t="s">
        <v>87</v>
      </c>
      <c r="X24" s="86" t="s">
        <v>87</v>
      </c>
      <c r="Y24" s="86" t="s">
        <v>87</v>
      </c>
      <c r="Z24" s="86" t="s">
        <v>87</v>
      </c>
      <c r="AA24" s="86" t="s">
        <v>87</v>
      </c>
      <c r="AB24" s="7">
        <v>800796.88</v>
      </c>
      <c r="AC24" s="7">
        <v>324891.71999999997</v>
      </c>
    </row>
    <row r="25" spans="1:143" s="3" customFormat="1" x14ac:dyDescent="0.4">
      <c r="A25" s="94">
        <v>5</v>
      </c>
      <c r="B25" s="166" t="s">
        <v>85</v>
      </c>
      <c r="C25" s="91">
        <f t="shared" si="0"/>
        <v>26694526.91</v>
      </c>
      <c r="D25" s="86">
        <f>E25+F25+G25+H25+J25+Q25+S25+U25</f>
        <v>25016290.75</v>
      </c>
      <c r="E25" s="86">
        <f>2229.8*589.88+1197448.78</f>
        <v>2512763.2000000002</v>
      </c>
      <c r="F25" s="86">
        <f>2229.8*596.38</f>
        <v>1329808.1200000001</v>
      </c>
      <c r="G25" s="86">
        <f>2229.8*1074.75</f>
        <v>2396477.5499999998</v>
      </c>
      <c r="H25" s="86">
        <f>2229.8*871.5+2501151.24</f>
        <v>4444421.9400000004</v>
      </c>
      <c r="I25" s="86" t="s">
        <v>87</v>
      </c>
      <c r="J25" s="86">
        <f>2229.8*690.32</f>
        <v>1539275.54</v>
      </c>
      <c r="K25" s="86" t="s">
        <v>87</v>
      </c>
      <c r="L25" s="86" t="s">
        <v>87</v>
      </c>
      <c r="M25" s="86" t="s">
        <v>87</v>
      </c>
      <c r="N25" s="86" t="s">
        <v>87</v>
      </c>
      <c r="O25" s="86" t="s">
        <v>87</v>
      </c>
      <c r="P25" s="86" t="s">
        <v>87</v>
      </c>
      <c r="Q25" s="86">
        <f>2229.8*1954.25</f>
        <v>4357586.6500000004</v>
      </c>
      <c r="R25" s="86" t="s">
        <v>87</v>
      </c>
      <c r="S25" s="7">
        <f>2229.8*2647.87</f>
        <v>5904220.5300000003</v>
      </c>
      <c r="T25" s="86" t="s">
        <v>87</v>
      </c>
      <c r="U25" s="141">
        <f>2229.8*1135.41</f>
        <v>2531737.2200000002</v>
      </c>
      <c r="V25" s="86">
        <f>D25*1.5%</f>
        <v>375244.36</v>
      </c>
      <c r="W25" s="86" t="s">
        <v>87</v>
      </c>
      <c r="X25" s="86" t="s">
        <v>87</v>
      </c>
      <c r="Y25" s="86" t="s">
        <v>87</v>
      </c>
      <c r="Z25" s="86" t="s">
        <v>87</v>
      </c>
      <c r="AA25" s="86" t="s">
        <v>87</v>
      </c>
      <c r="AB25" s="86">
        <v>964025.29</v>
      </c>
      <c r="AC25" s="86">
        <v>338966.51</v>
      </c>
      <c r="AD25" s="87"/>
    </row>
    <row r="26" spans="1:143" s="3" customFormat="1" x14ac:dyDescent="0.4">
      <c r="A26" s="94">
        <v>8</v>
      </c>
      <c r="B26" s="164" t="s">
        <v>93</v>
      </c>
      <c r="C26" s="91">
        <f t="shared" si="0"/>
        <v>10182085.869999999</v>
      </c>
      <c r="D26" s="86">
        <f>O26</f>
        <v>9437498.2799999993</v>
      </c>
      <c r="E26" s="86" t="s">
        <v>87</v>
      </c>
      <c r="F26" s="86" t="s">
        <v>87</v>
      </c>
      <c r="G26" s="86" t="s">
        <v>87</v>
      </c>
      <c r="H26" s="86" t="s">
        <v>87</v>
      </c>
      <c r="I26" s="86" t="s">
        <v>87</v>
      </c>
      <c r="J26" s="86" t="s">
        <v>87</v>
      </c>
      <c r="K26" s="86" t="s">
        <v>87</v>
      </c>
      <c r="L26" s="86" t="s">
        <v>87</v>
      </c>
      <c r="M26" s="86" t="s">
        <v>87</v>
      </c>
      <c r="N26" s="86" t="s">
        <v>87</v>
      </c>
      <c r="O26" s="86">
        <f>2532*3727.29</f>
        <v>9437498.2799999993</v>
      </c>
      <c r="P26" s="86" t="s">
        <v>87</v>
      </c>
      <c r="Q26" s="86" t="s">
        <v>87</v>
      </c>
      <c r="R26" s="86" t="s">
        <v>87</v>
      </c>
      <c r="S26" s="7" t="s">
        <v>87</v>
      </c>
      <c r="T26" s="86" t="s">
        <v>87</v>
      </c>
      <c r="U26" s="141" t="s">
        <v>87</v>
      </c>
      <c r="V26" s="86">
        <f>O26*1.5%</f>
        <v>141562.47</v>
      </c>
      <c r="W26" s="86" t="s">
        <v>87</v>
      </c>
      <c r="X26" s="86" t="s">
        <v>87</v>
      </c>
      <c r="Y26" s="86" t="s">
        <v>87</v>
      </c>
      <c r="Z26" s="86" t="s">
        <v>87</v>
      </c>
      <c r="AA26" s="86" t="s">
        <v>87</v>
      </c>
      <c r="AB26" s="86">
        <v>502717.96</v>
      </c>
      <c r="AC26" s="86">
        <v>100307.16</v>
      </c>
    </row>
    <row r="27" spans="1:143" s="3" customFormat="1" x14ac:dyDescent="0.4">
      <c r="A27" s="94">
        <v>9</v>
      </c>
      <c r="B27" s="164" t="s">
        <v>94</v>
      </c>
      <c r="C27" s="91">
        <v>6151633.3799999999</v>
      </c>
      <c r="D27" s="86">
        <f>O27</f>
        <v>5426403.4199999999</v>
      </c>
      <c r="E27" s="86" t="s">
        <v>87</v>
      </c>
      <c r="F27" s="86" t="s">
        <v>87</v>
      </c>
      <c r="G27" s="86" t="s">
        <v>87</v>
      </c>
      <c r="H27" s="86" t="s">
        <v>87</v>
      </c>
      <c r="I27" s="86" t="s">
        <v>87</v>
      </c>
      <c r="J27" s="86" t="s">
        <v>87</v>
      </c>
      <c r="K27" s="86" t="s">
        <v>87</v>
      </c>
      <c r="L27" s="86" t="s">
        <v>87</v>
      </c>
      <c r="M27" s="86" t="s">
        <v>87</v>
      </c>
      <c r="N27" s="86" t="s">
        <v>87</v>
      </c>
      <c r="O27" s="133">
        <f>1500.2*3617.12</f>
        <v>5426403.4199999999</v>
      </c>
      <c r="P27" s="86" t="s">
        <v>87</v>
      </c>
      <c r="Q27" s="86" t="s">
        <v>87</v>
      </c>
      <c r="R27" s="86" t="s">
        <v>87</v>
      </c>
      <c r="S27" s="7" t="s">
        <v>87</v>
      </c>
      <c r="T27" s="86" t="s">
        <v>87</v>
      </c>
      <c r="U27" s="141" t="s">
        <v>87</v>
      </c>
      <c r="V27" s="86">
        <f>O27*1.5%</f>
        <v>81396.05</v>
      </c>
      <c r="W27" s="86" t="s">
        <v>87</v>
      </c>
      <c r="X27" s="86" t="s">
        <v>87</v>
      </c>
      <c r="Y27" s="86" t="s">
        <v>87</v>
      </c>
      <c r="Z27" s="86" t="s">
        <v>87</v>
      </c>
      <c r="AA27" s="86" t="s">
        <v>87</v>
      </c>
      <c r="AB27" s="86">
        <v>458159.16</v>
      </c>
      <c r="AC27" s="86">
        <v>185674.75</v>
      </c>
    </row>
    <row r="28" spans="1:143" s="3" customFormat="1" x14ac:dyDescent="0.4">
      <c r="A28" s="94">
        <v>10</v>
      </c>
      <c r="B28" s="164" t="s">
        <v>36</v>
      </c>
      <c r="C28" s="91">
        <f>S28+V28+AB28+AC28</f>
        <v>15941858.25</v>
      </c>
      <c r="D28" s="86">
        <f>S28</f>
        <v>14740162.720000001</v>
      </c>
      <c r="E28" s="86" t="s">
        <v>87</v>
      </c>
      <c r="F28" s="86" t="s">
        <v>87</v>
      </c>
      <c r="G28" s="86" t="s">
        <v>87</v>
      </c>
      <c r="H28" s="86" t="s">
        <v>87</v>
      </c>
      <c r="I28" s="86" t="s">
        <v>87</v>
      </c>
      <c r="J28" s="86" t="s">
        <v>87</v>
      </c>
      <c r="K28" s="86" t="s">
        <v>87</v>
      </c>
      <c r="L28" s="86" t="s">
        <v>87</v>
      </c>
      <c r="M28" s="86" t="s">
        <v>87</v>
      </c>
      <c r="N28" s="86" t="s">
        <v>87</v>
      </c>
      <c r="O28" s="86" t="s">
        <v>87</v>
      </c>
      <c r="P28" s="86" t="s">
        <v>87</v>
      </c>
      <c r="Q28" s="151"/>
      <c r="R28" s="86" t="s">
        <v>87</v>
      </c>
      <c r="S28" s="7">
        <f>5566.8*2647.87</f>
        <v>14740162.720000001</v>
      </c>
      <c r="T28" s="86" t="s">
        <v>87</v>
      </c>
      <c r="U28" s="152"/>
      <c r="V28" s="86">
        <f>S28*1.5%</f>
        <v>221102.44</v>
      </c>
      <c r="W28" s="86" t="s">
        <v>87</v>
      </c>
      <c r="X28" s="86" t="s">
        <v>87</v>
      </c>
      <c r="Y28" s="86" t="s">
        <v>87</v>
      </c>
      <c r="Z28" s="86" t="s">
        <v>87</v>
      </c>
      <c r="AA28" s="86" t="s">
        <v>87</v>
      </c>
      <c r="AB28" s="86">
        <v>697578.25</v>
      </c>
      <c r="AC28" s="86">
        <v>283014.84000000003</v>
      </c>
    </row>
    <row r="29" spans="1:143" s="3" customFormat="1" x14ac:dyDescent="0.4">
      <c r="A29" s="94">
        <v>11</v>
      </c>
      <c r="B29" s="164" t="s">
        <v>35</v>
      </c>
      <c r="C29" s="91">
        <f t="shared" si="0"/>
        <v>13122719.82</v>
      </c>
      <c r="D29" s="86">
        <f>Q29+U29</f>
        <v>11867384.060000001</v>
      </c>
      <c r="E29" s="86" t="s">
        <v>87</v>
      </c>
      <c r="F29" s="86" t="s">
        <v>87</v>
      </c>
      <c r="G29" s="86" t="s">
        <v>87</v>
      </c>
      <c r="H29" s="86" t="s">
        <v>87</v>
      </c>
      <c r="I29" s="86" t="s">
        <v>87</v>
      </c>
      <c r="J29" s="86" t="s">
        <v>87</v>
      </c>
      <c r="K29" s="86" t="s">
        <v>87</v>
      </c>
      <c r="L29" s="86" t="s">
        <v>87</v>
      </c>
      <c r="M29" s="86" t="s">
        <v>87</v>
      </c>
      <c r="N29" s="86" t="s">
        <v>87</v>
      </c>
      <c r="O29" s="86" t="s">
        <v>87</v>
      </c>
      <c r="P29" s="86" t="s">
        <v>87</v>
      </c>
      <c r="Q29" s="86">
        <f>3841*1954.25</f>
        <v>7506274.25</v>
      </c>
      <c r="R29" s="86" t="s">
        <v>87</v>
      </c>
      <c r="S29" s="7" t="s">
        <v>87</v>
      </c>
      <c r="T29" s="86" t="s">
        <v>87</v>
      </c>
      <c r="U29" s="141">
        <f>3841*1135.41</f>
        <v>4361109.8099999996</v>
      </c>
      <c r="V29" s="86">
        <f>D29*1.5%</f>
        <v>178010.76</v>
      </c>
      <c r="W29" s="86" t="s">
        <v>87</v>
      </c>
      <c r="X29" s="86" t="s">
        <v>87</v>
      </c>
      <c r="Y29" s="86" t="s">
        <v>87</v>
      </c>
      <c r="Z29" s="86" t="s">
        <v>87</v>
      </c>
      <c r="AA29" s="86" t="s">
        <v>87</v>
      </c>
      <c r="AB29" s="86">
        <v>766391.78</v>
      </c>
      <c r="AC29" s="86">
        <v>310933.21999999997</v>
      </c>
    </row>
    <row r="30" spans="1:143" s="3" customFormat="1" x14ac:dyDescent="0.4">
      <c r="A30" s="94">
        <v>12</v>
      </c>
      <c r="B30" s="164" t="s">
        <v>95</v>
      </c>
      <c r="C30" s="91">
        <v>10268366.789999999</v>
      </c>
      <c r="D30" s="86">
        <f>O30</f>
        <v>9421098.1999999993</v>
      </c>
      <c r="E30" s="86" t="s">
        <v>87</v>
      </c>
      <c r="F30" s="86" t="s">
        <v>87</v>
      </c>
      <c r="G30" s="86" t="s">
        <v>87</v>
      </c>
      <c r="H30" s="86" t="s">
        <v>87</v>
      </c>
      <c r="I30" s="86" t="s">
        <v>87</v>
      </c>
      <c r="J30" s="86" t="s">
        <v>87</v>
      </c>
      <c r="K30" s="86" t="s">
        <v>87</v>
      </c>
      <c r="L30" s="86" t="s">
        <v>87</v>
      </c>
      <c r="M30" s="86" t="s">
        <v>87</v>
      </c>
      <c r="N30" s="86" t="s">
        <v>87</v>
      </c>
      <c r="O30" s="86">
        <f>2527.6*3727.29</f>
        <v>9421098.1999999993</v>
      </c>
      <c r="P30" s="86" t="s">
        <v>87</v>
      </c>
      <c r="Q30" s="86" t="s">
        <v>87</v>
      </c>
      <c r="R30" s="86" t="s">
        <v>87</v>
      </c>
      <c r="S30" s="7" t="s">
        <v>87</v>
      </c>
      <c r="T30" s="86" t="s">
        <v>87</v>
      </c>
      <c r="U30" s="141" t="s">
        <v>87</v>
      </c>
      <c r="V30" s="86">
        <f>O30*1.5%</f>
        <v>141316.47</v>
      </c>
      <c r="W30" s="86" t="s">
        <v>87</v>
      </c>
      <c r="X30" s="86" t="s">
        <v>87</v>
      </c>
      <c r="Y30" s="86" t="s">
        <v>87</v>
      </c>
      <c r="Z30" s="86" t="s">
        <v>87</v>
      </c>
      <c r="AA30" s="86" t="s">
        <v>87</v>
      </c>
      <c r="AB30" s="86">
        <v>502203.04</v>
      </c>
      <c r="AC30" s="86">
        <v>203749.08</v>
      </c>
    </row>
    <row r="31" spans="1:143" s="3" customFormat="1" x14ac:dyDescent="0.4">
      <c r="A31" s="92"/>
      <c r="B31" s="112" t="s">
        <v>106</v>
      </c>
      <c r="C31" s="142">
        <f>SUM(C22:C30)</f>
        <v>142039327.52000001</v>
      </c>
      <c r="D31" s="142">
        <f>SUM(D22:D30)</f>
        <v>131037655.58</v>
      </c>
      <c r="E31" s="142">
        <v>8748900.3300000001</v>
      </c>
      <c r="F31" s="142">
        <v>5213375.04</v>
      </c>
      <c r="G31" s="142">
        <f>SUM(G22:G30)</f>
        <v>9395142.0800000001</v>
      </c>
      <c r="H31" s="142">
        <f>SUM(H22:H30)</f>
        <v>21296717.609999999</v>
      </c>
      <c r="I31" s="142" t="s">
        <v>87</v>
      </c>
      <c r="J31" s="142">
        <f>SUM(J22:J30)</f>
        <v>3755547.9</v>
      </c>
      <c r="K31" s="142" t="s">
        <v>87</v>
      </c>
      <c r="L31" s="142" t="s">
        <v>87</v>
      </c>
      <c r="M31" s="142" t="s">
        <v>87</v>
      </c>
      <c r="N31" s="142" t="s">
        <v>87</v>
      </c>
      <c r="O31" s="142">
        <v>43054514.149999999</v>
      </c>
      <c r="P31" s="142">
        <f>SUM(P22:P26)</f>
        <v>0</v>
      </c>
      <c r="Q31" s="142">
        <f>SUM(Q22:Q30)</f>
        <v>18315621.850000001</v>
      </c>
      <c r="R31" s="142" t="s">
        <v>87</v>
      </c>
      <c r="S31" s="142">
        <v>29386061.27</v>
      </c>
      <c r="T31" s="142" t="s">
        <v>87</v>
      </c>
      <c r="U31" s="142">
        <f>SUM(U22:U30)</f>
        <v>10641289.6</v>
      </c>
      <c r="V31" s="142">
        <v>2691703.39</v>
      </c>
      <c r="W31" s="142" t="s">
        <v>87</v>
      </c>
      <c r="X31" s="142" t="s">
        <v>87</v>
      </c>
      <c r="Y31" s="142" t="s">
        <v>87</v>
      </c>
      <c r="Z31" s="142" t="s">
        <v>87</v>
      </c>
      <c r="AA31" s="142" t="s">
        <v>87</v>
      </c>
      <c r="AB31" s="142">
        <f>SUM(AB22:AB30)</f>
        <v>6613052.5700000003</v>
      </c>
      <c r="AC31" s="142">
        <f>SUM(AC22:AC30)</f>
        <v>2423054.54</v>
      </c>
      <c r="AD31" s="87"/>
    </row>
    <row r="32" spans="1:143" x14ac:dyDescent="0.4">
      <c r="A32" s="236">
        <v>2025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5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90" s="90" customFormat="1" x14ac:dyDescent="0.4">
      <c r="A33" s="84">
        <v>6</v>
      </c>
      <c r="B33" s="150" t="s">
        <v>34</v>
      </c>
      <c r="C33" s="86">
        <v>20293715.219999999</v>
      </c>
      <c r="D33" s="141">
        <f>E33+F33+G33+H33+J33</f>
        <v>18827449.75</v>
      </c>
      <c r="E33" s="141">
        <f>3957.5*589.88+1197448.78</f>
        <v>3531898.8799999999</v>
      </c>
      <c r="F33" s="141">
        <f>3957.5*596.38</f>
        <v>2360173.85</v>
      </c>
      <c r="G33" s="141">
        <f>3957.5*1074.75</f>
        <v>4253323.13</v>
      </c>
      <c r="H33" s="141">
        <f>3957.5*871.5+2501151.24</f>
        <v>5950112.4900000002</v>
      </c>
      <c r="I33" s="141" t="s">
        <v>87</v>
      </c>
      <c r="J33" s="141">
        <f>3957.5*690.32</f>
        <v>2731941.4</v>
      </c>
      <c r="K33" s="141" t="s">
        <v>87</v>
      </c>
      <c r="L33" s="141" t="s">
        <v>87</v>
      </c>
      <c r="M33" s="141" t="s">
        <v>87</v>
      </c>
      <c r="N33" s="141" t="s">
        <v>87</v>
      </c>
      <c r="O33" s="141" t="s">
        <v>87</v>
      </c>
      <c r="P33" s="141" t="s">
        <v>87</v>
      </c>
      <c r="Q33" s="141" t="s">
        <v>87</v>
      </c>
      <c r="R33" s="141" t="s">
        <v>87</v>
      </c>
      <c r="S33" s="141" t="s">
        <v>87</v>
      </c>
      <c r="T33" s="141" t="s">
        <v>87</v>
      </c>
      <c r="U33" s="141" t="s">
        <v>87</v>
      </c>
      <c r="V33" s="141">
        <f>D33*1.5%</f>
        <v>282411.75</v>
      </c>
      <c r="W33" s="141" t="s">
        <v>87</v>
      </c>
      <c r="X33" s="141" t="s">
        <v>87</v>
      </c>
      <c r="Y33" s="141" t="s">
        <v>87</v>
      </c>
      <c r="Z33" s="141" t="s">
        <v>87</v>
      </c>
      <c r="AA33" s="141" t="s">
        <v>87</v>
      </c>
      <c r="AB33" s="141">
        <v>875880.37</v>
      </c>
      <c r="AC33" s="141">
        <v>307973.34999999998</v>
      </c>
      <c r="AD33" s="88"/>
      <c r="AE33" s="88"/>
      <c r="AF33" s="88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</row>
    <row r="34" spans="1:90" s="3" customFormat="1" x14ac:dyDescent="0.4">
      <c r="A34" s="84">
        <v>8</v>
      </c>
      <c r="B34" s="150" t="s">
        <v>91</v>
      </c>
      <c r="C34" s="7">
        <f t="shared" ref="C34:C35" si="1">D34+V34+AB34+AC34</f>
        <v>10184593.17</v>
      </c>
      <c r="D34" s="7">
        <f>O34</f>
        <v>9345806.9499999993</v>
      </c>
      <c r="E34" s="7" t="s">
        <v>87</v>
      </c>
      <c r="F34" s="7" t="s">
        <v>87</v>
      </c>
      <c r="G34" s="7" t="s">
        <v>87</v>
      </c>
      <c r="H34" s="7" t="s">
        <v>87</v>
      </c>
      <c r="I34" s="7" t="s">
        <v>87</v>
      </c>
      <c r="J34" s="7" t="s">
        <v>87</v>
      </c>
      <c r="K34" s="7" t="s">
        <v>87</v>
      </c>
      <c r="L34" s="7" t="s">
        <v>87</v>
      </c>
      <c r="M34" s="7" t="s">
        <v>87</v>
      </c>
      <c r="N34" s="85" t="s">
        <v>87</v>
      </c>
      <c r="O34" s="7">
        <f>'Разд 1'!L41*3727.29</f>
        <v>9345806.9499999993</v>
      </c>
      <c r="P34" s="7" t="s">
        <v>87</v>
      </c>
      <c r="Q34" s="7" t="s">
        <v>87</v>
      </c>
      <c r="R34" s="85" t="s">
        <v>87</v>
      </c>
      <c r="S34" s="7" t="s">
        <v>87</v>
      </c>
      <c r="T34" s="7"/>
      <c r="U34" s="7" t="s">
        <v>87</v>
      </c>
      <c r="V34" s="7">
        <f>O34*1.5%</f>
        <v>140187.1</v>
      </c>
      <c r="W34" s="7" t="s">
        <v>87</v>
      </c>
      <c r="X34" s="7" t="s">
        <v>87</v>
      </c>
      <c r="Y34" s="7" t="s">
        <v>87</v>
      </c>
      <c r="Z34" s="7" t="s">
        <v>87</v>
      </c>
      <c r="AA34" s="7" t="s">
        <v>87</v>
      </c>
      <c r="AB34" s="7">
        <v>496972.25</v>
      </c>
      <c r="AC34" s="7">
        <v>201626.87</v>
      </c>
      <c r="AD34" s="88"/>
      <c r="AE34" s="88"/>
      <c r="AF34" s="88"/>
      <c r="AG34" s="89"/>
    </row>
    <row r="35" spans="1:90" s="3" customFormat="1" x14ac:dyDescent="0.4">
      <c r="A35" s="84">
        <v>11</v>
      </c>
      <c r="B35" s="168" t="s">
        <v>35</v>
      </c>
      <c r="C35" s="86">
        <f t="shared" si="1"/>
        <v>23295511.170000002</v>
      </c>
      <c r="D35" s="141">
        <f>F35+H35+J35+O35</f>
        <v>22951242.530000001</v>
      </c>
      <c r="E35" s="141" t="s">
        <v>87</v>
      </c>
      <c r="F35" s="141"/>
      <c r="G35" s="141" t="s">
        <v>87</v>
      </c>
      <c r="H35" s="141"/>
      <c r="I35" s="141" t="s">
        <v>87</v>
      </c>
      <c r="J35" s="141"/>
      <c r="K35" s="141" t="s">
        <v>87</v>
      </c>
      <c r="L35" s="141" t="s">
        <v>87</v>
      </c>
      <c r="M35" s="141" t="s">
        <v>87</v>
      </c>
      <c r="N35" s="141" t="s">
        <v>87</v>
      </c>
      <c r="O35" s="91">
        <f>3841*5975.33</f>
        <v>22951242.530000001</v>
      </c>
      <c r="P35" s="141" t="s">
        <v>87</v>
      </c>
      <c r="Q35" s="141" t="s">
        <v>87</v>
      </c>
      <c r="R35" s="141" t="s">
        <v>87</v>
      </c>
      <c r="S35" s="141" t="s">
        <v>87</v>
      </c>
      <c r="T35" s="141" t="s">
        <v>87</v>
      </c>
      <c r="U35" s="141" t="s">
        <v>87</v>
      </c>
      <c r="V35" s="141">
        <f>D35*1.5%</f>
        <v>344268.64</v>
      </c>
      <c r="W35" s="141" t="s">
        <v>87</v>
      </c>
      <c r="X35" s="141" t="s">
        <v>87</v>
      </c>
      <c r="Y35" s="141" t="s">
        <v>87</v>
      </c>
      <c r="Z35" s="141" t="s">
        <v>87</v>
      </c>
      <c r="AA35" s="141" t="s">
        <v>87</v>
      </c>
      <c r="AB35" s="141"/>
      <c r="AC35" s="141"/>
      <c r="AD35" s="88"/>
      <c r="AE35" s="88"/>
      <c r="AF35" s="88"/>
      <c r="AG35" s="89"/>
    </row>
    <row r="36" spans="1:90" s="160" customFormat="1" x14ac:dyDescent="0.4">
      <c r="A36" s="153">
        <v>12</v>
      </c>
      <c r="B36" s="154" t="s">
        <v>108</v>
      </c>
      <c r="C36" s="155">
        <f>D36+V36</f>
        <v>0</v>
      </c>
      <c r="D36" s="156">
        <f>F36</f>
        <v>0</v>
      </c>
      <c r="E36" s="161"/>
      <c r="F36" s="162"/>
      <c r="G36" s="157"/>
      <c r="H36" s="157"/>
      <c r="I36" s="157"/>
      <c r="J36" s="157">
        <f>ROUND(690.32*4717.8,2)</f>
        <v>3256791.7</v>
      </c>
      <c r="K36" s="157"/>
      <c r="L36" s="157"/>
      <c r="M36" s="157"/>
      <c r="N36" s="157"/>
      <c r="O36" s="158"/>
      <c r="P36" s="157"/>
      <c r="Q36" s="157"/>
      <c r="R36" s="157"/>
      <c r="S36" s="157"/>
      <c r="T36" s="157"/>
      <c r="U36" s="157"/>
      <c r="V36" s="157">
        <f>F36*1.5%</f>
        <v>0</v>
      </c>
      <c r="W36" s="157"/>
      <c r="X36" s="157"/>
      <c r="Y36" s="157"/>
      <c r="Z36" s="157"/>
      <c r="AA36" s="157"/>
      <c r="AB36" s="157"/>
      <c r="AC36" s="157"/>
      <c r="AD36" s="156"/>
      <c r="AE36" s="156"/>
      <c r="AF36" s="156"/>
      <c r="AG36" s="159"/>
    </row>
    <row r="37" spans="1:90" s="3" customFormat="1" x14ac:dyDescent="0.4">
      <c r="A37" s="84"/>
      <c r="B37" s="92" t="s">
        <v>107</v>
      </c>
      <c r="C37" s="142">
        <f>SUM(C33:C36)</f>
        <v>53773819.560000002</v>
      </c>
      <c r="D37" s="142">
        <f>SUM(D33:D36)</f>
        <v>51124499.229999997</v>
      </c>
      <c r="E37" s="142" t="e">
        <f>#REF!+E33</f>
        <v>#REF!</v>
      </c>
      <c r="F37" s="142" t="e">
        <f>#REF!+F33+F35</f>
        <v>#REF!</v>
      </c>
      <c r="G37" s="142" t="e">
        <f>#REF!+G33</f>
        <v>#REF!</v>
      </c>
      <c r="H37" s="142" t="e">
        <f>#REF!+H33+H35</f>
        <v>#REF!</v>
      </c>
      <c r="I37" s="142" t="s">
        <v>87</v>
      </c>
      <c r="J37" s="142" t="e">
        <f>#REF!+J33+J35</f>
        <v>#REF!</v>
      </c>
      <c r="K37" s="142" t="s">
        <v>87</v>
      </c>
      <c r="L37" s="142" t="s">
        <v>87</v>
      </c>
      <c r="M37" s="142" t="s">
        <v>87</v>
      </c>
      <c r="N37" s="142" t="s">
        <v>87</v>
      </c>
      <c r="O37" s="142"/>
      <c r="P37" s="142" t="s">
        <v>87</v>
      </c>
      <c r="Q37" s="142"/>
      <c r="R37" s="142" t="s">
        <v>87</v>
      </c>
      <c r="S37" s="142" t="s">
        <v>87</v>
      </c>
      <c r="T37" s="142" t="s">
        <v>87</v>
      </c>
      <c r="U37" s="142">
        <v>10530360.039999999</v>
      </c>
      <c r="V37" s="142">
        <v>2648070.1</v>
      </c>
      <c r="W37" s="142" t="s">
        <v>87</v>
      </c>
      <c r="X37" s="142" t="s">
        <v>87</v>
      </c>
      <c r="Y37" s="142" t="s">
        <v>87</v>
      </c>
      <c r="Z37" s="142" t="e">
        <f>#REF!+#REF!</f>
        <v>#REF!</v>
      </c>
      <c r="AA37" s="142" t="s">
        <v>87</v>
      </c>
      <c r="AB37" s="142">
        <f>SUM(AB33:AB36)</f>
        <v>1372852.62</v>
      </c>
      <c r="AC37" s="142">
        <f>SUM(AC33:AC36)</f>
        <v>509600.22</v>
      </c>
    </row>
    <row r="38" spans="1:90" x14ac:dyDescent="0.4">
      <c r="A38" s="3"/>
      <c r="B38" s="226"/>
      <c r="C38" s="226"/>
      <c r="D38" s="226"/>
      <c r="E38" s="226"/>
      <c r="F38" s="226"/>
      <c r="G38" s="226"/>
      <c r="H38" s="226"/>
      <c r="I38" s="226"/>
      <c r="J38" s="22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90" x14ac:dyDescent="0.4">
      <c r="B39" s="227"/>
      <c r="C39" s="227"/>
      <c r="D39" s="227"/>
      <c r="E39" s="227"/>
      <c r="F39" s="227"/>
      <c r="G39" s="227"/>
      <c r="H39" s="227"/>
      <c r="I39" s="227"/>
      <c r="J39" s="227"/>
      <c r="V39" s="117"/>
    </row>
    <row r="40" spans="1:90" x14ac:dyDescent="0.4">
      <c r="C40" s="117"/>
      <c r="D40" s="117"/>
      <c r="E40" s="117"/>
      <c r="G40" s="117"/>
      <c r="H40" s="117"/>
      <c r="O40" s="117"/>
      <c r="S40" s="117"/>
      <c r="U40" s="117"/>
    </row>
    <row r="41" spans="1:90" x14ac:dyDescent="0.4">
      <c r="B41" s="3"/>
      <c r="C41" s="106"/>
      <c r="D41" s="3"/>
      <c r="E41" s="87"/>
      <c r="F41" s="87"/>
      <c r="G41" s="87"/>
      <c r="H41" s="87"/>
      <c r="I41" s="3"/>
      <c r="J41" s="3"/>
      <c r="K41" s="3"/>
      <c r="L41" s="3"/>
      <c r="M41" s="3"/>
      <c r="N41" s="3"/>
      <c r="O41" s="3"/>
      <c r="P41" s="87"/>
      <c r="Q41" s="3"/>
      <c r="R41" s="3"/>
      <c r="V41" s="117"/>
    </row>
    <row r="42" spans="1:90" x14ac:dyDescent="0.4">
      <c r="B42" s="3"/>
      <c r="C42" s="107"/>
      <c r="D42" s="87"/>
      <c r="E42" s="3"/>
      <c r="F42" s="3"/>
      <c r="G42" s="3"/>
      <c r="H42" s="3"/>
      <c r="I42" s="3"/>
      <c r="J42" s="3"/>
      <c r="K42" s="3"/>
      <c r="L42" s="3"/>
      <c r="M42" s="3"/>
      <c r="N42" s="87"/>
      <c r="O42" s="3"/>
      <c r="P42" s="3"/>
      <c r="Q42" s="3"/>
      <c r="R42" s="3"/>
    </row>
    <row r="43" spans="1:90" x14ac:dyDescent="0.4">
      <c r="B43" s="3"/>
      <c r="C43" s="87"/>
      <c r="D43" s="87">
        <f>C20+C31+C37</f>
        <v>389333055.13999999</v>
      </c>
      <c r="E43" s="87">
        <f>D43/3</f>
        <v>129777685.05</v>
      </c>
      <c r="F43" s="3"/>
      <c r="G43" s="3"/>
      <c r="H43" s="3"/>
      <c r="I43" s="3"/>
      <c r="J43" s="3"/>
      <c r="K43" s="3"/>
      <c r="L43" s="3"/>
      <c r="M43" s="3"/>
      <c r="N43" s="87"/>
      <c r="O43" s="3"/>
      <c r="P43" s="3"/>
      <c r="Q43" s="3"/>
      <c r="R43" s="3"/>
    </row>
    <row r="44" spans="1:90" x14ac:dyDescent="0.4">
      <c r="B44" s="108"/>
      <c r="C44" s="3"/>
      <c r="D44" s="87"/>
      <c r="E44" s="87"/>
      <c r="F44" s="87"/>
      <c r="G44" s="3"/>
      <c r="H44" s="87"/>
      <c r="I44" s="3"/>
      <c r="J44" s="3"/>
      <c r="K44" s="3"/>
      <c r="L44" s="3"/>
      <c r="M44" s="3"/>
      <c r="N44" s="87"/>
      <c r="O44" s="3"/>
      <c r="P44" s="3"/>
      <c r="Q44" s="3"/>
      <c r="R44" s="3"/>
    </row>
    <row r="45" spans="1:90" x14ac:dyDescent="0.4">
      <c r="B45" s="109"/>
      <c r="C45" s="109"/>
      <c r="D45" s="109"/>
      <c r="E45" s="10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90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90" x14ac:dyDescent="0.4">
      <c r="B47" s="3"/>
      <c r="C47" s="3"/>
      <c r="D47" s="3"/>
      <c r="E47" s="3"/>
      <c r="F47" s="87"/>
      <c r="G47" s="87">
        <f>F36</f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90" x14ac:dyDescent="0.4">
      <c r="B48" s="110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x14ac:dyDescent="0.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</sheetData>
  <mergeCells count="24">
    <mergeCell ref="B38:J38"/>
    <mergeCell ref="B39:J39"/>
    <mergeCell ref="AA5:AA6"/>
    <mergeCell ref="AB5:AB6"/>
    <mergeCell ref="AC5:AC6"/>
    <mergeCell ref="A9:AC9"/>
    <mergeCell ref="A21:AC21"/>
    <mergeCell ref="A32:AC32"/>
    <mergeCell ref="P5:Q6"/>
    <mergeCell ref="R5:S6"/>
    <mergeCell ref="T5:U6"/>
    <mergeCell ref="V5:V6"/>
    <mergeCell ref="W5:X6"/>
    <mergeCell ref="Y5:Z6"/>
    <mergeCell ref="S2:AB2"/>
    <mergeCell ref="A3:AB3"/>
    <mergeCell ref="A4:A7"/>
    <mergeCell ref="B4:B7"/>
    <mergeCell ref="C4:C6"/>
    <mergeCell ref="D4:U4"/>
    <mergeCell ref="V4:AC4"/>
    <mergeCell ref="D5:K5"/>
    <mergeCell ref="L5:M6"/>
    <mergeCell ref="N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 1</vt:lpstr>
      <vt:lpstr>Разд 2</vt:lpstr>
      <vt:lpstr>Разд 3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Ахмедова А.Е.</dc:creator>
  <cp:lastModifiedBy>User</cp:lastModifiedBy>
  <cp:lastPrinted>2022-04-22T09:40:53Z</cp:lastPrinted>
  <dcterms:created xsi:type="dcterms:W3CDTF">2019-06-04T06:21:32Z</dcterms:created>
  <dcterms:modified xsi:type="dcterms:W3CDTF">2022-04-22T11:12:20Z</dcterms:modified>
</cp:coreProperties>
</file>