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2240" windowHeight="7620" firstSheet="2" activeTab="12"/>
  </bookViews>
  <sheets>
    <sheet name="Базовый" sheetId="38" state="hidden" r:id="rId1"/>
    <sheet name="Внимание!" sheetId="25" state="hidden" r:id="rId2"/>
    <sheet name="1.1." sheetId="21" r:id="rId3"/>
    <sheet name="1.2." sheetId="22" state="hidden" r:id="rId4"/>
    <sheet name="2.1." sheetId="30" r:id="rId5"/>
    <sheet name="2.2." sheetId="31" state="hidden" r:id="rId6"/>
    <sheet name="3.1." sheetId="40" r:id="rId7"/>
    <sheet name="3.2." sheetId="41" state="hidden" r:id="rId8"/>
    <sheet name="4.1" sheetId="16" r:id="rId9"/>
    <sheet name="4.2" sheetId="42" r:id="rId10"/>
    <sheet name="5.1" sheetId="17" r:id="rId11"/>
    <sheet name="5.2" sheetId="43" r:id="rId12"/>
    <sheet name="6." sheetId="20" r:id="rId13"/>
  </sheets>
  <definedNames>
    <definedName name="_xlnm.Print_Titles" localSheetId="2">'1.1.'!$9:$10</definedName>
    <definedName name="_xlnm.Print_Titles" localSheetId="3">'1.2.'!$7:$8</definedName>
    <definedName name="_xlnm.Print_Titles" localSheetId="4">'2.1.'!$8:$9</definedName>
    <definedName name="_xlnm.Print_Titles" localSheetId="5">'2.2.'!$6:$7</definedName>
    <definedName name="_xlnm.Print_Titles" localSheetId="6">'3.1.'!$8:$9</definedName>
    <definedName name="_xlnm.Print_Titles" localSheetId="7">'3.2.'!$6:$7</definedName>
    <definedName name="_xlnm.Print_Titles" localSheetId="10">'5.1'!$8:$11</definedName>
    <definedName name="_xlnm.Print_Titles" localSheetId="0">Базовый!$1:$1</definedName>
    <definedName name="_xlnm.Print_Area" localSheetId="2">'1.1.'!$A$1:$D$110</definedName>
    <definedName name="_xlnm.Print_Area" localSheetId="3">'1.2.'!$A$1:$F$101</definedName>
    <definedName name="_xlnm.Print_Area" localSheetId="4">'2.1.'!$A$1:$D$40</definedName>
    <definedName name="_xlnm.Print_Area" localSheetId="5">'2.2.'!$A$1:$F$36</definedName>
    <definedName name="_xlnm.Print_Area" localSheetId="6">'3.1.'!$A$1:$D$44</definedName>
    <definedName name="_xlnm.Print_Area" localSheetId="7">'3.2.'!$A$1:$F$35</definedName>
    <definedName name="_xlnm.Print_Area" localSheetId="9">'4.2'!$A$1:$F$17</definedName>
    <definedName name="_xlnm.Print_Area" localSheetId="10">'5.1'!$A$1:$H$13</definedName>
    <definedName name="_xlnm.Print_Area" localSheetId="11">'5.2'!$A$1:$G$12</definedName>
    <definedName name="_xlnm.Print_Area" localSheetId="12">'6.'!$A$1:$G$18</definedName>
    <definedName name="_xlnm.Print_Area" localSheetId="0">Базовый!$A$1:$I$99</definedName>
  </definedNames>
  <calcPr calcId="145621"/>
</workbook>
</file>

<file path=xl/calcChain.xml><?xml version="1.0" encoding="utf-8"?>
<calcChain xmlns="http://schemas.openxmlformats.org/spreadsheetml/2006/main">
  <c r="C17" i="21" l="1"/>
  <c r="B13" i="22" s="1"/>
  <c r="C20" i="21"/>
  <c r="B16" i="22" s="1"/>
  <c r="C21" i="21"/>
  <c r="B17" i="22" s="1"/>
  <c r="C22" i="21"/>
  <c r="B18" i="22" s="1"/>
  <c r="C23" i="21"/>
  <c r="B19" i="22" s="1"/>
  <c r="C24" i="21"/>
  <c r="B20" i="22" s="1"/>
  <c r="C25" i="21"/>
  <c r="B21" i="22" s="1"/>
  <c r="C27" i="21"/>
  <c r="B23" i="22" s="1"/>
  <c r="C28" i="21"/>
  <c r="B24" i="22" s="1"/>
  <c r="C30" i="21"/>
  <c r="B26" i="22" s="1"/>
  <c r="C33" i="21"/>
  <c r="B29" i="22" s="1"/>
  <c r="C34" i="21"/>
  <c r="B30" i="22" s="1"/>
  <c r="C36" i="21"/>
  <c r="B32" i="22" s="1"/>
  <c r="C41" i="21"/>
  <c r="B37" i="22" s="1"/>
  <c r="C42" i="21"/>
  <c r="B38" i="22" s="1"/>
  <c r="C44" i="21"/>
  <c r="B40" i="22" s="1"/>
  <c r="C45" i="21"/>
  <c r="B41" i="22" s="1"/>
  <c r="C46" i="21"/>
  <c r="B42" i="22" s="1"/>
  <c r="C47" i="21"/>
  <c r="B43" i="22" s="1"/>
  <c r="C48" i="21"/>
  <c r="B44" i="22" s="1"/>
  <c r="C49" i="21"/>
  <c r="B45" i="22" s="1"/>
  <c r="C50" i="21"/>
  <c r="B46" i="22" s="1"/>
  <c r="C51" i="21"/>
  <c r="B47" i="22" s="1"/>
  <c r="C52" i="21"/>
  <c r="B48" i="22" s="1"/>
  <c r="C55" i="21"/>
  <c r="B51" i="22"/>
  <c r="C58" i="21"/>
  <c r="B54" i="22" s="1"/>
  <c r="C59" i="21"/>
  <c r="B55" i="22" s="1"/>
  <c r="C60" i="21"/>
  <c r="B56" i="22" s="1"/>
  <c r="C61" i="21"/>
  <c r="B57" i="22" s="1"/>
  <c r="C62" i="21"/>
  <c r="B58" i="22" s="1"/>
  <c r="C65" i="21"/>
  <c r="B61" i="22" s="1"/>
  <c r="C66" i="21"/>
  <c r="B62" i="22" s="1"/>
  <c r="C67" i="21"/>
  <c r="B63" i="22" s="1"/>
  <c r="C68" i="21"/>
  <c r="B64" i="22" s="1"/>
  <c r="C69" i="21"/>
  <c r="B65" i="22" s="1"/>
  <c r="C71" i="21"/>
  <c r="B67" i="22" s="1"/>
  <c r="C70" i="21"/>
  <c r="B66" i="22" s="1"/>
  <c r="C77" i="21"/>
  <c r="B73" i="22" s="1"/>
  <c r="C85" i="21"/>
  <c r="B81" i="22" s="1"/>
  <c r="D81" i="22"/>
  <c r="C86" i="21"/>
  <c r="B82" i="22" s="1"/>
  <c r="D82" i="22"/>
  <c r="C87" i="21"/>
  <c r="B83" i="22" s="1"/>
  <c r="D83" i="22"/>
  <c r="C88" i="21"/>
  <c r="B84" i="22" s="1"/>
  <c r="D84" i="22"/>
  <c r="C89" i="21"/>
  <c r="B85" i="22" s="1"/>
  <c r="D85" i="22"/>
  <c r="C93" i="21"/>
  <c r="B89" i="22"/>
  <c r="C94" i="21"/>
  <c r="B90" i="22"/>
  <c r="C97" i="21"/>
  <c r="B93" i="22" s="1"/>
  <c r="C98" i="21"/>
  <c r="B94" i="22" s="1"/>
  <c r="C99" i="21"/>
  <c r="B95" i="22" s="1"/>
  <c r="C102" i="21"/>
  <c r="B98" i="22" s="1"/>
  <c r="C13" i="30"/>
  <c r="B11" i="31" s="1"/>
  <c r="C30" i="30"/>
  <c r="B30" i="31"/>
  <c r="C31" i="30"/>
  <c r="B31" i="31"/>
  <c r="E15" i="31"/>
  <c r="E17" i="31"/>
  <c r="E19" i="31"/>
  <c r="E21" i="31"/>
  <c r="E23" i="31"/>
  <c r="E25" i="31"/>
  <c r="E34" i="31"/>
  <c r="C13" i="40"/>
  <c r="B11" i="41" s="1"/>
  <c r="E12" i="41"/>
  <c r="E13" i="41"/>
  <c r="C31" i="40"/>
  <c r="B29" i="41" s="1"/>
  <c r="C32" i="40"/>
  <c r="B30" i="41" s="1"/>
  <c r="E31" i="41"/>
  <c r="E32" i="41"/>
  <c r="E14" i="41"/>
  <c r="E16" i="41"/>
  <c r="E18" i="41"/>
  <c r="E20" i="41"/>
  <c r="E22" i="41"/>
  <c r="E24" i="41"/>
  <c r="E33" i="41"/>
  <c r="H71" i="38"/>
  <c r="D77" i="22" s="1"/>
  <c r="I111" i="38"/>
  <c r="E88" i="38"/>
  <c r="E87" i="38"/>
  <c r="E85" i="38"/>
  <c r="E84" i="38"/>
  <c r="E86" i="38"/>
  <c r="E83" i="38"/>
  <c r="E7" i="38"/>
  <c r="E6" i="38"/>
  <c r="E5" i="38"/>
  <c r="H5" i="38" s="1"/>
  <c r="I98" i="38"/>
  <c r="I97" i="38" s="1"/>
  <c r="C12" i="43"/>
  <c r="E100" i="22"/>
  <c r="B77" i="21"/>
  <c r="B74" i="21"/>
  <c r="B75" i="21"/>
  <c r="B73" i="21"/>
  <c r="H67" i="38"/>
  <c r="D73" i="22" s="1"/>
  <c r="I67" i="38"/>
  <c r="I66" i="38" s="1"/>
  <c r="H65" i="38"/>
  <c r="D71" i="22" s="1"/>
  <c r="H64" i="38"/>
  <c r="D70" i="22" s="1"/>
  <c r="H63" i="38"/>
  <c r="D69" i="22" s="1"/>
  <c r="C65" i="38"/>
  <c r="C75" i="21" s="1"/>
  <c r="B71" i="22" s="1"/>
  <c r="E71" i="22" s="1"/>
  <c r="C64" i="38"/>
  <c r="C74" i="21" s="1"/>
  <c r="B70" i="22" s="1"/>
  <c r="I64" i="38"/>
  <c r="C63" i="38"/>
  <c r="C73" i="21" s="1"/>
  <c r="B69" i="22" s="1"/>
  <c r="E69" i="22" s="1"/>
  <c r="H91" i="38"/>
  <c r="D93" i="22" s="1"/>
  <c r="H24" i="38"/>
  <c r="D30" i="22" s="1"/>
  <c r="B86" i="21"/>
  <c r="B87" i="21"/>
  <c r="B88" i="21"/>
  <c r="B89" i="21"/>
  <c r="B85" i="21"/>
  <c r="I77" i="38"/>
  <c r="I76" i="38"/>
  <c r="I78" i="38"/>
  <c r="B32" i="40"/>
  <c r="A32" i="40"/>
  <c r="A30" i="41"/>
  <c r="B31" i="40"/>
  <c r="A31" i="40"/>
  <c r="A29" i="41" s="1"/>
  <c r="B13" i="40"/>
  <c r="A13" i="40"/>
  <c r="A11" i="41" s="1"/>
  <c r="A31" i="31"/>
  <c r="A30" i="31"/>
  <c r="A11" i="31"/>
  <c r="H17" i="38"/>
  <c r="D23" i="22" s="1"/>
  <c r="H20" i="38"/>
  <c r="D26" i="22" s="1"/>
  <c r="A17" i="21"/>
  <c r="B102" i="21"/>
  <c r="B101" i="21"/>
  <c r="B98" i="21"/>
  <c r="B99" i="21"/>
  <c r="B97" i="21"/>
  <c r="B66" i="21"/>
  <c r="B67" i="21"/>
  <c r="B68" i="21"/>
  <c r="B69" i="21"/>
  <c r="B70" i="21"/>
  <c r="B71" i="21"/>
  <c r="B65" i="21"/>
  <c r="B45" i="21"/>
  <c r="B46" i="21"/>
  <c r="B47" i="21"/>
  <c r="B48" i="21"/>
  <c r="B49" i="21"/>
  <c r="B50" i="21"/>
  <c r="B51" i="21"/>
  <c r="B52" i="21"/>
  <c r="B44" i="21"/>
  <c r="B39" i="21"/>
  <c r="B40" i="21"/>
  <c r="B41" i="21"/>
  <c r="B42" i="21"/>
  <c r="B38" i="21"/>
  <c r="B36" i="21"/>
  <c r="B34" i="21"/>
  <c r="B33" i="21"/>
  <c r="B30" i="21"/>
  <c r="B28" i="21"/>
  <c r="B27" i="21"/>
  <c r="B21" i="21"/>
  <c r="B22" i="21"/>
  <c r="B23" i="21"/>
  <c r="B24" i="21"/>
  <c r="B25" i="21"/>
  <c r="B20" i="21"/>
  <c r="H84" i="38"/>
  <c r="D30" i="31" s="1"/>
  <c r="E30" i="31" s="1"/>
  <c r="H85" i="38"/>
  <c r="D29" i="41" s="1"/>
  <c r="H86" i="38"/>
  <c r="D90" i="22" s="1"/>
  <c r="E90" i="22" s="1"/>
  <c r="H87" i="38"/>
  <c r="D31" i="31" s="1"/>
  <c r="E31" i="31" s="1"/>
  <c r="H88" i="38"/>
  <c r="D30" i="41" s="1"/>
  <c r="H83" i="38"/>
  <c r="D89" i="22" s="1"/>
  <c r="E89" i="22" s="1"/>
  <c r="E88" i="22" s="1"/>
  <c r="H7" i="38"/>
  <c r="D11" i="41" s="1"/>
  <c r="H6" i="38"/>
  <c r="D11" i="31" s="1"/>
  <c r="I20" i="38"/>
  <c r="H46" i="38"/>
  <c r="D52" i="22" s="1"/>
  <c r="H47" i="38"/>
  <c r="D53" i="22" s="1"/>
  <c r="C47" i="38"/>
  <c r="C57" i="21" s="1"/>
  <c r="B53" i="22" s="1"/>
  <c r="C46" i="38"/>
  <c r="C56" i="21" s="1"/>
  <c r="B52" i="22" s="1"/>
  <c r="E52" i="22" s="1"/>
  <c r="H52" i="38"/>
  <c r="D58" i="22" s="1"/>
  <c r="H50" i="38"/>
  <c r="D56" i="22" s="1"/>
  <c r="H48" i="38"/>
  <c r="D54" i="22" s="1"/>
  <c r="H49" i="38"/>
  <c r="D55" i="22" s="1"/>
  <c r="H51" i="38"/>
  <c r="D57" i="22" s="1"/>
  <c r="H45" i="38"/>
  <c r="D51" i="22" s="1"/>
  <c r="E51" i="22" s="1"/>
  <c r="E99" i="22"/>
  <c r="H32" i="38"/>
  <c r="D38" i="22" s="1"/>
  <c r="H31" i="38"/>
  <c r="D37" i="22" s="1"/>
  <c r="C30" i="38"/>
  <c r="C40" i="21" s="1"/>
  <c r="B36" i="22" s="1"/>
  <c r="H30" i="38"/>
  <c r="D36" i="22" s="1"/>
  <c r="H60" i="38"/>
  <c r="D66" i="22" s="1"/>
  <c r="H58" i="38"/>
  <c r="D64" i="22" s="1"/>
  <c r="H56" i="38"/>
  <c r="D62" i="22" s="1"/>
  <c r="H57" i="38"/>
  <c r="D63" i="22" s="1"/>
  <c r="H59" i="38"/>
  <c r="D65" i="22" s="1"/>
  <c r="H61" i="38"/>
  <c r="D67" i="22" s="1"/>
  <c r="H55" i="38"/>
  <c r="D61" i="22" s="1"/>
  <c r="H29" i="38"/>
  <c r="D35" i="22" s="1"/>
  <c r="C29" i="38"/>
  <c r="C39" i="21" s="1"/>
  <c r="B35" i="22" s="1"/>
  <c r="E35" i="22" s="1"/>
  <c r="H28" i="38"/>
  <c r="D34" i="22" s="1"/>
  <c r="C28" i="38"/>
  <c r="C38" i="21" s="1"/>
  <c r="B34" i="22" s="1"/>
  <c r="E34" i="22" s="1"/>
  <c r="H92" i="38"/>
  <c r="D94" i="22" s="1"/>
  <c r="H93" i="38"/>
  <c r="D95" i="22" s="1"/>
  <c r="I57" i="38"/>
  <c r="C71" i="38"/>
  <c r="C81" i="21" s="1"/>
  <c r="B77" i="22" s="1"/>
  <c r="E77" i="22" s="1"/>
  <c r="E76" i="22" s="1"/>
  <c r="C69" i="38"/>
  <c r="C79" i="21" s="1"/>
  <c r="B75" i="22" s="1"/>
  <c r="H69" i="38"/>
  <c r="D75" i="22" s="1"/>
  <c r="H96" i="38"/>
  <c r="D98" i="22" s="1"/>
  <c r="I96" i="38"/>
  <c r="H95" i="38"/>
  <c r="D97" i="22" s="1"/>
  <c r="C95" i="38"/>
  <c r="C101" i="21" s="1"/>
  <c r="B97" i="22" s="1"/>
  <c r="E97" i="22" s="1"/>
  <c r="H42" i="38"/>
  <c r="D48" i="22" s="1"/>
  <c r="H41" i="38"/>
  <c r="D47" i="22" s="1"/>
  <c r="H40" i="38"/>
  <c r="D46" i="22" s="1"/>
  <c r="H39" i="38"/>
  <c r="D45" i="22" s="1"/>
  <c r="H38" i="38"/>
  <c r="D44" i="22" s="1"/>
  <c r="H37" i="38"/>
  <c r="D43" i="22" s="1"/>
  <c r="H36" i="38"/>
  <c r="D42" i="22" s="1"/>
  <c r="H35" i="38"/>
  <c r="D41" i="22" s="1"/>
  <c r="H34" i="38"/>
  <c r="D40" i="22" s="1"/>
  <c r="H26" i="38"/>
  <c r="D32" i="22" s="1"/>
  <c r="I36" i="38"/>
  <c r="I40" i="38"/>
  <c r="I42" i="38"/>
  <c r="H23" i="38"/>
  <c r="D29" i="22" s="1"/>
  <c r="I24" i="38"/>
  <c r="I19" i="38"/>
  <c r="H18" i="38"/>
  <c r="D24" i="22" s="1"/>
  <c r="I17" i="38"/>
  <c r="H11" i="38"/>
  <c r="D17" i="22" s="1"/>
  <c r="H12" i="38"/>
  <c r="D18" i="22" s="1"/>
  <c r="H13" i="38"/>
  <c r="D19" i="22" s="1"/>
  <c r="I13" i="38"/>
  <c r="H14" i="38"/>
  <c r="D20" i="22" s="1"/>
  <c r="H15" i="38"/>
  <c r="D21" i="22" s="1"/>
  <c r="H10" i="38"/>
  <c r="D16" i="22" s="1"/>
  <c r="I10" i="38"/>
  <c r="I14" i="38"/>
  <c r="I12" i="38"/>
  <c r="I11" i="38"/>
  <c r="I55" i="38"/>
  <c r="I92" i="38"/>
  <c r="I73" i="38"/>
  <c r="I72" i="38" s="1"/>
  <c r="I75" i="38"/>
  <c r="I79" i="38"/>
  <c r="I26" i="38"/>
  <c r="I25" i="38" s="1"/>
  <c r="I29" i="38"/>
  <c r="I32" i="38"/>
  <c r="I34" i="38"/>
  <c r="E12" i="20"/>
  <c r="D12" i="20"/>
  <c r="I74" i="38"/>
  <c r="I15" i="38"/>
  <c r="I37" i="38"/>
  <c r="I61" i="38"/>
  <c r="I47" i="38"/>
  <c r="I48" i="38"/>
  <c r="I52" i="38"/>
  <c r="I9" i="38"/>
  <c r="I69" i="38"/>
  <c r="I68" i="38" s="1"/>
  <c r="I35" i="38"/>
  <c r="I65" i="38"/>
  <c r="E18" i="22" l="1"/>
  <c r="E41" i="22"/>
  <c r="E45" i="22"/>
  <c r="E61" i="22"/>
  <c r="E62" i="22"/>
  <c r="E29" i="41"/>
  <c r="E26" i="22"/>
  <c r="E25" i="22" s="1"/>
  <c r="E81" i="22"/>
  <c r="E21" i="22"/>
  <c r="E29" i="22"/>
  <c r="E32" i="22"/>
  <c r="E31" i="22" s="1"/>
  <c r="E43" i="22"/>
  <c r="E65" i="22"/>
  <c r="E64" i="22"/>
  <c r="E11" i="41"/>
  <c r="E10" i="41" s="1"/>
  <c r="E30" i="41"/>
  <c r="I56" i="38"/>
  <c r="I95" i="38"/>
  <c r="I94" i="38" s="1"/>
  <c r="I31" i="38"/>
  <c r="I46" i="38"/>
  <c r="I50" i="38"/>
  <c r="I59" i="38"/>
  <c r="I41" i="38"/>
  <c r="I30" i="38"/>
  <c r="I28" i="38"/>
  <c r="I93" i="38"/>
  <c r="I91" i="38"/>
  <c r="E16" i="22"/>
  <c r="E20" i="22"/>
  <c r="E19" i="22"/>
  <c r="E17" i="22"/>
  <c r="E40" i="22"/>
  <c r="E42" i="22"/>
  <c r="E44" i="22"/>
  <c r="E98" i="22"/>
  <c r="E96" i="22" s="1"/>
  <c r="E67" i="22"/>
  <c r="E63" i="22"/>
  <c r="I58" i="38"/>
  <c r="E66" i="22"/>
  <c r="I6" i="38"/>
  <c r="I7" i="38"/>
  <c r="I83" i="38"/>
  <c r="I88" i="38"/>
  <c r="I87" i="38"/>
  <c r="I86" i="38"/>
  <c r="I85" i="38"/>
  <c r="I84" i="38"/>
  <c r="E30" i="22"/>
  <c r="E68" i="22"/>
  <c r="E70" i="22"/>
  <c r="E73" i="22"/>
  <c r="E72" i="22" s="1"/>
  <c r="E85" i="22"/>
  <c r="E84" i="22"/>
  <c r="E83" i="22"/>
  <c r="E82" i="22"/>
  <c r="D13" i="22"/>
  <c r="I5" i="38"/>
  <c r="I4" i="38" s="1"/>
  <c r="E15" i="22"/>
  <c r="E75" i="22"/>
  <c r="E74" i="22" s="1"/>
  <c r="E36" i="22"/>
  <c r="E53" i="22"/>
  <c r="E95" i="22"/>
  <c r="E93" i="22"/>
  <c r="E58" i="22"/>
  <c r="E56" i="22"/>
  <c r="E54" i="22"/>
  <c r="E47" i="22"/>
  <c r="E38" i="22"/>
  <c r="E24" i="22"/>
  <c r="E13" i="22"/>
  <c r="E12" i="22" s="1"/>
  <c r="E28" i="41"/>
  <c r="E35" i="41" s="1"/>
  <c r="D11" i="43" s="1"/>
  <c r="F11" i="43" s="1"/>
  <c r="E29" i="31"/>
  <c r="E11" i="31"/>
  <c r="E10" i="31" s="1"/>
  <c r="E94" i="22"/>
  <c r="E80" i="22"/>
  <c r="E57" i="22"/>
  <c r="E55" i="22"/>
  <c r="E48" i="22"/>
  <c r="E46" i="22"/>
  <c r="E39" i="22" s="1"/>
  <c r="E37" i="22"/>
  <c r="E33" i="22" s="1"/>
  <c r="E23" i="22"/>
  <c r="E22" i="22" s="1"/>
  <c r="I71" i="38"/>
  <c r="I70" i="38" s="1"/>
  <c r="I18" i="38"/>
  <c r="I16" i="38" s="1"/>
  <c r="I8" i="38" s="1"/>
  <c r="I23" i="38"/>
  <c r="I22" i="38" s="1"/>
  <c r="I38" i="38"/>
  <c r="I33" i="38" s="1"/>
  <c r="I39" i="38"/>
  <c r="I60" i="38"/>
  <c r="I54" i="38" s="1"/>
  <c r="I45" i="38"/>
  <c r="I51" i="38"/>
  <c r="I49" i="38"/>
  <c r="I63" i="38"/>
  <c r="I62" i="38" s="1"/>
  <c r="I27" i="38" l="1"/>
  <c r="E28" i="22"/>
  <c r="E60" i="22"/>
  <c r="E59" i="22" s="1"/>
  <c r="H22" i="16" s="1"/>
  <c r="E50" i="22"/>
  <c r="I82" i="38"/>
  <c r="I90" i="38"/>
  <c r="I89" i="38" s="1"/>
  <c r="G22" i="16"/>
  <c r="E27" i="22"/>
  <c r="E22" i="16"/>
  <c r="I44" i="38"/>
  <c r="I21" i="38"/>
  <c r="D17" i="42"/>
  <c r="C17" i="42" s="1"/>
  <c r="E36" i="31"/>
  <c r="D10" i="43" s="1"/>
  <c r="D16" i="42"/>
  <c r="C16" i="42" s="1"/>
  <c r="I3" i="38"/>
  <c r="I109" i="38"/>
  <c r="I103" i="38"/>
  <c r="I53" i="38"/>
  <c r="I104" i="38"/>
  <c r="E92" i="22"/>
  <c r="E91" i="22" s="1"/>
  <c r="E49" i="22" s="1"/>
  <c r="F22" i="16" s="1"/>
  <c r="E14" i="22"/>
  <c r="E11" i="22" s="1"/>
  <c r="E101" i="22" l="1"/>
  <c r="C12" i="17" s="1"/>
  <c r="D22" i="16"/>
  <c r="C22" i="16" s="1"/>
  <c r="F10" i="43"/>
  <c r="F12" i="43" s="1"/>
  <c r="D12" i="43"/>
  <c r="I110" i="38"/>
  <c r="I112" i="38" s="1"/>
  <c r="I105" i="38"/>
  <c r="I43" i="38"/>
  <c r="I106" i="38" s="1"/>
  <c r="I99" i="38" l="1"/>
  <c r="I101" i="38" s="1"/>
  <c r="H12" i="43"/>
  <c r="C11" i="20" s="1"/>
  <c r="C12" i="20" s="1"/>
  <c r="G13" i="43"/>
  <c r="H12" i="17"/>
  <c r="D12" i="17"/>
  <c r="B11" i="20" l="1"/>
  <c r="H13" i="17"/>
  <c r="F11" i="20" l="1"/>
  <c r="B12" i="20"/>
  <c r="C15" i="20" l="1"/>
  <c r="F12" i="20"/>
  <c r="H12" i="20" s="1"/>
</calcChain>
</file>

<file path=xl/sharedStrings.xml><?xml version="1.0" encoding="utf-8"?>
<sst xmlns="http://schemas.openxmlformats.org/spreadsheetml/2006/main" count="897" uniqueCount="300">
  <si>
    <t>Наименование ресурса</t>
  </si>
  <si>
    <t>х</t>
  </si>
  <si>
    <t>чел.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</si>
  <si>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</si>
  <si>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</si>
  <si>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</si>
  <si>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</si>
  <si>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</si>
  <si>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</si>
  <si>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</si>
  <si>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м3</t>
  </si>
  <si>
    <t>Гкал</t>
  </si>
  <si>
    <t>Подписка</t>
  </si>
  <si>
    <t>Значение натуральной нормы</t>
  </si>
  <si>
    <t>Срок использования ресурса (год)</t>
  </si>
  <si>
    <t>Цена единицы ресурса, руб.</t>
  </si>
  <si>
    <t>Нормативные затраты, руб.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</si>
  <si>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</si>
  <si>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</si>
  <si>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</si>
  <si>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</si>
  <si>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</si>
  <si>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</si>
  <si>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</si>
  <si>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</si>
  <si>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</si>
  <si>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</si>
  <si>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</si>
  <si>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</si>
  <si>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</si>
  <si>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</si>
  <si>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</si>
  <si>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</si>
  <si>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</si>
  <si>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</si>
  <si>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</si>
  <si>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</si>
  <si>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</si>
  <si>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</si>
  <si>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</si>
  <si>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</si>
  <si>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</si>
  <si>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</si>
  <si>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</si>
  <si>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</si>
  <si>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</si>
  <si>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</si>
  <si>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</si>
  <si>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</si>
  <si>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</si>
  <si>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>Утверждаю</t>
  </si>
  <si>
    <t>(поддпись, Ф.И.О. руководителя органа,</t>
  </si>
  <si>
    <t>осуществляющего функции и полномочия</t>
  </si>
  <si>
    <t>учредителя,  муниципального учреждения)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</si>
  <si>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</si>
  <si>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</si>
  <si>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</si>
  <si>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</si>
  <si>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</si>
  <si>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</si>
  <si>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</si>
  <si>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</si>
  <si>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</si>
  <si>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</si>
  <si>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</si>
  <si>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</si>
  <si>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</si>
  <si>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</si>
  <si>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</si>
  <si>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</si>
  <si>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</si>
  <si>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</si>
  <si>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Итого нормативных затрат (руб.)</t>
  </si>
  <si>
    <t>В том числе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</si>
  <si>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</si>
  <si>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</si>
  <si>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</si>
  <si>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</si>
  <si>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</si>
  <si>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</si>
  <si>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</si>
  <si>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-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</si>
  <si>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</si>
  <si>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</si>
  <si>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</si>
  <si>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</si>
  <si>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</si>
  <si>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</si>
  <si>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</si>
  <si>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</si>
  <si>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</si>
  <si>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>Согласовано начальником финансово-экономичского упарвления администрации города Кировска</t>
  </si>
  <si>
    <t xml:space="preserve">(подпись)    </t>
  </si>
  <si>
    <t xml:space="preserve"> (расшифровка подписи)</t>
  </si>
  <si>
    <t>Краткое обозначение</t>
  </si>
  <si>
    <t>Наименование формы расчета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</si>
  <si>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</si>
  <si>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</si>
  <si>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</si>
  <si>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</si>
  <si>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</si>
  <si>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мес.</t>
  </si>
  <si>
    <t>Количество</t>
  </si>
  <si>
    <t>Единица измерения</t>
  </si>
  <si>
    <t>Примечания</t>
  </si>
  <si>
    <t>Дератизация, дезинфекция, дезинсекция</t>
  </si>
  <si>
    <t>п. 14.091, п. 14.015, п.14.032</t>
  </si>
  <si>
    <t>Вывоз ТКО</t>
  </si>
  <si>
    <t>шт. ед.</t>
  </si>
  <si>
    <t>1.1.</t>
  </si>
  <si>
    <t>1.2.</t>
  </si>
  <si>
    <t>2.1.</t>
  </si>
  <si>
    <t>2.2.</t>
  </si>
  <si>
    <t>3.1.</t>
  </si>
  <si>
    <t>3.2.</t>
  </si>
  <si>
    <t>6.</t>
  </si>
  <si>
    <t>Услуги по заправке картриджей</t>
  </si>
  <si>
    <t>Наименование услуги/работы</t>
  </si>
  <si>
    <t>НОРМ, ВЫРАЖЕННЫХ В НАТУРАЛЬНЫХ ПОКАЗАТЕЛЯХ, НЕОБХОДИМЫХ</t>
  </si>
  <si>
    <t>ДЛЯ ОПРЕДЕЛЕНИЯ НОРМАТИВОВ ЗАТРАТ НА ВЫПОЛНЕНИЕ РАБОТ</t>
  </si>
  <si>
    <t>2. Расчет нормативных затрат на выполнение работ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</si>
  <si>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выполнением работы, в том числе:</t>
  </si>
  <si>
    <t>1. Базовый норматив затрат, непосредственно связанных с оказанием муниципальной услуги, выполнением работы, в том числе:</t>
  </si>
  <si>
    <t>1.3. Иные затраты, непосредственно связанные с оказанием муниципальной услуги, выполнением работы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</si>
  <si>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услуги, выполнении работы</t>
  </si>
  <si>
    <t>2.7. Затраты на прочие общехозяйственные нужды на оказание муниципальной услуги, выполнение работы</t>
  </si>
  <si>
    <t>Итого по муниципальной услуге, работе:</t>
  </si>
  <si>
    <t>Расчет базовых нормативных затрат на выполнение работ</t>
  </si>
  <si>
    <t>м²</t>
  </si>
  <si>
    <t>Значения норм, выраженных в натуральных показателях, необходимых для определения нормативов затрат на выполнение работы</t>
  </si>
  <si>
    <t>Базовый норматив затрат, непосредственно связанных с оказанием муниципальной услуги, выполнением работы</t>
  </si>
  <si>
    <t>Базовый норматив затрат на общехозяйственные нужды, на оказание муниципальных услуг, выполнение работ</t>
  </si>
  <si>
    <t>Результаты расчетов базовых нормативных затрат на оказание муниципальных услуг, выполнение работ</t>
  </si>
  <si>
    <t>Результаты расчетов объемов нормативных затрат на оказание муниципальных услуг, выполнение работ</t>
  </si>
  <si>
    <t>Мебель</t>
  </si>
  <si>
    <t>Цена за ед.ресурса</t>
  </si>
  <si>
    <t>Поставщик 1</t>
  </si>
  <si>
    <t>Поставщик 2</t>
  </si>
  <si>
    <t>Поставщик 3</t>
  </si>
  <si>
    <t xml:space="preserve">Стойка для рекламных материалов  без лотков </t>
  </si>
  <si>
    <t>Лотки навесные для стоек  А6</t>
  </si>
  <si>
    <t>Лоток навесной для стоек А4</t>
  </si>
  <si>
    <t>Доска для объвлений</t>
  </si>
  <si>
    <t>Стеллаж на металлокаркасе</t>
  </si>
  <si>
    <t>Стул для посетителей складной</t>
  </si>
  <si>
    <t>Оргтехника</t>
  </si>
  <si>
    <t>Ноутбук</t>
  </si>
  <si>
    <t>Принтер</t>
  </si>
  <si>
    <t>Комплектование книжных фондов</t>
  </si>
  <si>
    <t>Книжная продукция</t>
  </si>
  <si>
    <t>Услуги сторонних организаций</t>
  </si>
  <si>
    <t>Специальная оценка условий труда</t>
  </si>
  <si>
    <t>раб.м.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</si>
  <si>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услуги, выполнения работы с учетом срока полезного использования (в том числе затрат-ы на арендные платежи), в том числе:</t>
  </si>
  <si>
    <t>Подписка на периодические издания</t>
  </si>
  <si>
    <t>Медосмотр сотрудников</t>
  </si>
  <si>
    <t>ПО и информационые услуги</t>
  </si>
  <si>
    <t>Информационые  услуги (СПС Консультант Плюс)</t>
  </si>
  <si>
    <t>Сопровождение системы автоматизации ИРБИС 64</t>
  </si>
  <si>
    <t>усл.</t>
  </si>
  <si>
    <t>Обновление действующего ПО: Программное обеспечение на 10ПК (Netropolice PRO, MS Win)</t>
  </si>
  <si>
    <t>Обновление действующего ПО: Программное обеспечение на 1ПК (Netropolice PRO, MS Win)</t>
  </si>
  <si>
    <t xml:space="preserve">Обновление действующего ПО: ПО Антивирус Kaspersky </t>
  </si>
  <si>
    <t>ПО для нового сервера: ПО Microsoft WinSvrStd 2012 R2 RUS OLP NL Acdmc 2Proc P73-06270</t>
  </si>
  <si>
    <t>ПО для нового сервера: ПО Microsoft WinSvrStd 2012 R2 RUS OLP NL Acdmc UsrCAL R18-04337</t>
  </si>
  <si>
    <t>ПО для нового сервера: ПО Microsoft OfficeStd 2016 RUS OLP NL Acdmc, 021-10548</t>
  </si>
  <si>
    <t xml:space="preserve">ПО для нового сервера:  ПО Антивирус Kaspersky </t>
  </si>
  <si>
    <t>Заправка картриджей Konica Minolta TN-114</t>
  </si>
  <si>
    <t>Заправка картриджей (HP LI, HP, Samsung, Brother)</t>
  </si>
  <si>
    <t>Вывоз твердых коммунальных расходов</t>
  </si>
  <si>
    <t>Охрана и ТО средств охраны</t>
  </si>
  <si>
    <t>Дератизационные мероприятия</t>
  </si>
  <si>
    <t>Курсы контрактных управляющих по 44-ФЗ</t>
  </si>
  <si>
    <t>Курсы по охране труда</t>
  </si>
  <si>
    <t>Курсы ГО и ЧС</t>
  </si>
  <si>
    <t>чел./дни</t>
  </si>
  <si>
    <t>ТО системы видеонаблюдения (6 библиотек)</t>
  </si>
  <si>
    <t>Охрана объектов GSM-системы экстренного вызова "мобильный телохранитель" (Титан, Коашва)</t>
  </si>
  <si>
    <t>ТО пожарной сигнализации (4 библиотеки-городские)</t>
  </si>
  <si>
    <t>Обеспечение вывода пожарной сигнализации на пульт ПЧ-31 (Ленина)</t>
  </si>
  <si>
    <t>Обеспечение вывода пожарной сигнализации на пульт ПЧ-30 (3 городские)</t>
  </si>
  <si>
    <t>Охрана объектов КТС (3 городские)</t>
  </si>
  <si>
    <t>Охрана объектов КТС (Ленина)</t>
  </si>
  <si>
    <t>усл.ед.</t>
  </si>
  <si>
    <t>Комадировки и курсы повышения квалификации (проживание) Мурманская обл.</t>
  </si>
  <si>
    <t>Комадировки и курсы повышения квалификации (суточные) Мурманская обл.</t>
  </si>
  <si>
    <t>Комадировки и курсы повышения квалификации (проезд) Мурманская обл. (Апатиты-Мурманск, Мурманск- Апатиты)</t>
  </si>
  <si>
    <t>Комадировки и курсы повышения квалификации (проезд) Мурманская обл. (Апатиты-Петрозаводск, Петрозаводск-Апатиты)</t>
  </si>
  <si>
    <t>Курсы и командировочные расходы</t>
  </si>
  <si>
    <t>Курсы повышения квалификации</t>
  </si>
  <si>
    <t>Налоги</t>
  </si>
  <si>
    <t>Негативное воздействие на окружающую среду</t>
  </si>
  <si>
    <t>Сброс загряз.веществ</t>
  </si>
  <si>
    <t>Теплоноситель</t>
  </si>
  <si>
    <t>Квт*час</t>
  </si>
  <si>
    <t>Теплоэнергия (город)</t>
  </si>
  <si>
    <t>Теплоэнергия (Титан, Коашва)</t>
  </si>
  <si>
    <t>Электроэнергия (город)</t>
  </si>
  <si>
    <t>Электроэнергия (Титан, Коашва)</t>
  </si>
  <si>
    <t xml:space="preserve">Водоснабжение </t>
  </si>
  <si>
    <t>Водоотведение</t>
  </si>
  <si>
    <t>штат. ед.</t>
  </si>
  <si>
    <t>Основной персонал (Услуга №1)</t>
  </si>
  <si>
    <t>Основной персонал (Работа №1)</t>
  </si>
  <si>
    <t>Основной персонал (Работа №2)</t>
  </si>
  <si>
    <t>АУП (Услуга №1)</t>
  </si>
  <si>
    <t>АУП (Работа №1)</t>
  </si>
  <si>
    <t>АУП (Работа №2)</t>
  </si>
  <si>
    <t>Обслуживающий персонал (Услуга №1)</t>
  </si>
  <si>
    <t>Обслуживающий персонал  (Работа №1)</t>
  </si>
  <si>
    <t>Обслуживающий персонал  (Работа №2)</t>
  </si>
  <si>
    <t>Библиотечное, библиографическое и информационное обслуживание  пользователей библиотеки</t>
  </si>
  <si>
    <r>
      <t xml:space="preserve">Наименование муниципальной услуги: </t>
    </r>
    <r>
      <rPr>
        <b/>
        <sz val="10"/>
        <color indexed="8"/>
        <rFont val="Times New Roman"/>
        <family val="1"/>
        <charset val="204"/>
      </rPr>
      <t>Библиотечное, библиографическое и информационное обслуживание  пользователей библиотеки</t>
    </r>
  </si>
  <si>
    <t>Библиографическая обработка документов и создание каталогов</t>
  </si>
  <si>
    <t>Формирование, учет, изучение, обеспечение физического сохранения и безопасности фондов библиотеки</t>
  </si>
  <si>
    <r>
      <t xml:space="preserve">Наименование работы &lt;4&gt; </t>
    </r>
    <r>
      <rPr>
        <b/>
        <sz val="10"/>
        <color indexed="8"/>
        <rFont val="Times New Roman"/>
        <family val="1"/>
        <charset val="204"/>
      </rPr>
      <t>Библиографическая обработка документов и создание каталогов</t>
    </r>
  </si>
  <si>
    <t>1. Работники, непосредственно связанные с выполнением работы</t>
  </si>
  <si>
    <t>2. Материальные запасы и особо ценное движимое имущество, потребляемые (используемые) в процессе выполнения работы</t>
  </si>
  <si>
    <t>3. Иные натуральные показатели, непосредственно связанные с выполнением работы</t>
  </si>
  <si>
    <t>4. Коммунальные услуги</t>
  </si>
  <si>
    <t>5. Содержание объектов недвижимого имущества, необходимого для выполнения муниципального задания</t>
  </si>
  <si>
    <t>6. Содержание объектов особо ценного движимого имущества, необходимого для выполнения муниципального задания</t>
  </si>
  <si>
    <t>7. Услуги связи</t>
  </si>
  <si>
    <t>8. Транспортные услуги</t>
  </si>
  <si>
    <t>9. Работники, которые не принимают непосредственного участия в оказании муниципальной услуги</t>
  </si>
  <si>
    <t>10. Прочие общехозяйственные нужды</t>
  </si>
  <si>
    <t>&lt;1&gt; единица измерения (в случае ее установления)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</si>
  <si>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выполнения работ в соответствующей сфере деятельности (в случае их отсутствия указываются значения натуральных норм, определенные для муниципальной работы, выполняемой муниципальным учреждением, по методу наиболее эффективного учреждения, по медианному или иному методу);</t>
  </si>
  <si>
    <t>&lt;3&gt; в обязательном порядке указывается источник значения натуральной нормы (нормативный правовой акт (вид, дата, номер)), утверждающий стандарт выполнения работы в соответствующей сфере деятельности, а при его отсутствии слова "Метод наиболее эффективного учреждения", "Медианный метод" или "Иной метод";</t>
  </si>
  <si>
    <t>&lt;4&gt; указывается наименование муниципальной работы в соответствии с ведомственным перечнем муниципальных услуг и работ;</t>
  </si>
  <si>
    <t>&lt;5&gt; уникальный номер реестровой записи муниципальной работы в соответствии с ведомственным перечнем муниципальных услуг и работ.</t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</si>
  <si>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Библиографическая обработка документов и создание каталогов</t>
    </r>
  </si>
  <si>
    <t>9. Работники, которые не принимают непосредственного участия в выполнении работы</t>
  </si>
  <si>
    <t>Итого по муниципальной работе:</t>
  </si>
  <si>
    <r>
      <t xml:space="preserve">Наименование работы &lt;4&gt; </t>
    </r>
    <r>
      <rPr>
        <b/>
        <sz val="10"/>
        <color indexed="8"/>
        <rFont val="Times New Roman"/>
        <family val="1"/>
        <charset val="204"/>
      </rPr>
      <t>Формирование, учет, изучение, обеспечение физического сохранения и безопасности фондов библиотеки</t>
    </r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</si>
  <si>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Формирование, учет, изучение, обеспечение физического сохранения и безопасности фондов библиотеки</t>
    </r>
  </si>
  <si>
    <t>2. Результаты расчетов нормативных затрат</t>
  </si>
  <si>
    <t>Наименование работы</t>
  </si>
  <si>
    <t>Затраты на оплату труда с начислениями на выплаты по оплате труда работников, непосредственно связанных с выполнением работы (Nотli)</t>
  </si>
  <si>
    <t>Затраты на коммунальные услуги и на содержание объектов недвижимого имущества, необходимого для выполнения муниципального задания (в том числе затраты на арендные платежи</t>
  </si>
  <si>
    <t>Nкуi</t>
  </si>
  <si>
    <t>Nсниi</t>
  </si>
  <si>
    <t>2.  Расчет нормативных затрат на выполнение работ</t>
  </si>
  <si>
    <t>4.1, 4.2</t>
  </si>
  <si>
    <t>2. Результаты расчетов объемов нормативных затрат</t>
  </si>
  <si>
    <t>Наименование работы (уникальный номер реестровой записи из ведомственного перечня)</t>
  </si>
  <si>
    <t>Показатель объема работы</t>
  </si>
  <si>
    <t>Нормативные затраты на выполнение работы (руб.)</t>
  </si>
  <si>
    <t>Итого нормативных затрат по работе (руб.)</t>
  </si>
  <si>
    <t>4 = 2 x 3</t>
  </si>
  <si>
    <t>Расчет нормативных затрат на оказание муниципальной услуги</t>
  </si>
  <si>
    <t>Нормативные затраты на оказание муниципальной услуги (руб.)</t>
  </si>
  <si>
    <t>Базовый норматив затрат на оказание муниципальной услуги (руб.)</t>
  </si>
  <si>
    <t>Муниципальное бюджетное учреждение культуры "Централизованная библиотечная система"</t>
  </si>
  <si>
    <t>5.1, 5.2.</t>
  </si>
  <si>
    <t>Услуги внутризоновой связи</t>
  </si>
  <si>
    <t>Услуги МГ/МН связи</t>
  </si>
  <si>
    <t>Интернет (Коашва)</t>
  </si>
  <si>
    <t>Интернет (город, Титан)</t>
  </si>
  <si>
    <t>Услуги связи (Коашва)</t>
  </si>
  <si>
    <t>Ремонт и содержание общего имущества</t>
  </si>
  <si>
    <t>Ремонт и содержание общего имущества (Кирова 17)</t>
  </si>
  <si>
    <t>Ремонт и содержание общего имущества (Ленина 15)</t>
  </si>
  <si>
    <t>Ремонт и содержание общего имущества (Хибиногорская 36)</t>
  </si>
  <si>
    <t>ТО и ремонт кассовой техники</t>
  </si>
  <si>
    <t>07014100000000000007102</t>
  </si>
  <si>
    <t>07013100000000000008104</t>
  </si>
  <si>
    <t>07011000000000001001103</t>
  </si>
  <si>
    <t>07011000000000002000103</t>
  </si>
  <si>
    <t>07011000000000003009103</t>
  </si>
  <si>
    <t>07011000000000001001103, 07011000000000002000103, 07011000000000003009103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</si>
  <si>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07011000000000001001103, 07011000000000002000103, 07011000000000003009103</t>
    </r>
  </si>
  <si>
    <r>
      <t xml:space="preserve">Уникальный номер реестровой записи &lt;5&gt; </t>
    </r>
    <r>
      <rPr>
        <b/>
        <sz val="10"/>
        <color indexed="8"/>
        <rFont val="Times New Roman"/>
        <family val="1"/>
        <charset val="204"/>
      </rPr>
      <t>07014100000000000007102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</si>
  <si>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07014100000000000007102</t>
    </r>
  </si>
  <si>
    <r>
      <t xml:space="preserve">Уникальный номер реестровой записи &lt;5&gt; </t>
    </r>
    <r>
      <rPr>
        <b/>
        <sz val="10"/>
        <color indexed="8"/>
        <rFont val="Times New Roman"/>
        <family val="1"/>
        <charset val="204"/>
      </rPr>
      <t>07013100000000000008104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</si>
  <si>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07013100000000000008104</t>
    </r>
  </si>
  <si>
    <t xml:space="preserve">Библиотечное, библиографическое и информационное обслуживание  пользователей библиотеки (07011000000000001001103, 07011000000000002000103, 07011000000000003009103)
</t>
  </si>
  <si>
    <t>Библиографическая обработка документов и создание каталогов (07014100000000000007102)</t>
  </si>
  <si>
    <t>Формирование, учет, изучение, обеспечение физического сохранения и безопасности фондов библиотеки (07013100000000000008104)</t>
  </si>
  <si>
    <t>Заработная плата</t>
  </si>
  <si>
    <t>Коммунальные расходы</t>
  </si>
  <si>
    <t>Налоги за негативное воздействие на окружающую среду</t>
  </si>
  <si>
    <t>Расходы к распределению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</si>
  <si>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</si>
  <si>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</si>
  <si>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на оказание муниципальных услуг на плановый период 2018-2019 г.г.</t>
  </si>
  <si>
    <t>на выполнение работ на плановый период 2018-2019 г.г.</t>
  </si>
  <si>
    <t>МУНИЦИПАЛЬНОГО ЗАДАНИЯ НА ПЛАНОВЫЙ ПЕРИОД 2018-2019 Г.Г.</t>
  </si>
  <si>
    <t>Приложение № 2</t>
  </si>
  <si>
    <t xml:space="preserve">к приказу комитета образования, культуры и спорта                                                                от 22.12.2016 №  529 а
</t>
  </si>
  <si>
    <t xml:space="preserve">к приказу комитета образования, культуры и спорта                                                                от 22.12.2016 №  529 а 
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</si>
  <si>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</si>
  <si>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11</t>
  </si>
  <si>
    <t>Приложение № 20</t>
  </si>
  <si>
    <t xml:space="preserve">к приказу комитета образования, культуры и спорта                                                                от 22.12.2016 №  529 а 
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</si>
  <si>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</si>
  <si>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29</t>
  </si>
  <si>
    <t>Приложение № 53</t>
  </si>
  <si>
    <t>Приложение № 54</t>
  </si>
  <si>
    <t>Приложение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</si>
</sst>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0000"/>
    <numFmt numFmtId="166" formatCode="#,##0.000000000"/>
    <numFmt numFmtId="167" formatCode="0.000000000"/>
    <numFmt numFmtId="168" formatCode="#,##0.00_р_."/>
  </numFmts>
  <fonts count="27" x14ac:knownFonts="1">
    <font>
      <sz val="11"/>
      <color rgb="FF000000"/>
      <name val="Calibri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Arial CYR"/>
      <family val="2"/>
    </font>
    <font>
      <u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7">
    <xf numFmtId="0" fontId="0" fillId="0" borderId="0"/>
    <xf numFmtId="0" fontId="22" fillId="0" borderId="0">
      <alignment horizontal="right"/>
    </xf>
    <xf numFmtId="0" fontId="22" fillId="0" borderId="0">
      <alignment horizontal="center"/>
    </xf>
    <xf numFmtId="0" fontId="23" fillId="0" borderId="0"/>
    <xf numFmtId="0" fontId="23" fillId="0" borderId="17">
      <alignment horizontal="center" vertical="center" wrapText="1"/>
    </xf>
    <xf numFmtId="0" fontId="23" fillId="0" borderId="17">
      <alignment horizontal="center" vertical="center" wrapText="1"/>
    </xf>
    <xf numFmtId="0" fontId="23" fillId="0" borderId="18">
      <alignment horizontal="left" vertical="top" wrapText="1"/>
    </xf>
    <xf numFmtId="0" fontId="23" fillId="0" borderId="19">
      <alignment horizontal="right" vertical="top" wrapText="1"/>
    </xf>
    <xf numFmtId="0" fontId="23" fillId="0" borderId="20">
      <alignment horizontal="left" wrapText="1"/>
    </xf>
    <xf numFmtId="0" fontId="23" fillId="0" borderId="21"/>
    <xf numFmtId="0" fontId="17" fillId="0" borderId="1">
      <alignment vertical="top" wrapText="1"/>
    </xf>
    <xf numFmtId="0" fontId="23" fillId="0" borderId="17">
      <alignment horizontal="center" vertical="center" wrapText="1"/>
    </xf>
    <xf numFmtId="0" fontId="23" fillId="0" borderId="22">
      <alignment horizontal="center" vertical="center" wrapText="1"/>
    </xf>
    <xf numFmtId="0" fontId="23" fillId="0" borderId="22">
      <alignment horizontal="center" vertical="center" wrapText="1"/>
    </xf>
    <xf numFmtId="1" fontId="23" fillId="0" borderId="17">
      <alignment horizontal="center" vertical="top" shrinkToFit="1"/>
    </xf>
    <xf numFmtId="1" fontId="23" fillId="0" borderId="22">
      <alignment horizontal="center" vertical="top" shrinkToFit="1"/>
    </xf>
    <xf numFmtId="1" fontId="23" fillId="0" borderId="17">
      <alignment horizontal="center" vertical="top" shrinkToFit="1"/>
    </xf>
    <xf numFmtId="1" fontId="23" fillId="0" borderId="22">
      <alignment horizontal="center" vertical="top" shrinkToFit="1"/>
    </xf>
    <xf numFmtId="1" fontId="22" fillId="0" borderId="20">
      <alignment horizontal="center" shrinkToFit="1"/>
    </xf>
    <xf numFmtId="0" fontId="23" fillId="0" borderId="17">
      <alignment horizontal="center" vertical="center" wrapText="1"/>
    </xf>
    <xf numFmtId="4" fontId="23" fillId="0" borderId="18">
      <alignment horizontal="right" vertical="top" shrinkToFit="1"/>
    </xf>
    <xf numFmtId="4" fontId="23" fillId="8" borderId="23">
      <alignment horizontal="right" vertical="top" shrinkToFit="1"/>
    </xf>
    <xf numFmtId="0" fontId="23" fillId="0" borderId="17">
      <alignment horizontal="center"/>
    </xf>
    <xf numFmtId="1" fontId="23" fillId="0" borderId="17">
      <alignment horizontal="center" shrinkToFit="1"/>
    </xf>
    <xf numFmtId="0" fontId="21" fillId="0" borderId="0"/>
    <xf numFmtId="0" fontId="14" fillId="0" borderId="0"/>
    <xf numFmtId="0" fontId="24" fillId="0" borderId="0"/>
    <xf numFmtId="0" fontId="25" fillId="0" borderId="0"/>
    <xf numFmtId="0" fontId="1" fillId="0" borderId="0"/>
    <xf numFmtId="0" fontId="26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4" fillId="0" borderId="0"/>
    <xf numFmtId="0" fontId="14" fillId="0" borderId="0"/>
    <xf numFmtId="9" fontId="15" fillId="0" borderId="0" applyFont="0" applyFill="0" applyBorder="0" applyAlignment="0" applyProtection="0"/>
  </cellStyleXfs>
  <cellXfs count="346">
    <xf numFmtId="0" fontId="0" fillId="0" borderId="0" xfId="0" applyFont="1" applyAlignment="1"/>
    <xf numFmtId="0" fontId="7" fillId="0" borderId="0" xfId="24" applyFont="1"/>
    <xf numFmtId="0" fontId="7" fillId="0" borderId="0" xfId="24" applyFont="1" applyAlignment="1">
      <alignment horizontal="justify" vertical="center"/>
    </xf>
    <xf numFmtId="0" fontId="21" fillId="0" borderId="0" xfId="24" applyAlignment="1">
      <alignment horizontal="right" vertical="center"/>
    </xf>
    <xf numFmtId="0" fontId="21" fillId="0" borderId="0" xfId="24"/>
    <xf numFmtId="0" fontId="21" fillId="0" borderId="0" xfId="24" applyAlignment="1">
      <alignment horizontal="justify" vertical="center"/>
    </xf>
    <xf numFmtId="0" fontId="7" fillId="0" borderId="0" xfId="24" applyFont="1" applyAlignment="1">
      <alignment vertical="center"/>
    </xf>
    <xf numFmtId="0" fontId="7" fillId="0" borderId="0" xfId="24" applyFont="1" applyAlignment="1">
      <alignment vertical="top" wrapText="1"/>
    </xf>
    <xf numFmtId="0" fontId="9" fillId="0" borderId="0" xfId="24" applyFont="1" applyAlignment="1">
      <alignment horizontal="justify" vertical="center"/>
    </xf>
    <xf numFmtId="0" fontId="7" fillId="0" borderId="0" xfId="24" applyFont="1" applyAlignment="1">
      <alignment horizontal="right" vertical="center"/>
    </xf>
    <xf numFmtId="0" fontId="12" fillId="0" borderId="0" xfId="24" applyFont="1" applyAlignment="1">
      <alignment horizontal="justify" vertical="center"/>
    </xf>
    <xf numFmtId="0" fontId="7" fillId="0" borderId="2" xfId="24" applyFont="1" applyBorder="1" applyAlignment="1">
      <alignment horizontal="center" vertical="center" wrapText="1"/>
    </xf>
    <xf numFmtId="0" fontId="7" fillId="0" borderId="2" xfId="24" applyFont="1" applyBorder="1" applyAlignment="1">
      <alignment vertical="center" wrapText="1"/>
    </xf>
    <xf numFmtId="0" fontId="7" fillId="0" borderId="2" xfId="24" applyFont="1" applyBorder="1" applyAlignment="1">
      <alignment vertical="top" wrapText="1"/>
    </xf>
    <xf numFmtId="0" fontId="3" fillId="0" borderId="2" xfId="29" applyFont="1" applyFill="1" applyBorder="1" applyAlignment="1">
      <alignment horizontal="left" vertical="top" wrapText="1"/>
    </xf>
    <xf numFmtId="0" fontId="3" fillId="0" borderId="2" xfId="29" applyFont="1" applyFill="1" applyBorder="1" applyAlignment="1">
      <alignment horizontal="center" vertical="top" wrapText="1"/>
    </xf>
    <xf numFmtId="0" fontId="2" fillId="0" borderId="2" xfId="29" applyFont="1" applyFill="1" applyBorder="1" applyAlignment="1">
      <alignment horizontal="left" vertical="top" wrapText="1"/>
    </xf>
    <xf numFmtId="0" fontId="2" fillId="0" borderId="2" xfId="29" applyFont="1" applyFill="1" applyBorder="1" applyAlignment="1">
      <alignment horizontal="center" vertical="top" wrapText="1"/>
    </xf>
    <xf numFmtId="164" fontId="2" fillId="0" borderId="2" xfId="29" applyNumberFormat="1" applyFont="1" applyFill="1" applyBorder="1" applyAlignment="1">
      <alignment horizontal="center" vertical="top" wrapText="1"/>
    </xf>
    <xf numFmtId="0" fontId="9" fillId="0" borderId="0" xfId="24" applyFont="1"/>
    <xf numFmtId="0" fontId="9" fillId="0" borderId="2" xfId="24" applyFont="1" applyBorder="1" applyAlignment="1">
      <alignment horizontal="center" vertical="top" wrapText="1"/>
    </xf>
    <xf numFmtId="0" fontId="9" fillId="0" borderId="2" xfId="24" applyFont="1" applyBorder="1" applyAlignment="1">
      <alignment vertical="top" wrapText="1"/>
    </xf>
    <xf numFmtId="0" fontId="9" fillId="0" borderId="0" xfId="24" applyFont="1" applyAlignment="1">
      <alignment horizontal="left" wrapText="1"/>
    </xf>
    <xf numFmtId="164" fontId="2" fillId="0" borderId="2" xfId="29" applyNumberFormat="1" applyFont="1" applyFill="1" applyBorder="1" applyAlignment="1">
      <alignment horizontal="center" vertical="center" wrapText="1"/>
    </xf>
    <xf numFmtId="0" fontId="13" fillId="0" borderId="0" xfId="24" applyFont="1"/>
    <xf numFmtId="4" fontId="3" fillId="0" borderId="2" xfId="29" applyNumberFormat="1" applyFont="1" applyFill="1" applyBorder="1" applyAlignment="1">
      <alignment horizontal="center" vertical="top" wrapText="1"/>
    </xf>
    <xf numFmtId="0" fontId="8" fillId="0" borderId="2" xfId="24" applyFont="1" applyBorder="1" applyAlignment="1">
      <alignment vertical="center" wrapText="1"/>
    </xf>
    <xf numFmtId="0" fontId="6" fillId="0" borderId="0" xfId="24" applyFont="1"/>
    <xf numFmtId="164" fontId="9" fillId="0" borderId="2" xfId="24" applyNumberFormat="1" applyFont="1" applyBorder="1" applyAlignment="1">
      <alignment horizontal="center" vertical="top" wrapText="1"/>
    </xf>
    <xf numFmtId="0" fontId="7" fillId="0" borderId="4" xfId="24" applyFont="1" applyBorder="1"/>
    <xf numFmtId="4" fontId="21" fillId="0" borderId="0" xfId="24" applyNumberFormat="1"/>
    <xf numFmtId="4" fontId="9" fillId="0" borderId="2" xfId="24" applyNumberFormat="1" applyFont="1" applyBorder="1" applyAlignment="1">
      <alignment horizontal="center" vertical="top" wrapText="1"/>
    </xf>
    <xf numFmtId="0" fontId="9" fillId="0" borderId="2" xfId="24" applyFont="1" applyBorder="1" applyAlignment="1">
      <alignment horizontal="center" vertical="center" wrapText="1"/>
    </xf>
    <xf numFmtId="4" fontId="13" fillId="0" borderId="2" xfId="24" applyNumberFormat="1" applyFont="1" applyBorder="1" applyAlignment="1">
      <alignment horizontal="center" vertical="top" wrapText="1"/>
    </xf>
    <xf numFmtId="0" fontId="9" fillId="0" borderId="0" xfId="24" applyFont="1" applyAlignment="1">
      <alignment horizontal="right" vertical="center"/>
    </xf>
    <xf numFmtId="0" fontId="9" fillId="0" borderId="0" xfId="24" applyFont="1" applyFill="1"/>
    <xf numFmtId="0" fontId="13" fillId="0" borderId="0" xfId="24" applyFont="1" applyFill="1"/>
    <xf numFmtId="0" fontId="3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16" fontId="3" fillId="0" borderId="2" xfId="0" applyNumberFormat="1" applyFont="1" applyBorder="1" applyAlignment="1">
      <alignment horizontal="center" vertical="top" wrapText="1"/>
    </xf>
    <xf numFmtId="0" fontId="8" fillId="0" borderId="2" xfId="24" applyFont="1" applyBorder="1" applyAlignment="1">
      <alignment horizontal="center" vertical="center" wrapText="1"/>
    </xf>
    <xf numFmtId="4" fontId="6" fillId="0" borderId="0" xfId="24" applyNumberFormat="1" applyFont="1"/>
    <xf numFmtId="0" fontId="9" fillId="0" borderId="5" xfId="24" applyFont="1" applyBorder="1" applyAlignment="1">
      <alignment horizontal="justify" vertical="top" wrapText="1"/>
    </xf>
    <xf numFmtId="4" fontId="9" fillId="0" borderId="2" xfId="24" applyNumberFormat="1" applyFont="1" applyFill="1" applyBorder="1" applyAlignment="1">
      <alignment horizontal="center" vertical="top" wrapText="1"/>
    </xf>
    <xf numFmtId="4" fontId="13" fillId="0" borderId="2" xfId="24" applyNumberFormat="1" applyFont="1" applyFill="1" applyBorder="1" applyAlignment="1">
      <alignment horizontal="center" vertical="top" wrapText="1"/>
    </xf>
    <xf numFmtId="4" fontId="5" fillId="0" borderId="2" xfId="24" applyNumberFormat="1" applyFont="1" applyBorder="1" applyAlignment="1">
      <alignment horizontal="center" vertical="top" wrapText="1"/>
    </xf>
    <xf numFmtId="0" fontId="4" fillId="0" borderId="2" xfId="24" applyFont="1" applyBorder="1" applyAlignment="1">
      <alignment horizontal="center" vertical="top" wrapText="1"/>
    </xf>
    <xf numFmtId="4" fontId="4" fillId="0" borderId="2" xfId="24" applyNumberFormat="1" applyFont="1" applyBorder="1" applyAlignment="1">
      <alignment horizontal="center" vertical="top" wrapText="1"/>
    </xf>
    <xf numFmtId="0" fontId="3" fillId="2" borderId="2" xfId="29" applyFont="1" applyFill="1" applyBorder="1" applyAlignment="1">
      <alignment horizontal="left" vertical="top" wrapText="1"/>
    </xf>
    <xf numFmtId="0" fontId="3" fillId="2" borderId="2" xfId="29" applyFont="1" applyFill="1" applyBorder="1" applyAlignment="1">
      <alignment horizontal="center" vertical="center" wrapText="1"/>
    </xf>
    <xf numFmtId="0" fontId="9" fillId="2" borderId="0" xfId="24" applyFont="1" applyFill="1"/>
    <xf numFmtId="0" fontId="5" fillId="0" borderId="2" xfId="0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3" fontId="5" fillId="0" borderId="2" xfId="0" applyNumberFormat="1" applyFont="1" applyFill="1" applyBorder="1" applyAlignment="1">
      <alignment horizontal="center" vertical="top"/>
    </xf>
    <xf numFmtId="0" fontId="2" fillId="0" borderId="2" xfId="31" applyFont="1" applyFill="1" applyBorder="1" applyAlignment="1">
      <alignment vertical="top" wrapText="1"/>
    </xf>
    <xf numFmtId="0" fontId="5" fillId="0" borderId="6" xfId="0" applyFont="1" applyFill="1" applyBorder="1" applyAlignment="1" applyProtection="1">
      <alignment horizontal="left" wrapText="1"/>
      <protection locked="0"/>
    </xf>
    <xf numFmtId="0" fontId="5" fillId="0" borderId="7" xfId="0" applyFont="1" applyFill="1" applyBorder="1" applyAlignment="1" applyProtection="1">
      <alignment horizontal="center" wrapText="1"/>
      <protection locked="0"/>
    </xf>
    <xf numFmtId="0" fontId="5" fillId="0" borderId="2" xfId="0" applyFont="1" applyFill="1" applyBorder="1" applyAlignment="1" applyProtection="1">
      <alignment horizontal="center" wrapText="1"/>
      <protection locked="0"/>
    </xf>
    <xf numFmtId="0" fontId="5" fillId="0" borderId="8" xfId="0" applyFont="1" applyFill="1" applyBorder="1" applyAlignment="1" applyProtection="1">
      <alignment horizontal="center" wrapText="1"/>
      <protection locked="0"/>
    </xf>
    <xf numFmtId="0" fontId="5" fillId="0" borderId="6" xfId="0" applyFont="1" applyFill="1" applyBorder="1" applyAlignment="1" applyProtection="1">
      <alignment horizontal="center" wrapText="1"/>
      <protection locked="0"/>
    </xf>
    <xf numFmtId="0" fontId="3" fillId="0" borderId="2" xfId="34" applyFont="1" applyFill="1" applyBorder="1" applyAlignment="1">
      <alignment vertical="top" wrapText="1"/>
    </xf>
    <xf numFmtId="0" fontId="2" fillId="0" borderId="2" xfId="34" applyFont="1" applyFill="1" applyBorder="1" applyAlignment="1">
      <alignment vertical="top" wrapText="1"/>
    </xf>
    <xf numFmtId="0" fontId="2" fillId="0" borderId="2" xfId="29" applyFont="1" applyFill="1" applyBorder="1" applyAlignment="1">
      <alignment horizontal="left" vertical="center" wrapText="1"/>
    </xf>
    <xf numFmtId="0" fontId="9" fillId="0" borderId="2" xfId="24" applyFont="1" applyFill="1" applyBorder="1" applyAlignment="1">
      <alignment vertical="top" wrapText="1"/>
    </xf>
    <xf numFmtId="0" fontId="2" fillId="0" borderId="2" xfId="24" applyFont="1" applyFill="1" applyBorder="1" applyAlignment="1">
      <alignment vertical="top" wrapText="1"/>
    </xf>
    <xf numFmtId="0" fontId="3" fillId="0" borderId="2" xfId="0" applyFont="1" applyFill="1" applyBorder="1"/>
    <xf numFmtId="0" fontId="13" fillId="0" borderId="2" xfId="24" applyFont="1" applyFill="1" applyBorder="1" applyAlignment="1">
      <alignment horizontal="center" vertical="top" wrapText="1"/>
    </xf>
    <xf numFmtId="4" fontId="2" fillId="0" borderId="2" xfId="24" applyNumberFormat="1" applyFont="1" applyFill="1" applyBorder="1" applyAlignment="1">
      <alignment horizontal="center" vertical="top" wrapText="1"/>
    </xf>
    <xf numFmtId="4" fontId="3" fillId="0" borderId="2" xfId="24" applyNumberFormat="1" applyFont="1" applyFill="1" applyBorder="1" applyAlignment="1">
      <alignment horizontal="center" vertical="top" wrapText="1"/>
    </xf>
    <xf numFmtId="4" fontId="2" fillId="0" borderId="2" xfId="24" applyNumberFormat="1" applyFont="1" applyFill="1" applyBorder="1" applyAlignment="1">
      <alignment horizontal="center" vertical="center" wrapText="1"/>
    </xf>
    <xf numFmtId="4" fontId="4" fillId="0" borderId="2" xfId="24" applyNumberFormat="1" applyFont="1" applyFill="1" applyBorder="1" applyAlignment="1">
      <alignment horizontal="center" vertical="top" wrapText="1"/>
    </xf>
    <xf numFmtId="4" fontId="5" fillId="0" borderId="2" xfId="24" applyNumberFormat="1" applyFont="1" applyFill="1" applyBorder="1" applyAlignment="1">
      <alignment horizontal="center" vertical="top" wrapText="1"/>
    </xf>
    <xf numFmtId="0" fontId="9" fillId="0" borderId="2" xfId="24" applyFont="1" applyFill="1" applyBorder="1" applyAlignment="1">
      <alignment horizontal="center" vertical="top" wrapText="1"/>
    </xf>
    <xf numFmtId="0" fontId="2" fillId="0" borderId="2" xfId="31" applyFont="1" applyFill="1" applyBorder="1" applyAlignment="1">
      <alignment horizontal="center" vertical="top" wrapText="1"/>
    </xf>
    <xf numFmtId="3" fontId="2" fillId="0" borderId="2" xfId="29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" fillId="0" borderId="2" xfId="34" applyFont="1" applyFill="1" applyBorder="1" applyAlignment="1">
      <alignment horizontal="center" vertical="top" wrapText="1"/>
    </xf>
    <xf numFmtId="49" fontId="3" fillId="0" borderId="2" xfId="29" applyNumberFormat="1" applyFont="1" applyFill="1" applyBorder="1" applyAlignment="1">
      <alignment horizontal="center" vertical="top" wrapText="1"/>
    </xf>
    <xf numFmtId="3" fontId="2" fillId="0" borderId="2" xfId="31" applyNumberFormat="1" applyFont="1" applyFill="1" applyBorder="1" applyAlignment="1">
      <alignment horizontal="center" vertical="top" wrapText="1"/>
    </xf>
    <xf numFmtId="4" fontId="2" fillId="0" borderId="2" xfId="31" applyNumberFormat="1" applyFont="1" applyFill="1" applyBorder="1" applyAlignment="1">
      <alignment horizontal="center" vertical="top" wrapText="1"/>
    </xf>
    <xf numFmtId="0" fontId="3" fillId="0" borderId="2" xfId="29" applyFont="1" applyFill="1" applyBorder="1" applyAlignment="1">
      <alignment horizontal="center" vertical="center" wrapText="1"/>
    </xf>
    <xf numFmtId="0" fontId="3" fillId="0" borderId="2" xfId="31" applyFont="1" applyFill="1" applyBorder="1" applyAlignment="1">
      <alignment horizontal="center" vertical="top" wrapText="1"/>
    </xf>
    <xf numFmtId="0" fontId="9" fillId="0" borderId="2" xfId="24" applyFont="1" applyFill="1" applyBorder="1" applyAlignment="1">
      <alignment horizontal="center" vertical="center" wrapText="1"/>
    </xf>
    <xf numFmtId="3" fontId="9" fillId="0" borderId="2" xfId="24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/>
    </xf>
    <xf numFmtId="0" fontId="4" fillId="0" borderId="2" xfId="24" applyFont="1" applyFill="1" applyBorder="1" applyAlignment="1">
      <alignment horizontal="center" vertical="top" wrapText="1"/>
    </xf>
    <xf numFmtId="0" fontId="5" fillId="0" borderId="2" xfId="24" applyFont="1" applyFill="1" applyBorder="1" applyAlignment="1">
      <alignment horizontal="center" vertical="top" wrapText="1"/>
    </xf>
    <xf numFmtId="0" fontId="9" fillId="0" borderId="0" xfId="24" applyFont="1" applyFill="1" applyAlignment="1">
      <alignment horizontal="center" vertical="center"/>
    </xf>
    <xf numFmtId="3" fontId="9" fillId="0" borderId="0" xfId="24" applyNumberFormat="1" applyFont="1" applyFill="1" applyAlignment="1">
      <alignment horizontal="center"/>
    </xf>
    <xf numFmtId="4" fontId="8" fillId="0" borderId="2" xfId="31" applyNumberFormat="1" applyFont="1" applyFill="1" applyBorder="1" applyAlignment="1">
      <alignment horizontal="center" vertical="top" wrapText="1"/>
    </xf>
    <xf numFmtId="4" fontId="9" fillId="0" borderId="2" xfId="24" applyNumberFormat="1" applyFont="1" applyFill="1" applyBorder="1" applyAlignment="1">
      <alignment horizontal="left" vertical="center" wrapText="1"/>
    </xf>
    <xf numFmtId="0" fontId="13" fillId="0" borderId="0" xfId="24" applyFont="1" applyFill="1" applyAlignment="1">
      <alignment vertical="center"/>
    </xf>
    <xf numFmtId="0" fontId="2" fillId="0" borderId="0" xfId="24" applyFont="1" applyFill="1"/>
    <xf numFmtId="0" fontId="3" fillId="0" borderId="0" xfId="24" applyFont="1" applyFill="1"/>
    <xf numFmtId="165" fontId="3" fillId="0" borderId="2" xfId="29" applyNumberFormat="1" applyFont="1" applyFill="1" applyBorder="1" applyAlignment="1">
      <alignment horizontal="center" vertical="top" wrapText="1"/>
    </xf>
    <xf numFmtId="166" fontId="3" fillId="0" borderId="2" xfId="29" applyNumberFormat="1" applyFont="1" applyFill="1" applyBorder="1" applyAlignment="1">
      <alignment horizontal="center" vertical="top" wrapText="1"/>
    </xf>
    <xf numFmtId="166" fontId="9" fillId="0" borderId="2" xfId="24" applyNumberFormat="1" applyFont="1" applyBorder="1" applyAlignment="1">
      <alignment horizontal="center" vertical="top" wrapText="1"/>
    </xf>
    <xf numFmtId="167" fontId="9" fillId="0" borderId="2" xfId="24" applyNumberFormat="1" applyFont="1" applyBorder="1" applyAlignment="1">
      <alignment horizontal="center" vertical="top" wrapText="1"/>
    </xf>
    <xf numFmtId="4" fontId="2" fillId="0" borderId="2" xfId="24" applyNumberFormat="1" applyFont="1" applyBorder="1" applyAlignment="1">
      <alignment horizontal="center" vertical="top" wrapText="1"/>
    </xf>
    <xf numFmtId="0" fontId="9" fillId="0" borderId="5" xfId="24" applyFont="1" applyBorder="1" applyAlignment="1">
      <alignment horizontal="left" vertical="top" wrapText="1"/>
    </xf>
    <xf numFmtId="0" fontId="9" fillId="0" borderId="2" xfId="24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0" xfId="28" applyFont="1"/>
    <xf numFmtId="0" fontId="3" fillId="0" borderId="0" xfId="28" applyFont="1" applyAlignment="1">
      <alignment horizontal="justify" vertical="center"/>
    </xf>
    <xf numFmtId="0" fontId="3" fillId="0" borderId="2" xfId="28" applyFont="1" applyBorder="1" applyAlignment="1">
      <alignment horizontal="center" vertical="top" wrapText="1"/>
    </xf>
    <xf numFmtId="166" fontId="3" fillId="0" borderId="2" xfId="30" applyNumberFormat="1" applyFont="1" applyFill="1" applyBorder="1" applyAlignment="1">
      <alignment horizontal="center" vertical="top" wrapText="1"/>
    </xf>
    <xf numFmtId="0" fontId="3" fillId="0" borderId="2" xfId="28" applyFont="1" applyBorder="1" applyAlignment="1">
      <alignment vertical="top" wrapText="1"/>
    </xf>
    <xf numFmtId="0" fontId="2" fillId="0" borderId="2" xfId="30" applyFont="1" applyFill="1" applyBorder="1" applyAlignment="1">
      <alignment horizontal="left" vertical="top" wrapText="1"/>
    </xf>
    <xf numFmtId="0" fontId="2" fillId="0" borderId="2" xfId="30" applyFont="1" applyFill="1" applyBorder="1" applyAlignment="1">
      <alignment horizontal="center" vertical="top" wrapText="1"/>
    </xf>
    <xf numFmtId="0" fontId="3" fillId="0" borderId="5" xfId="28" applyFont="1" applyBorder="1" applyAlignment="1">
      <alignment horizontal="justify" vertical="top" wrapText="1"/>
    </xf>
    <xf numFmtId="0" fontId="2" fillId="0" borderId="0" xfId="28" applyFont="1"/>
    <xf numFmtId="0" fontId="2" fillId="0" borderId="2" xfId="33" applyFont="1" applyFill="1" applyBorder="1" applyAlignment="1">
      <alignment horizontal="center" vertical="top" wrapText="1"/>
    </xf>
    <xf numFmtId="164" fontId="2" fillId="0" borderId="2" xfId="30" applyNumberFormat="1" applyFont="1" applyFill="1" applyBorder="1" applyAlignment="1">
      <alignment horizontal="center" vertical="center" wrapText="1"/>
    </xf>
    <xf numFmtId="0" fontId="3" fillId="2" borderId="2" xfId="30" applyFont="1" applyFill="1" applyBorder="1" applyAlignment="1">
      <alignment horizontal="left" vertical="top" wrapText="1"/>
    </xf>
    <xf numFmtId="0" fontId="3" fillId="2" borderId="2" xfId="30" applyFont="1" applyFill="1" applyBorder="1" applyAlignment="1">
      <alignment horizontal="center" vertical="center" wrapText="1"/>
    </xf>
    <xf numFmtId="166" fontId="3" fillId="0" borderId="2" xfId="28" applyNumberFormat="1" applyFont="1" applyBorder="1" applyAlignment="1">
      <alignment horizontal="center" vertical="top" wrapText="1"/>
    </xf>
    <xf numFmtId="0" fontId="2" fillId="0" borderId="2" xfId="33" applyFont="1" applyFill="1" applyBorder="1" applyAlignment="1">
      <alignment vertical="top" wrapText="1"/>
    </xf>
    <xf numFmtId="0" fontId="3" fillId="0" borderId="5" xfId="28" applyFont="1" applyBorder="1" applyAlignment="1">
      <alignment horizontal="left" vertical="top" wrapText="1"/>
    </xf>
    <xf numFmtId="0" fontId="3" fillId="0" borderId="2" xfId="30" applyFont="1" applyFill="1" applyBorder="1" applyAlignment="1">
      <alignment horizontal="center" vertical="top" wrapText="1"/>
    </xf>
    <xf numFmtId="164" fontId="3" fillId="0" borderId="2" xfId="28" applyNumberFormat="1" applyFont="1" applyBorder="1" applyAlignment="1">
      <alignment horizontal="center" vertical="top" wrapText="1"/>
    </xf>
    <xf numFmtId="0" fontId="3" fillId="0" borderId="2" xfId="28" applyFont="1" applyFill="1" applyBorder="1" applyAlignment="1">
      <alignment vertical="top" wrapText="1"/>
    </xf>
    <xf numFmtId="0" fontId="3" fillId="0" borderId="2" xfId="28" applyFont="1" applyFill="1" applyBorder="1" applyAlignment="1">
      <alignment horizontal="center" vertical="center" wrapText="1"/>
    </xf>
    <xf numFmtId="167" fontId="3" fillId="0" borderId="2" xfId="28" applyNumberFormat="1" applyFont="1" applyBorder="1" applyAlignment="1">
      <alignment horizontal="center" vertical="top" wrapText="1"/>
    </xf>
    <xf numFmtId="0" fontId="2" fillId="0" borderId="2" xfId="28" applyFont="1" applyFill="1" applyBorder="1" applyAlignment="1">
      <alignment vertical="top" wrapText="1"/>
    </xf>
    <xf numFmtId="164" fontId="2" fillId="0" borderId="2" xfId="30" applyNumberFormat="1" applyFont="1" applyFill="1" applyBorder="1" applyAlignment="1">
      <alignment horizontal="center" vertical="top" wrapText="1"/>
    </xf>
    <xf numFmtId="0" fontId="3" fillId="0" borderId="2" xfId="28" applyFont="1" applyBorder="1" applyAlignment="1">
      <alignment horizontal="left" vertical="top" wrapText="1"/>
    </xf>
    <xf numFmtId="0" fontId="3" fillId="0" borderId="0" xfId="28" applyFont="1" applyAlignment="1">
      <alignment horizontal="left" wrapText="1"/>
    </xf>
    <xf numFmtId="0" fontId="3" fillId="0" borderId="0" xfId="28" applyFont="1" applyAlignment="1">
      <alignment horizontal="right" vertical="center"/>
    </xf>
    <xf numFmtId="0" fontId="3" fillId="0" borderId="2" xfId="28" applyFont="1" applyBorder="1" applyAlignment="1">
      <alignment horizontal="center" vertical="center" wrapText="1"/>
    </xf>
    <xf numFmtId="4" fontId="2" fillId="0" borderId="2" xfId="28" applyNumberFormat="1" applyFont="1" applyBorder="1" applyAlignment="1">
      <alignment horizontal="center" vertical="top" wrapText="1"/>
    </xf>
    <xf numFmtId="4" fontId="3" fillId="0" borderId="2" xfId="28" applyNumberFormat="1" applyFont="1" applyBorder="1" applyAlignment="1">
      <alignment horizontal="center" vertical="top" wrapText="1"/>
    </xf>
    <xf numFmtId="4" fontId="3" fillId="0" borderId="2" xfId="28" applyNumberFormat="1" applyFont="1" applyFill="1" applyBorder="1" applyAlignment="1">
      <alignment horizontal="center" vertical="top" wrapText="1"/>
    </xf>
    <xf numFmtId="4" fontId="2" fillId="0" borderId="2" xfId="28" applyNumberFormat="1" applyFont="1" applyFill="1" applyBorder="1" applyAlignment="1">
      <alignment horizontal="center" vertical="top" wrapText="1"/>
    </xf>
    <xf numFmtId="0" fontId="3" fillId="0" borderId="0" xfId="28" applyFont="1" applyFill="1"/>
    <xf numFmtId="4" fontId="3" fillId="0" borderId="2" xfId="30" applyNumberFormat="1" applyFont="1" applyFill="1" applyBorder="1" applyAlignment="1">
      <alignment horizontal="center" vertical="top" wrapText="1"/>
    </xf>
    <xf numFmtId="4" fontId="5" fillId="0" borderId="2" xfId="28" applyNumberFormat="1" applyFont="1" applyBorder="1" applyAlignment="1">
      <alignment horizontal="center" vertical="top" wrapText="1"/>
    </xf>
    <xf numFmtId="0" fontId="4" fillId="0" borderId="2" xfId="28" applyFont="1" applyBorder="1" applyAlignment="1">
      <alignment horizontal="center" vertical="top" wrapText="1"/>
    </xf>
    <xf numFmtId="4" fontId="4" fillId="0" borderId="2" xfId="28" applyNumberFormat="1" applyFont="1" applyBorder="1" applyAlignment="1">
      <alignment horizontal="center" vertical="top" wrapText="1"/>
    </xf>
    <xf numFmtId="49" fontId="7" fillId="0" borderId="2" xfId="24" applyNumberFormat="1" applyFont="1" applyFill="1" applyBorder="1" applyAlignment="1">
      <alignment horizontal="left" vertical="top" wrapText="1"/>
    </xf>
    <xf numFmtId="0" fontId="7" fillId="0" borderId="2" xfId="24" applyFont="1" applyBorder="1" applyAlignment="1">
      <alignment horizontal="left" vertical="top" wrapText="1"/>
    </xf>
    <xf numFmtId="4" fontId="7" fillId="0" borderId="2" xfId="24" applyNumberFormat="1" applyFont="1" applyBorder="1" applyAlignment="1">
      <alignment horizontal="center" vertical="top" wrapText="1"/>
    </xf>
    <xf numFmtId="0" fontId="7" fillId="0" borderId="2" xfId="24" applyFont="1" applyFill="1" applyBorder="1" applyAlignment="1">
      <alignment vertical="top" wrapText="1"/>
    </xf>
    <xf numFmtId="3" fontId="7" fillId="0" borderId="2" xfId="24" applyNumberFormat="1" applyFont="1" applyFill="1" applyBorder="1" applyAlignment="1">
      <alignment horizontal="center" vertical="top" wrapText="1"/>
    </xf>
    <xf numFmtId="4" fontId="8" fillId="0" borderId="2" xfId="24" applyNumberFormat="1" applyFont="1" applyBorder="1" applyAlignment="1">
      <alignment horizontal="center" wrapText="1"/>
    </xf>
    <xf numFmtId="0" fontId="2" fillId="0" borderId="9" xfId="24" applyFont="1" applyFill="1" applyBorder="1" applyAlignment="1">
      <alignment horizontal="center" vertical="top" wrapText="1"/>
    </xf>
    <xf numFmtId="168" fontId="3" fillId="0" borderId="2" xfId="29" applyNumberFormat="1" applyFont="1" applyFill="1" applyBorder="1" applyAlignment="1">
      <alignment horizontal="center" vertical="top" wrapText="1"/>
    </xf>
    <xf numFmtId="168" fontId="9" fillId="0" borderId="2" xfId="24" applyNumberFormat="1" applyFont="1" applyFill="1" applyBorder="1" applyAlignment="1">
      <alignment horizontal="center" vertical="top" wrapText="1"/>
    </xf>
    <xf numFmtId="4" fontId="2" fillId="0" borderId="2" xfId="29" applyNumberFormat="1" applyFont="1" applyFill="1" applyBorder="1" applyAlignment="1">
      <alignment horizontal="center" vertical="top" wrapText="1"/>
    </xf>
    <xf numFmtId="4" fontId="9" fillId="0" borderId="0" xfId="24" applyNumberFormat="1" applyFont="1" applyFill="1"/>
    <xf numFmtId="4" fontId="13" fillId="0" borderId="0" xfId="24" applyNumberFormat="1" applyFont="1" applyFill="1"/>
    <xf numFmtId="4" fontId="13" fillId="0" borderId="0" xfId="24" applyNumberFormat="1" applyFont="1" applyFill="1" applyAlignment="1">
      <alignment vertical="center"/>
    </xf>
    <xf numFmtId="4" fontId="2" fillId="0" borderId="0" xfId="24" applyNumberFormat="1" applyFont="1" applyFill="1"/>
    <xf numFmtId="4" fontId="3" fillId="0" borderId="0" xfId="24" applyNumberFormat="1" applyFont="1" applyFill="1"/>
    <xf numFmtId="0" fontId="3" fillId="0" borderId="10" xfId="34" applyFont="1" applyFill="1" applyBorder="1" applyAlignment="1">
      <alignment vertical="top" wrapText="1"/>
    </xf>
    <xf numFmtId="0" fontId="2" fillId="0" borderId="10" xfId="34" applyFont="1" applyFill="1" applyBorder="1" applyAlignment="1">
      <alignment vertical="top" wrapText="1"/>
    </xf>
    <xf numFmtId="0" fontId="9" fillId="0" borderId="0" xfId="24" applyFont="1" applyAlignment="1">
      <alignment horizontal="right" vertical="center" wrapText="1"/>
    </xf>
    <xf numFmtId="0" fontId="9" fillId="0" borderId="2" xfId="24" applyFont="1" applyBorder="1" applyAlignment="1">
      <alignment horizontal="justify" vertical="top" wrapText="1"/>
    </xf>
    <xf numFmtId="0" fontId="9" fillId="0" borderId="0" xfId="24" applyFont="1" applyAlignment="1">
      <alignment horizontal="justify" vertical="center" wrapText="1"/>
    </xf>
    <xf numFmtId="0" fontId="3" fillId="0" borderId="2" xfId="0" applyFont="1" applyFill="1" applyBorder="1" applyAlignment="1">
      <alignment wrapText="1"/>
    </xf>
    <xf numFmtId="0" fontId="9" fillId="0" borderId="0" xfId="24" applyFont="1" applyAlignment="1">
      <alignment wrapText="1"/>
    </xf>
    <xf numFmtId="167" fontId="5" fillId="0" borderId="2" xfId="0" applyNumberFormat="1" applyFont="1" applyFill="1" applyBorder="1" applyAlignment="1">
      <alignment horizontal="center" vertical="top"/>
    </xf>
    <xf numFmtId="4" fontId="3" fillId="0" borderId="2" xfId="24" applyNumberFormat="1" applyFont="1" applyBorder="1" applyAlignment="1">
      <alignment horizontal="center" vertical="top" wrapText="1"/>
    </xf>
    <xf numFmtId="0" fontId="2" fillId="0" borderId="0" xfId="24" applyFont="1"/>
    <xf numFmtId="167" fontId="5" fillId="0" borderId="2" xfId="0" applyNumberFormat="1" applyFont="1" applyFill="1" applyBorder="1" applyAlignment="1">
      <alignment horizontal="center" vertical="top" wrapText="1"/>
    </xf>
    <xf numFmtId="4" fontId="9" fillId="0" borderId="0" xfId="24" applyNumberFormat="1" applyFont="1"/>
    <xf numFmtId="0" fontId="3" fillId="0" borderId="2" xfId="24" applyFont="1" applyBorder="1" applyAlignment="1">
      <alignment horizontal="center" vertical="top" wrapText="1"/>
    </xf>
    <xf numFmtId="0" fontId="3" fillId="0" borderId="2" xfId="24" applyFont="1" applyBorder="1" applyAlignment="1">
      <alignment vertical="top" wrapText="1"/>
    </xf>
    <xf numFmtId="4" fontId="3" fillId="0" borderId="0" xfId="28" applyNumberFormat="1" applyFont="1"/>
    <xf numFmtId="0" fontId="7" fillId="0" borderId="0" xfId="31" applyFont="1" applyAlignment="1">
      <alignment horizontal="right" vertical="top"/>
    </xf>
    <xf numFmtId="0" fontId="7" fillId="0" borderId="0" xfId="31" applyFont="1" applyAlignment="1">
      <alignment horizontal="right" vertical="top" wrapText="1"/>
    </xf>
    <xf numFmtId="0" fontId="3" fillId="0" borderId="0" xfId="24" applyFont="1" applyAlignment="1">
      <alignment horizontal="right" vertical="center"/>
    </xf>
    <xf numFmtId="0" fontId="9" fillId="0" borderId="0" xfId="24" applyFont="1" applyAlignment="1">
      <alignment horizontal="right" vertical="top" wrapText="1"/>
    </xf>
    <xf numFmtId="4" fontId="2" fillId="0" borderId="2" xfId="24" quotePrefix="1" applyNumberFormat="1" applyFont="1" applyBorder="1" applyAlignment="1">
      <alignment horizontal="center" vertical="top" wrapText="1"/>
    </xf>
    <xf numFmtId="0" fontId="7" fillId="0" borderId="0" xfId="24" applyFont="1" applyAlignment="1">
      <alignment horizontal="right" vertical="top" wrapText="1"/>
    </xf>
    <xf numFmtId="0" fontId="7" fillId="0" borderId="0" xfId="31" applyFont="1" applyAlignment="1">
      <alignment vertical="center"/>
    </xf>
    <xf numFmtId="0" fontId="7" fillId="0" borderId="0" xfId="31" applyFont="1" applyAlignment="1">
      <alignment vertical="top" wrapText="1"/>
    </xf>
    <xf numFmtId="0" fontId="21" fillId="0" borderId="0" xfId="31"/>
    <xf numFmtId="0" fontId="21" fillId="0" borderId="0" xfId="32" applyAlignment="1">
      <alignment horizontal="right" vertical="center"/>
    </xf>
    <xf numFmtId="0" fontId="21" fillId="0" borderId="0" xfId="32"/>
    <xf numFmtId="0" fontId="7" fillId="0" borderId="0" xfId="32" applyFont="1" applyAlignment="1">
      <alignment vertical="center"/>
    </xf>
    <xf numFmtId="0" fontId="7" fillId="0" borderId="0" xfId="32" applyFont="1" applyAlignment="1">
      <alignment vertical="top" wrapText="1"/>
    </xf>
    <xf numFmtId="0" fontId="12" fillId="0" borderId="0" xfId="32" applyFont="1" applyAlignment="1">
      <alignment horizontal="justify" vertical="center"/>
    </xf>
    <xf numFmtId="0" fontId="7" fillId="0" borderId="0" xfId="32" applyFont="1"/>
    <xf numFmtId="0" fontId="21" fillId="0" borderId="0" xfId="32" applyAlignment="1">
      <alignment horizontal="justify" vertical="center"/>
    </xf>
    <xf numFmtId="0" fontId="7" fillId="0" borderId="0" xfId="32" applyFont="1" applyAlignment="1">
      <alignment horizontal="justify" vertical="center"/>
    </xf>
    <xf numFmtId="0" fontId="7" fillId="0" borderId="2" xfId="32" applyFont="1" applyBorder="1" applyAlignment="1">
      <alignment horizontal="center" vertical="center" wrapText="1"/>
    </xf>
    <xf numFmtId="4" fontId="21" fillId="0" borderId="0" xfId="32" applyNumberFormat="1"/>
    <xf numFmtId="3" fontId="7" fillId="0" borderId="2" xfId="24" applyNumberFormat="1" applyFont="1" applyFill="1" applyBorder="1" applyAlignment="1">
      <alignment horizontal="center" vertical="center" wrapText="1"/>
    </xf>
    <xf numFmtId="0" fontId="3" fillId="0" borderId="0" xfId="24" applyFont="1" applyAlignment="1">
      <alignment horizontal="right" vertical="center" wrapText="1"/>
    </xf>
    <xf numFmtId="0" fontId="3" fillId="0" borderId="0" xfId="28" applyFont="1" applyAlignment="1">
      <alignment horizontal="right" vertical="top" wrapText="1"/>
    </xf>
    <xf numFmtId="0" fontId="7" fillId="0" borderId="0" xfId="31" applyFont="1" applyAlignment="1">
      <alignment horizontal="right" vertical="center"/>
    </xf>
    <xf numFmtId="0" fontId="7" fillId="0" borderId="0" xfId="32" applyFont="1" applyAlignment="1">
      <alignment horizontal="right" vertical="center"/>
    </xf>
    <xf numFmtId="0" fontId="7" fillId="0" borderId="0" xfId="32" applyFont="1" applyAlignment="1">
      <alignment horizontal="right" vertical="top" wrapText="1"/>
    </xf>
    <xf numFmtId="0" fontId="3" fillId="0" borderId="2" xfId="24" applyFont="1" applyFill="1" applyBorder="1" applyAlignment="1">
      <alignment vertical="top" wrapText="1"/>
    </xf>
    <xf numFmtId="0" fontId="3" fillId="0" borderId="2" xfId="24" applyFont="1" applyFill="1" applyBorder="1" applyAlignment="1">
      <alignment horizontal="center" vertical="center" wrapText="1"/>
    </xf>
    <xf numFmtId="0" fontId="3" fillId="0" borderId="2" xfId="24" applyFont="1" applyFill="1" applyBorder="1" applyAlignment="1">
      <alignment horizontal="center" vertical="top" wrapText="1"/>
    </xf>
    <xf numFmtId="167" fontId="9" fillId="0" borderId="2" xfId="24" applyNumberFormat="1" applyFont="1" applyFill="1" applyBorder="1" applyAlignment="1">
      <alignment horizontal="center" vertical="center" wrapText="1"/>
    </xf>
    <xf numFmtId="166" fontId="3" fillId="0" borderId="2" xfId="24" applyNumberFormat="1" applyFont="1" applyBorder="1" applyAlignment="1">
      <alignment horizontal="center" vertical="top" wrapText="1"/>
    </xf>
    <xf numFmtId="4" fontId="9" fillId="0" borderId="2" xfId="24" applyNumberFormat="1" applyFont="1" applyBorder="1" applyAlignment="1">
      <alignment horizontal="center" vertical="center" wrapText="1"/>
    </xf>
    <xf numFmtId="2" fontId="9" fillId="0" borderId="2" xfId="24" applyNumberFormat="1" applyFont="1" applyFill="1" applyBorder="1" applyAlignment="1">
      <alignment horizontal="center" vertical="top" wrapText="1"/>
    </xf>
    <xf numFmtId="4" fontId="7" fillId="0" borderId="2" xfId="24" applyNumberFormat="1" applyFont="1" applyBorder="1" applyAlignment="1">
      <alignment horizontal="right" vertical="center" wrapText="1"/>
    </xf>
    <xf numFmtId="4" fontId="7" fillId="0" borderId="10" xfId="24" applyNumberFormat="1" applyFont="1" applyBorder="1" applyAlignment="1">
      <alignment horizontal="right" vertical="center" wrapText="1"/>
    </xf>
    <xf numFmtId="0" fontId="7" fillId="0" borderId="2" xfId="24" applyFont="1" applyBorder="1" applyAlignment="1">
      <alignment horizontal="center" vertical="top" wrapText="1"/>
    </xf>
    <xf numFmtId="4" fontId="9" fillId="2" borderId="2" xfId="24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 applyProtection="1">
      <alignment horizontal="left" wrapText="1"/>
      <protection locked="0"/>
    </xf>
    <xf numFmtId="0" fontId="2" fillId="2" borderId="2" xfId="29" applyFont="1" applyFill="1" applyBorder="1" applyAlignment="1">
      <alignment horizontal="left" vertical="top" wrapText="1"/>
    </xf>
    <xf numFmtId="0" fontId="3" fillId="2" borderId="2" xfId="34" applyFont="1" applyFill="1" applyBorder="1" applyAlignment="1">
      <alignment vertical="top" wrapText="1"/>
    </xf>
    <xf numFmtId="0" fontId="2" fillId="2" borderId="2" xfId="34" applyFont="1" applyFill="1" applyBorder="1" applyAlignment="1">
      <alignment vertical="top" wrapText="1"/>
    </xf>
    <xf numFmtId="0" fontId="2" fillId="2" borderId="2" xfId="31" applyFont="1" applyFill="1" applyBorder="1" applyAlignment="1">
      <alignment vertical="top" wrapText="1"/>
    </xf>
    <xf numFmtId="0" fontId="2" fillId="2" borderId="2" xfId="29" applyFont="1" applyFill="1" applyBorder="1" applyAlignment="1">
      <alignment horizontal="left" vertical="center" wrapText="1"/>
    </xf>
    <xf numFmtId="0" fontId="9" fillId="2" borderId="2" xfId="24" applyFont="1" applyFill="1" applyBorder="1" applyAlignment="1">
      <alignment vertical="top" wrapText="1"/>
    </xf>
    <xf numFmtId="0" fontId="3" fillId="2" borderId="2" xfId="24" applyFont="1" applyFill="1" applyBorder="1" applyAlignment="1">
      <alignment vertical="top" wrapText="1"/>
    </xf>
    <xf numFmtId="0" fontId="2" fillId="2" borderId="2" xfId="24" applyFont="1" applyFill="1" applyBorder="1" applyAlignment="1">
      <alignment vertical="top" wrapText="1"/>
    </xf>
    <xf numFmtId="0" fontId="3" fillId="2" borderId="2" xfId="0" applyFont="1" applyFill="1" applyBorder="1"/>
    <xf numFmtId="3" fontId="7" fillId="0" borderId="2" xfId="32" applyNumberFormat="1" applyFont="1" applyBorder="1" applyAlignment="1">
      <alignment horizontal="center" vertical="center" wrapText="1"/>
    </xf>
    <xf numFmtId="4" fontId="9" fillId="3" borderId="2" xfId="24" applyNumberFormat="1" applyFont="1" applyFill="1" applyBorder="1" applyAlignment="1">
      <alignment horizontal="center" vertical="top" wrapText="1"/>
    </xf>
    <xf numFmtId="4" fontId="9" fillId="4" borderId="2" xfId="24" applyNumberFormat="1" applyFont="1" applyFill="1" applyBorder="1" applyAlignment="1">
      <alignment horizontal="center" vertical="top" wrapText="1"/>
    </xf>
    <xf numFmtId="4" fontId="9" fillId="5" borderId="2" xfId="24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3" fillId="6" borderId="2" xfId="34" applyFont="1" applyFill="1" applyBorder="1" applyAlignment="1">
      <alignment vertical="top" wrapText="1"/>
    </xf>
    <xf numFmtId="0" fontId="5" fillId="6" borderId="2" xfId="0" applyFont="1" applyFill="1" applyBorder="1" applyAlignment="1">
      <alignment horizontal="center" vertical="top" wrapText="1"/>
    </xf>
    <xf numFmtId="0" fontId="3" fillId="6" borderId="2" xfId="34" applyFont="1" applyFill="1" applyBorder="1" applyAlignment="1">
      <alignment horizontal="center" vertical="top" wrapText="1"/>
    </xf>
    <xf numFmtId="0" fontId="9" fillId="6" borderId="2" xfId="24" applyFont="1" applyFill="1" applyBorder="1" applyAlignment="1">
      <alignment horizontal="center" vertical="top" wrapText="1"/>
    </xf>
    <xf numFmtId="4" fontId="9" fillId="6" borderId="2" xfId="24" applyNumberFormat="1" applyFont="1" applyFill="1" applyBorder="1" applyAlignment="1">
      <alignment horizontal="center" vertical="top" wrapText="1"/>
    </xf>
    <xf numFmtId="4" fontId="9" fillId="6" borderId="2" xfId="24" applyNumberFormat="1" applyFont="1" applyFill="1" applyBorder="1" applyAlignment="1">
      <alignment horizontal="center" vertical="center" wrapText="1"/>
    </xf>
    <xf numFmtId="0" fontId="7" fillId="0" borderId="0" xfId="24" applyFont="1" applyBorder="1" applyAlignment="1">
      <alignment horizontal="left" vertical="center" wrapText="1"/>
    </xf>
    <xf numFmtId="4" fontId="7" fillId="0" borderId="2" xfId="24" applyNumberFormat="1" applyFont="1" applyBorder="1" applyAlignment="1">
      <alignment horizontal="center" vertical="center"/>
    </xf>
    <xf numFmtId="4" fontId="8" fillId="0" borderId="2" xfId="24" applyNumberFormat="1" applyFont="1" applyBorder="1" applyAlignment="1">
      <alignment horizontal="center" vertical="center"/>
    </xf>
    <xf numFmtId="0" fontId="2" fillId="0" borderId="13" xfId="24" applyFont="1" applyFill="1" applyBorder="1" applyAlignment="1">
      <alignment horizontal="center" vertical="top" wrapText="1"/>
    </xf>
    <xf numFmtId="0" fontId="13" fillId="0" borderId="3" xfId="24" applyFont="1" applyFill="1" applyBorder="1" applyAlignment="1">
      <alignment horizontal="center" vertical="top" wrapText="1"/>
    </xf>
    <xf numFmtId="0" fontId="13" fillId="0" borderId="14" xfId="24" applyFont="1" applyFill="1" applyBorder="1" applyAlignment="1">
      <alignment horizontal="center" vertical="top" wrapText="1"/>
    </xf>
    <xf numFmtId="0" fontId="2" fillId="0" borderId="2" xfId="24" applyFont="1" applyFill="1" applyBorder="1" applyAlignment="1">
      <alignment vertical="top" wrapText="1"/>
    </xf>
    <xf numFmtId="0" fontId="13" fillId="2" borderId="5" xfId="24" applyFont="1" applyFill="1" applyBorder="1" applyAlignment="1">
      <alignment horizontal="center" vertical="top" wrapText="1"/>
    </xf>
    <xf numFmtId="0" fontId="13" fillId="2" borderId="9" xfId="24" applyFont="1" applyFill="1" applyBorder="1" applyAlignment="1">
      <alignment horizontal="center" vertical="top" wrapText="1"/>
    </xf>
    <xf numFmtId="0" fontId="13" fillId="0" borderId="5" xfId="24" applyFont="1" applyFill="1" applyBorder="1" applyAlignment="1">
      <alignment horizontal="center" vertical="top" wrapText="1"/>
    </xf>
    <xf numFmtId="0" fontId="13" fillId="0" borderId="9" xfId="24" applyFont="1" applyFill="1" applyBorder="1" applyAlignment="1">
      <alignment horizontal="center" vertical="top" wrapText="1"/>
    </xf>
    <xf numFmtId="3" fontId="8" fillId="0" borderId="5" xfId="31" applyNumberFormat="1" applyFont="1" applyFill="1" applyBorder="1" applyAlignment="1">
      <alignment horizontal="center" vertical="top" wrapText="1"/>
    </xf>
    <xf numFmtId="3" fontId="8" fillId="0" borderId="9" xfId="31" applyNumberFormat="1" applyFont="1" applyFill="1" applyBorder="1" applyAlignment="1">
      <alignment horizontal="center" vertical="top" wrapText="1"/>
    </xf>
    <xf numFmtId="0" fontId="13" fillId="0" borderId="2" xfId="24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2" fillId="7" borderId="2" xfId="24" applyNumberFormat="1" applyFont="1" applyFill="1" applyBorder="1" applyAlignment="1">
      <alignment vertical="top" wrapText="1"/>
    </xf>
    <xf numFmtId="49" fontId="13" fillId="7" borderId="2" xfId="24" applyNumberFormat="1" applyFont="1" applyFill="1" applyBorder="1" applyAlignment="1">
      <alignment vertical="top" wrapText="1"/>
    </xf>
    <xf numFmtId="0" fontId="2" fillId="0" borderId="10" xfId="24" applyFont="1" applyBorder="1" applyAlignment="1">
      <alignment vertical="top" wrapText="1"/>
    </xf>
    <xf numFmtId="0" fontId="2" fillId="0" borderId="11" xfId="24" applyFont="1" applyBorder="1" applyAlignment="1">
      <alignment vertical="top" wrapText="1"/>
    </xf>
    <xf numFmtId="0" fontId="2" fillId="0" borderId="12" xfId="24" applyFont="1" applyBorder="1" applyAlignment="1">
      <alignment vertical="top" wrapText="1"/>
    </xf>
    <xf numFmtId="0" fontId="9" fillId="0" borderId="10" xfId="24" applyFont="1" applyBorder="1" applyAlignment="1">
      <alignment vertical="top" wrapText="1"/>
    </xf>
    <xf numFmtId="0" fontId="9" fillId="0" borderId="11" xfId="24" applyFont="1" applyBorder="1" applyAlignment="1">
      <alignment vertical="top" wrapText="1"/>
    </xf>
    <xf numFmtId="0" fontId="9" fillId="0" borderId="12" xfId="24" applyFont="1" applyBorder="1" applyAlignment="1">
      <alignment vertical="top" wrapText="1"/>
    </xf>
    <xf numFmtId="0" fontId="13" fillId="0" borderId="0" xfId="24" applyFont="1" applyAlignment="1">
      <alignment horizontal="center" vertical="center"/>
    </xf>
    <xf numFmtId="0" fontId="9" fillId="0" borderId="2" xfId="24" applyFont="1" applyBorder="1" applyAlignment="1">
      <alignment vertical="top"/>
    </xf>
    <xf numFmtId="0" fontId="13" fillId="0" borderId="2" xfId="24" applyFont="1" applyBorder="1" applyAlignment="1">
      <alignment vertical="top" wrapText="1"/>
    </xf>
    <xf numFmtId="0" fontId="9" fillId="0" borderId="5" xfId="24" applyFont="1" applyBorder="1" applyAlignment="1">
      <alignment horizontal="left" vertical="top" wrapText="1"/>
    </xf>
    <xf numFmtId="0" fontId="9" fillId="0" borderId="15" xfId="24" applyFont="1" applyBorder="1" applyAlignment="1">
      <alignment horizontal="left" vertical="top" wrapText="1"/>
    </xf>
    <xf numFmtId="0" fontId="9" fillId="0" borderId="9" xfId="24" applyFont="1" applyBorder="1" applyAlignment="1">
      <alignment horizontal="left" vertical="top" wrapText="1"/>
    </xf>
    <xf numFmtId="0" fontId="18" fillId="0" borderId="10" xfId="24" applyFont="1" applyBorder="1" applyAlignment="1">
      <alignment vertical="top" wrapText="1"/>
    </xf>
    <xf numFmtId="0" fontId="18" fillId="0" borderId="11" xfId="24" applyFont="1" applyBorder="1" applyAlignment="1">
      <alignment vertical="top" wrapText="1"/>
    </xf>
    <xf numFmtId="0" fontId="18" fillId="0" borderId="12" xfId="24" applyFont="1" applyBorder="1" applyAlignment="1">
      <alignment vertical="top" wrapText="1"/>
    </xf>
    <xf numFmtId="0" fontId="9" fillId="0" borderId="5" xfId="24" applyFont="1" applyBorder="1" applyAlignment="1">
      <alignment horizontal="justify" vertical="top" wrapText="1"/>
    </xf>
    <xf numFmtId="0" fontId="9" fillId="0" borderId="15" xfId="24" applyFont="1" applyBorder="1" applyAlignment="1">
      <alignment horizontal="justify" vertical="top" wrapText="1"/>
    </xf>
    <xf numFmtId="0" fontId="9" fillId="0" borderId="10" xfId="24" applyFont="1" applyBorder="1" applyAlignment="1">
      <alignment horizontal="left" vertical="top" wrapText="1"/>
    </xf>
    <xf numFmtId="0" fontId="9" fillId="0" borderId="11" xfId="24" applyFont="1" applyBorder="1" applyAlignment="1">
      <alignment horizontal="left" vertical="top" wrapText="1"/>
    </xf>
    <xf numFmtId="0" fontId="9" fillId="0" borderId="12" xfId="24" applyFont="1" applyBorder="1" applyAlignment="1">
      <alignment horizontal="left" vertical="top" wrapText="1"/>
    </xf>
    <xf numFmtId="0" fontId="2" fillId="0" borderId="10" xfId="24" applyFont="1" applyBorder="1" applyAlignment="1">
      <alignment horizontal="left" vertical="top" wrapText="1"/>
    </xf>
    <xf numFmtId="0" fontId="2" fillId="0" borderId="11" xfId="24" applyFont="1" applyBorder="1" applyAlignment="1">
      <alignment horizontal="left" vertical="top" wrapText="1"/>
    </xf>
    <xf numFmtId="0" fontId="2" fillId="0" borderId="12" xfId="24" applyFont="1" applyBorder="1" applyAlignment="1">
      <alignment horizontal="left" vertical="top" wrapText="1"/>
    </xf>
    <xf numFmtId="0" fontId="9" fillId="0" borderId="0" xfId="24" applyFont="1" applyAlignment="1">
      <alignment horizontal="left" vertical="top" wrapText="1"/>
    </xf>
    <xf numFmtId="0" fontId="9" fillId="0" borderId="2" xfId="24" applyFont="1" applyBorder="1" applyAlignment="1">
      <alignment horizontal="left" vertical="top" wrapText="1"/>
    </xf>
    <xf numFmtId="0" fontId="9" fillId="0" borderId="9" xfId="24" applyFont="1" applyBorder="1" applyAlignment="1">
      <alignment horizontal="justify" vertical="top" wrapText="1"/>
    </xf>
    <xf numFmtId="0" fontId="3" fillId="0" borderId="10" xfId="24" applyFont="1" applyBorder="1" applyAlignment="1">
      <alignment horizontal="left" vertical="top" wrapText="1"/>
    </xf>
    <xf numFmtId="0" fontId="3" fillId="0" borderId="11" xfId="24" applyFont="1" applyBorder="1" applyAlignment="1">
      <alignment horizontal="left" vertical="top" wrapText="1"/>
    </xf>
    <xf numFmtId="0" fontId="3" fillId="0" borderId="12" xfId="24" applyFont="1" applyBorder="1" applyAlignment="1">
      <alignment horizontal="left" vertical="top" wrapText="1"/>
    </xf>
    <xf numFmtId="0" fontId="9" fillId="0" borderId="2" xfId="24" applyFont="1" applyBorder="1" applyAlignment="1">
      <alignment vertical="center" wrapText="1"/>
    </xf>
    <xf numFmtId="0" fontId="3" fillId="7" borderId="2" xfId="24" applyFont="1" applyFill="1" applyBorder="1" applyAlignment="1">
      <alignment vertical="center" wrapText="1"/>
    </xf>
    <xf numFmtId="0" fontId="9" fillId="7" borderId="2" xfId="24" applyFont="1" applyFill="1" applyBorder="1" applyAlignment="1">
      <alignment vertical="center" wrapText="1"/>
    </xf>
    <xf numFmtId="0" fontId="9" fillId="0" borderId="5" xfId="24" applyFont="1" applyBorder="1" applyAlignment="1">
      <alignment horizontal="center" vertical="top" wrapText="1"/>
    </xf>
    <xf numFmtId="0" fontId="9" fillId="0" borderId="15" xfId="24" applyFont="1" applyBorder="1" applyAlignment="1">
      <alignment horizontal="center" vertical="top" wrapText="1"/>
    </xf>
    <xf numFmtId="0" fontId="3" fillId="0" borderId="10" xfId="24" applyFont="1" applyBorder="1" applyAlignment="1">
      <alignment vertical="top" wrapText="1"/>
    </xf>
    <xf numFmtId="0" fontId="3" fillId="0" borderId="11" xfId="24" applyFont="1" applyBorder="1" applyAlignment="1">
      <alignment vertical="top" wrapText="1"/>
    </xf>
    <xf numFmtId="0" fontId="3" fillId="0" borderId="12" xfId="24" applyFont="1" applyBorder="1" applyAlignment="1">
      <alignment vertical="top" wrapText="1"/>
    </xf>
    <xf numFmtId="0" fontId="3" fillId="0" borderId="5" xfId="24" applyFont="1" applyBorder="1" applyAlignment="1">
      <alignment horizontal="left" vertical="top" wrapText="1"/>
    </xf>
    <xf numFmtId="0" fontId="7" fillId="0" borderId="0" xfId="31" applyFont="1" applyAlignment="1">
      <alignment horizontal="left" wrapText="1"/>
    </xf>
    <xf numFmtId="0" fontId="8" fillId="0" borderId="0" xfId="31" applyFont="1" applyAlignment="1">
      <alignment horizontal="center" vertical="top"/>
    </xf>
    <xf numFmtId="0" fontId="3" fillId="0" borderId="2" xfId="24" applyFont="1" applyBorder="1" applyAlignment="1">
      <alignment vertical="top"/>
    </xf>
    <xf numFmtId="0" fontId="2" fillId="0" borderId="2" xfId="24" applyFont="1" applyBorder="1" applyAlignment="1">
      <alignment vertical="top" wrapText="1"/>
    </xf>
    <xf numFmtId="0" fontId="8" fillId="0" borderId="0" xfId="31" applyFont="1" applyAlignment="1">
      <alignment horizontal="center" vertical="center"/>
    </xf>
    <xf numFmtId="0" fontId="3" fillId="0" borderId="2" xfId="24" applyFont="1" applyBorder="1" applyAlignment="1">
      <alignment vertical="center" wrapText="1"/>
    </xf>
    <xf numFmtId="0" fontId="2" fillId="0" borderId="10" xfId="28" applyFont="1" applyBorder="1" applyAlignment="1">
      <alignment horizontal="left" vertical="top" wrapText="1"/>
    </xf>
    <xf numFmtId="0" fontId="2" fillId="0" borderId="11" xfId="28" applyFont="1" applyBorder="1" applyAlignment="1">
      <alignment horizontal="left" vertical="top" wrapText="1"/>
    </xf>
    <xf numFmtId="0" fontId="2" fillId="0" borderId="12" xfId="28" applyFont="1" applyBorder="1" applyAlignment="1">
      <alignment horizontal="left" vertical="top" wrapText="1"/>
    </xf>
    <xf numFmtId="0" fontId="3" fillId="0" borderId="5" xfId="28" applyFont="1" applyBorder="1" applyAlignment="1">
      <alignment horizontal="left" vertical="top" wrapText="1"/>
    </xf>
    <xf numFmtId="0" fontId="3" fillId="0" borderId="15" xfId="28" applyFont="1" applyBorder="1" applyAlignment="1">
      <alignment horizontal="left" vertical="top" wrapText="1"/>
    </xf>
    <xf numFmtId="0" fontId="3" fillId="0" borderId="9" xfId="28" applyFont="1" applyBorder="1" applyAlignment="1">
      <alignment horizontal="left" vertical="top" wrapText="1"/>
    </xf>
    <xf numFmtId="0" fontId="2" fillId="0" borderId="10" xfId="28" applyFont="1" applyBorder="1" applyAlignment="1">
      <alignment vertical="top" wrapText="1"/>
    </xf>
    <xf numFmtId="0" fontId="2" fillId="0" borderId="11" xfId="28" applyFont="1" applyBorder="1" applyAlignment="1">
      <alignment vertical="top" wrapText="1"/>
    </xf>
    <xf numFmtId="0" fontId="2" fillId="0" borderId="12" xfId="28" applyFont="1" applyBorder="1" applyAlignment="1">
      <alignment vertical="top" wrapText="1"/>
    </xf>
    <xf numFmtId="0" fontId="3" fillId="0" borderId="2" xfId="28" applyFont="1" applyBorder="1" applyAlignment="1">
      <alignment vertical="top"/>
    </xf>
    <xf numFmtId="0" fontId="8" fillId="0" borderId="0" xfId="33" applyFont="1" applyAlignment="1">
      <alignment horizontal="center" vertical="center"/>
    </xf>
    <xf numFmtId="0" fontId="3" fillId="0" borderId="2" xfId="28" applyFont="1" applyBorder="1" applyAlignment="1">
      <alignment vertical="center" wrapText="1"/>
    </xf>
    <xf numFmtId="0" fontId="3" fillId="7" borderId="2" xfId="28" applyFont="1" applyFill="1" applyBorder="1" applyAlignment="1">
      <alignment vertical="center" wrapText="1"/>
    </xf>
    <xf numFmtId="0" fontId="3" fillId="0" borderId="15" xfId="28" applyFont="1" applyBorder="1" applyAlignment="1">
      <alignment horizontal="center" vertical="top" wrapText="1"/>
    </xf>
    <xf numFmtId="0" fontId="7" fillId="0" borderId="0" xfId="24" applyFont="1" applyAlignment="1">
      <alignment horizontal="left" wrapText="1"/>
    </xf>
    <xf numFmtId="0" fontId="7" fillId="0" borderId="2" xfId="24" applyFont="1" applyBorder="1" applyAlignment="1">
      <alignment horizontal="center" vertical="center" wrapText="1"/>
    </xf>
    <xf numFmtId="4" fontId="7" fillId="0" borderId="5" xfId="24" applyNumberFormat="1" applyFont="1" applyBorder="1" applyAlignment="1">
      <alignment horizontal="center" vertical="top" wrapText="1"/>
    </xf>
    <xf numFmtId="4" fontId="7" fillId="0" borderId="15" xfId="24" applyNumberFormat="1" applyFont="1" applyBorder="1" applyAlignment="1">
      <alignment horizontal="center" vertical="top" wrapText="1"/>
    </xf>
    <xf numFmtId="4" fontId="7" fillId="0" borderId="9" xfId="24" applyNumberFormat="1" applyFont="1" applyBorder="1" applyAlignment="1">
      <alignment horizontal="center" vertical="top" wrapText="1"/>
    </xf>
    <xf numFmtId="0" fontId="7" fillId="0" borderId="0" xfId="24" applyFont="1" applyAlignment="1">
      <alignment horizontal="left" vertical="center"/>
    </xf>
    <xf numFmtId="0" fontId="7" fillId="0" borderId="5" xfId="24" applyFont="1" applyBorder="1" applyAlignment="1">
      <alignment horizontal="left" vertical="top" wrapText="1"/>
    </xf>
    <xf numFmtId="0" fontId="7" fillId="0" borderId="15" xfId="24" applyFont="1" applyBorder="1" applyAlignment="1">
      <alignment horizontal="left" vertical="top" wrapText="1"/>
    </xf>
    <xf numFmtId="0" fontId="7" fillId="0" borderId="9" xfId="24" applyFont="1" applyBorder="1" applyAlignment="1">
      <alignment horizontal="left" vertical="top" wrapText="1"/>
    </xf>
    <xf numFmtId="0" fontId="8" fillId="0" borderId="0" xfId="24" applyFont="1" applyAlignment="1">
      <alignment horizontal="center" vertical="center"/>
    </xf>
    <xf numFmtId="0" fontId="7" fillId="0" borderId="0" xfId="24" applyFont="1" applyAlignment="1">
      <alignment horizontal="center" vertical="top"/>
    </xf>
    <xf numFmtId="0" fontId="7" fillId="0" borderId="4" xfId="24" applyFont="1" applyBorder="1" applyAlignment="1">
      <alignment horizontal="center"/>
    </xf>
    <xf numFmtId="0" fontId="10" fillId="0" borderId="3" xfId="24" applyFont="1" applyBorder="1" applyAlignment="1">
      <alignment horizontal="center" vertical="center"/>
    </xf>
    <xf numFmtId="0" fontId="10" fillId="0" borderId="0" xfId="24" applyFont="1" applyAlignment="1">
      <alignment horizontal="center" vertical="center"/>
    </xf>
    <xf numFmtId="0" fontId="7" fillId="0" borderId="11" xfId="24" applyFont="1" applyBorder="1" applyAlignment="1">
      <alignment horizontal="center"/>
    </xf>
    <xf numFmtId="0" fontId="7" fillId="0" borderId="10" xfId="24" applyFont="1" applyBorder="1" applyAlignment="1">
      <alignment horizontal="center" vertical="center" wrapText="1"/>
    </xf>
    <xf numFmtId="0" fontId="7" fillId="0" borderId="11" xfId="24" applyFont="1" applyBorder="1" applyAlignment="1">
      <alignment horizontal="center" vertical="center" wrapText="1"/>
    </xf>
    <xf numFmtId="0" fontId="7" fillId="0" borderId="13" xfId="24" applyFont="1" applyBorder="1" applyAlignment="1">
      <alignment horizontal="center" vertical="center" wrapText="1"/>
    </xf>
    <xf numFmtId="0" fontId="7" fillId="0" borderId="16" xfId="24" applyFont="1" applyBorder="1" applyAlignment="1">
      <alignment horizontal="center" vertical="center" wrapText="1"/>
    </xf>
    <xf numFmtId="0" fontId="7" fillId="0" borderId="2" xfId="32" applyFont="1" applyBorder="1" applyAlignment="1">
      <alignment horizontal="center" vertical="center" wrapText="1"/>
    </xf>
    <xf numFmtId="0" fontId="8" fillId="0" borderId="0" xfId="32" applyFont="1" applyAlignment="1">
      <alignment horizontal="center" vertical="center"/>
    </xf>
    <xf numFmtId="0" fontId="7" fillId="0" borderId="10" xfId="24" applyFont="1" applyFill="1" applyBorder="1" applyAlignment="1">
      <alignment horizontal="left" vertical="top" wrapText="1"/>
    </xf>
    <xf numFmtId="0" fontId="7" fillId="0" borderId="12" xfId="24" applyFont="1" applyFill="1" applyBorder="1" applyAlignment="1">
      <alignment horizontal="left" vertical="top" wrapText="1"/>
    </xf>
    <xf numFmtId="4" fontId="7" fillId="0" borderId="2" xfId="32" applyNumberFormat="1" applyFont="1" applyBorder="1" applyAlignment="1">
      <alignment horizontal="center" vertical="center" wrapText="1"/>
    </xf>
    <xf numFmtId="0" fontId="7" fillId="0" borderId="2" xfId="32" applyFont="1" applyBorder="1" applyAlignment="1">
      <alignment horizontal="left" vertical="center" wrapText="1"/>
    </xf>
    <xf numFmtId="0" fontId="9" fillId="0" borderId="0" xfId="24" applyFont="1" applyAlignment="1">
      <alignment horizontal="left" vertical="center" wrapText="1"/>
    </xf>
    <xf numFmtId="0" fontId="10" fillId="0" borderId="3" xfId="24" applyFont="1" applyBorder="1" applyAlignment="1">
      <alignment horizontal="center" vertical="top"/>
    </xf>
    <xf numFmtId="4" fontId="7" fillId="0" borderId="2" xfId="24" applyNumberFormat="1" applyFont="1" applyBorder="1" applyAlignment="1">
      <alignment horizontal="right" vertical="center" wrapText="1"/>
    </xf>
    <xf numFmtId="0" fontId="10" fillId="0" borderId="0" xfId="24" applyFont="1" applyAlignment="1">
      <alignment horizontal="center" vertical="top"/>
    </xf>
    <xf numFmtId="0" fontId="7" fillId="0" borderId="3" xfId="24" applyFont="1" applyBorder="1" applyAlignment="1">
      <alignment horizontal="left" vertical="center" wrapText="1"/>
    </xf>
    <xf numFmtId="0" fontId="7" fillId="0" borderId="0" xfId="24" applyFont="1" applyAlignment="1">
      <alignment horizontal="right" vertical="center"/>
    </xf>
    <xf numFmtId="0" fontId="7" fillId="0" borderId="0" xfId="24" applyFont="1" applyAlignment="1">
      <alignment horizontal="right" vertical="top" wrapText="1"/>
    </xf>
    <xf numFmtId="4" fontId="8" fillId="0" borderId="2" xfId="24" applyNumberFormat="1" applyFont="1" applyBorder="1" applyAlignment="1">
      <alignment horizontal="right" vertical="center" wrapText="1"/>
    </xf>
  </cellXfs>
  <cellStyles count="37">
    <cellStyle name="xl22" xfId="1"/>
    <cellStyle name="xl23" xfId="2"/>
    <cellStyle name="xl24" xfId="3"/>
    <cellStyle name="xl27" xfId="4"/>
    <cellStyle name="xl28" xfId="5"/>
    <cellStyle name="xl31" xfId="6"/>
    <cellStyle name="xl33" xfId="7"/>
    <cellStyle name="xl38" xfId="8"/>
    <cellStyle name="xl39" xfId="9"/>
    <cellStyle name="xl40" xfId="10"/>
    <cellStyle name="xl41" xfId="11"/>
    <cellStyle name="xl42" xfId="12"/>
    <cellStyle name="xl45" xfId="13"/>
    <cellStyle name="xl48" xfId="14"/>
    <cellStyle name="xl50" xfId="15"/>
    <cellStyle name="xl53" xfId="16"/>
    <cellStyle name="xl54" xfId="17"/>
    <cellStyle name="xl55" xfId="18"/>
    <cellStyle name="xl57" xfId="19"/>
    <cellStyle name="xl58" xfId="20"/>
    <cellStyle name="xl59" xfId="21"/>
    <cellStyle name="xl63" xfId="22"/>
    <cellStyle name="xl64" xfId="23"/>
    <cellStyle name="Обычный" xfId="0" builtinId="0"/>
    <cellStyle name="Обычный 2" xfId="24"/>
    <cellStyle name="Обычный 2 2" xfId="25"/>
    <cellStyle name="Обычный 2 2 2" xfId="26"/>
    <cellStyle name="Обычный 2 3" xfId="27"/>
    <cellStyle name="Обычный 2_1  ИКМ_Нормативы" xfId="28"/>
    <cellStyle name="Обычный 3" xfId="29"/>
    <cellStyle name="Обычный 3_1  ИКМ_Нормативы" xfId="30"/>
    <cellStyle name="Обычный 4" xfId="31"/>
    <cellStyle name="Обычный 4 2" xfId="32"/>
    <cellStyle name="Обычный 4_1  ИКМ_Нормативы" xfId="33"/>
    <cellStyle name="Обычный 4_расчет (ремонт офисной оргтехники)" xfId="34"/>
    <cellStyle name="Обычный 5" xfId="35"/>
    <cellStyle name="Процентный 2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92D050"/>
    <outlinePr summaryBelow="0" summaryRight="0"/>
  </sheetPr>
  <dimension ref="A1:L113"/>
  <sheetViews>
    <sheetView view="pageBreakPreview" zoomScale="90" zoomScaleSheetLayoutView="90" workbookViewId="0">
      <pane ySplit="1" topLeftCell="A72" activePane="bottomLeft" state="frozen"/>
      <selection activeCell="D349" sqref="D349"/>
      <selection pane="bottomLeft" activeCell="A72" sqref="A72:H72"/>
    </sheetView>
  </sheetViews>
  <sheetFormatPr defaultColWidth="9.109375" defaultRowHeight="13.2" outlineLevelRow="3" outlineLevelCol="1" x14ac:dyDescent="0.25"/>
  <cols>
    <col min="1" max="1" width="51.5546875" style="52" customWidth="1"/>
    <col min="2" max="2" width="15.5546875" style="91" customWidth="1"/>
    <col min="3" max="3" width="17.6640625" style="92" customWidth="1"/>
    <col min="4" max="4" width="16.88671875" style="35" customWidth="1" collapsed="1"/>
    <col min="5" max="7" width="16.88671875" style="35" hidden="1" customWidth="1" outlineLevel="1"/>
    <col min="8" max="8" width="18.44140625" style="35" customWidth="1"/>
    <col min="9" max="9" width="18" style="35" customWidth="1"/>
    <col min="10" max="10" width="31.5546875" style="35" hidden="1" customWidth="1"/>
    <col min="11" max="11" width="12.88671875" style="152" bestFit="1" customWidth="1"/>
    <col min="12" max="12" width="12.88671875" style="35" bestFit="1" customWidth="1"/>
    <col min="13" max="16384" width="9.109375" style="35"/>
  </cols>
  <sheetData>
    <row r="1" spans="1:12" ht="42.75" customHeight="1" x14ac:dyDescent="0.25">
      <c r="A1" s="237" t="s">
        <v>0</v>
      </c>
      <c r="B1" s="239" t="s">
        <v>103</v>
      </c>
      <c r="C1" s="241" t="s">
        <v>102</v>
      </c>
      <c r="D1" s="239" t="s">
        <v>14</v>
      </c>
      <c r="E1" s="233" t="s">
        <v>135</v>
      </c>
      <c r="F1" s="234"/>
      <c r="G1" s="235"/>
      <c r="H1" s="70" t="s">
        <v>15</v>
      </c>
      <c r="I1" s="70" t="s">
        <v>16</v>
      </c>
      <c r="J1" s="93" t="s">
        <v>104</v>
      </c>
    </row>
    <row r="2" spans="1:12" ht="13.8" x14ac:dyDescent="0.25">
      <c r="A2" s="238"/>
      <c r="B2" s="240"/>
      <c r="C2" s="242"/>
      <c r="D2" s="240"/>
      <c r="E2" s="148" t="s">
        <v>136</v>
      </c>
      <c r="F2" s="148" t="s">
        <v>137</v>
      </c>
      <c r="G2" s="148" t="s">
        <v>138</v>
      </c>
      <c r="H2" s="70"/>
      <c r="I2" s="70"/>
      <c r="J2" s="93"/>
    </row>
    <row r="3" spans="1:12" ht="15.6" customHeight="1" x14ac:dyDescent="0.25">
      <c r="A3" s="236" t="s">
        <v>122</v>
      </c>
      <c r="B3" s="236"/>
      <c r="C3" s="236"/>
      <c r="D3" s="236"/>
      <c r="E3" s="236"/>
      <c r="F3" s="236"/>
      <c r="G3" s="236"/>
      <c r="H3" s="236"/>
      <c r="I3" s="46">
        <f>I4+I8+I21</f>
        <v>23034306.059999999</v>
      </c>
      <c r="J3" s="46"/>
    </row>
    <row r="4" spans="1:12" ht="13.5" customHeight="1" outlineLevel="1" x14ac:dyDescent="0.25">
      <c r="A4" s="236" t="s">
        <v>121</v>
      </c>
      <c r="B4" s="236"/>
      <c r="C4" s="236"/>
      <c r="D4" s="236"/>
      <c r="E4" s="236"/>
      <c r="F4" s="236"/>
      <c r="G4" s="236"/>
      <c r="H4" s="236"/>
      <c r="I4" s="46">
        <f>SUM(I5:I7)</f>
        <v>21425516.079999998</v>
      </c>
      <c r="J4" s="45"/>
    </row>
    <row r="5" spans="1:12" ht="13.5" customHeight="1" outlineLevel="2" x14ac:dyDescent="0.25">
      <c r="A5" s="208" t="s">
        <v>202</v>
      </c>
      <c r="B5" s="53" t="s">
        <v>201</v>
      </c>
      <c r="C5" s="57">
        <v>30</v>
      </c>
      <c r="D5" s="76"/>
      <c r="E5" s="45">
        <f>(7959007+6616883.59+1876543.63)/C5</f>
        <v>548414.47399999993</v>
      </c>
      <c r="F5" s="76"/>
      <c r="G5" s="76"/>
      <c r="H5" s="221">
        <f>E5</f>
        <v>548414.47399999993</v>
      </c>
      <c r="I5" s="45">
        <f>C5*H5</f>
        <v>16452434.219999999</v>
      </c>
      <c r="J5" s="67"/>
      <c r="L5" s="152"/>
    </row>
    <row r="6" spans="1:12" ht="13.5" customHeight="1" outlineLevel="2" x14ac:dyDescent="0.25">
      <c r="A6" s="208" t="s">
        <v>203</v>
      </c>
      <c r="B6" s="53" t="s">
        <v>201</v>
      </c>
      <c r="C6" s="57">
        <v>7</v>
      </c>
      <c r="D6" s="76"/>
      <c r="E6" s="45">
        <f>3901845.3/C6</f>
        <v>557406.47142857139</v>
      </c>
      <c r="F6" s="76"/>
      <c r="G6" s="76"/>
      <c r="H6" s="219">
        <f>E6</f>
        <v>557406.47142857139</v>
      </c>
      <c r="I6" s="45">
        <f>C6*H6</f>
        <v>3901845.3</v>
      </c>
      <c r="J6" s="67"/>
      <c r="L6" s="152"/>
    </row>
    <row r="7" spans="1:12" ht="13.5" customHeight="1" outlineLevel="2" x14ac:dyDescent="0.25">
      <c r="A7" s="208" t="s">
        <v>204</v>
      </c>
      <c r="B7" s="53" t="s">
        <v>201</v>
      </c>
      <c r="C7" s="57">
        <v>2</v>
      </c>
      <c r="D7" s="76"/>
      <c r="E7" s="45">
        <f>1071236.56/C7</f>
        <v>535618.28</v>
      </c>
      <c r="F7" s="76"/>
      <c r="G7" s="76"/>
      <c r="H7" s="220">
        <f>E7</f>
        <v>535618.28</v>
      </c>
      <c r="I7" s="45">
        <f>C7*H7</f>
        <v>1071236.56</v>
      </c>
      <c r="J7" s="67"/>
      <c r="L7" s="152"/>
    </row>
    <row r="8" spans="1:12" ht="27.75" customHeight="1" outlineLevel="1" x14ac:dyDescent="0.25">
      <c r="A8" s="236" t="s">
        <v>153</v>
      </c>
      <c r="B8" s="236"/>
      <c r="C8" s="236"/>
      <c r="D8" s="236"/>
      <c r="E8" s="236"/>
      <c r="F8" s="236"/>
      <c r="G8" s="236"/>
      <c r="H8" s="236"/>
      <c r="I8" s="46">
        <f>I9+I16+I19</f>
        <v>579600</v>
      </c>
      <c r="J8" s="46"/>
    </row>
    <row r="9" spans="1:12" ht="12.75" customHeight="1" outlineLevel="2" x14ac:dyDescent="0.25">
      <c r="A9" s="209" t="s">
        <v>134</v>
      </c>
      <c r="B9" s="77" t="s">
        <v>1</v>
      </c>
      <c r="C9" s="78" t="s">
        <v>1</v>
      </c>
      <c r="D9" s="151" t="s">
        <v>1</v>
      </c>
      <c r="E9" s="77" t="s">
        <v>1</v>
      </c>
      <c r="F9" s="78" t="s">
        <v>1</v>
      </c>
      <c r="G9" s="151" t="s">
        <v>1</v>
      </c>
      <c r="H9" s="45" t="s">
        <v>1</v>
      </c>
      <c r="I9" s="46">
        <f>SUM(I10:I15)</f>
        <v>0</v>
      </c>
      <c r="J9" s="46"/>
    </row>
    <row r="10" spans="1:12" outlineLevel="3" x14ac:dyDescent="0.25">
      <c r="A10" s="210" t="s">
        <v>139</v>
      </c>
      <c r="B10" s="79" t="s">
        <v>3</v>
      </c>
      <c r="C10" s="80">
        <v>0</v>
      </c>
      <c r="D10" s="81"/>
      <c r="E10" s="149">
        <v>4738.5</v>
      </c>
      <c r="F10" s="149">
        <v>5733.59</v>
      </c>
      <c r="G10" s="149">
        <v>5923.13</v>
      </c>
      <c r="H10" s="150">
        <f>(E10+F10+G10)/3</f>
        <v>5465.0733333333337</v>
      </c>
      <c r="I10" s="45">
        <f t="shared" ref="I10:I15" si="0">C10*H10</f>
        <v>0</v>
      </c>
      <c r="J10" s="45"/>
    </row>
    <row r="11" spans="1:12" outlineLevel="3" x14ac:dyDescent="0.25">
      <c r="A11" s="210" t="s">
        <v>140</v>
      </c>
      <c r="B11" s="79" t="s">
        <v>3</v>
      </c>
      <c r="C11" s="80">
        <v>0</v>
      </c>
      <c r="D11" s="81"/>
      <c r="E11" s="149">
        <v>234</v>
      </c>
      <c r="F11" s="149">
        <v>283.14</v>
      </c>
      <c r="G11" s="149">
        <v>292.5</v>
      </c>
      <c r="H11" s="150">
        <f t="shared" ref="H11:H18" si="1">(E11+F11+G11)/3</f>
        <v>269.88</v>
      </c>
      <c r="I11" s="45">
        <f t="shared" si="0"/>
        <v>0</v>
      </c>
      <c r="J11" s="45"/>
    </row>
    <row r="12" spans="1:12" outlineLevel="3" x14ac:dyDescent="0.25">
      <c r="A12" s="210" t="s">
        <v>141</v>
      </c>
      <c r="B12" s="79" t="s">
        <v>3</v>
      </c>
      <c r="C12" s="80">
        <v>0</v>
      </c>
      <c r="D12" s="81"/>
      <c r="E12" s="149">
        <v>257.39999999999998</v>
      </c>
      <c r="F12" s="149">
        <v>311.45</v>
      </c>
      <c r="G12" s="149">
        <v>321.75</v>
      </c>
      <c r="H12" s="150">
        <f t="shared" si="1"/>
        <v>296.86666666666662</v>
      </c>
      <c r="I12" s="45">
        <f t="shared" si="0"/>
        <v>0</v>
      </c>
      <c r="J12" s="45"/>
    </row>
    <row r="13" spans="1:12" outlineLevel="3" x14ac:dyDescent="0.25">
      <c r="A13" s="210" t="s">
        <v>142</v>
      </c>
      <c r="B13" s="79" t="s">
        <v>3</v>
      </c>
      <c r="C13" s="80">
        <v>0</v>
      </c>
      <c r="D13" s="81"/>
      <c r="E13" s="149">
        <v>2995.2</v>
      </c>
      <c r="F13" s="149">
        <v>3624.19</v>
      </c>
      <c r="G13" s="149">
        <v>3744</v>
      </c>
      <c r="H13" s="150">
        <f t="shared" si="1"/>
        <v>3454.4633333333331</v>
      </c>
      <c r="I13" s="45">
        <f t="shared" si="0"/>
        <v>0</v>
      </c>
      <c r="J13" s="45"/>
    </row>
    <row r="14" spans="1:12" outlineLevel="3" x14ac:dyDescent="0.25">
      <c r="A14" s="210" t="s">
        <v>143</v>
      </c>
      <c r="B14" s="79" t="s">
        <v>3</v>
      </c>
      <c r="C14" s="80">
        <v>0</v>
      </c>
      <c r="D14" s="81"/>
      <c r="E14" s="149">
        <v>5990.4</v>
      </c>
      <c r="F14" s="149">
        <v>7248.38</v>
      </c>
      <c r="G14" s="149">
        <v>7488</v>
      </c>
      <c r="H14" s="150">
        <f t="shared" si="1"/>
        <v>6908.9266666666663</v>
      </c>
      <c r="I14" s="45">
        <f t="shared" si="0"/>
        <v>0</v>
      </c>
      <c r="J14" s="45"/>
    </row>
    <row r="15" spans="1:12" outlineLevel="3" x14ac:dyDescent="0.25">
      <c r="A15" s="210" t="s">
        <v>144</v>
      </c>
      <c r="B15" s="79" t="s">
        <v>3</v>
      </c>
      <c r="C15" s="80">
        <v>0</v>
      </c>
      <c r="D15" s="81"/>
      <c r="E15" s="149">
        <v>2176.1999999999998</v>
      </c>
      <c r="F15" s="149">
        <v>2633.2</v>
      </c>
      <c r="G15" s="149">
        <v>2720.25</v>
      </c>
      <c r="H15" s="150">
        <f t="shared" si="1"/>
        <v>2509.8833333333332</v>
      </c>
      <c r="I15" s="45">
        <f t="shared" si="0"/>
        <v>0</v>
      </c>
      <c r="J15" s="45"/>
    </row>
    <row r="16" spans="1:12" outlineLevel="2" x14ac:dyDescent="0.25">
      <c r="A16" s="211" t="s">
        <v>145</v>
      </c>
      <c r="B16" s="77" t="s">
        <v>1</v>
      </c>
      <c r="C16" s="78" t="s">
        <v>1</v>
      </c>
      <c r="D16" s="151" t="s">
        <v>1</v>
      </c>
      <c r="E16" s="77" t="s">
        <v>1</v>
      </c>
      <c r="F16" s="78" t="s">
        <v>1</v>
      </c>
      <c r="G16" s="151" t="s">
        <v>1</v>
      </c>
      <c r="H16" s="151" t="s">
        <v>1</v>
      </c>
      <c r="I16" s="71">
        <f>I17+I18</f>
        <v>0</v>
      </c>
      <c r="J16" s="45"/>
    </row>
    <row r="17" spans="1:11" outlineLevel="3" x14ac:dyDescent="0.25">
      <c r="A17" s="210" t="s">
        <v>146</v>
      </c>
      <c r="B17" s="79" t="s">
        <v>3</v>
      </c>
      <c r="C17" s="80">
        <v>0</v>
      </c>
      <c r="D17" s="81"/>
      <c r="E17" s="149">
        <v>27290</v>
      </c>
      <c r="F17" s="149">
        <v>26495</v>
      </c>
      <c r="G17" s="149">
        <v>23899</v>
      </c>
      <c r="H17" s="150">
        <f>(E17+F17+G17)/3</f>
        <v>25894.666666666668</v>
      </c>
      <c r="I17" s="45">
        <f>C17*H17</f>
        <v>0</v>
      </c>
      <c r="J17" s="45"/>
    </row>
    <row r="18" spans="1:11" outlineLevel="3" x14ac:dyDescent="0.25">
      <c r="A18" s="210" t="s">
        <v>147</v>
      </c>
      <c r="B18" s="79" t="s">
        <v>3</v>
      </c>
      <c r="C18" s="80">
        <v>0</v>
      </c>
      <c r="D18" s="81"/>
      <c r="E18" s="149">
        <v>24190</v>
      </c>
      <c r="F18" s="149">
        <v>22190</v>
      </c>
      <c r="G18" s="149">
        <v>21999</v>
      </c>
      <c r="H18" s="150">
        <f t="shared" si="1"/>
        <v>22793</v>
      </c>
      <c r="I18" s="45">
        <f>C18*H18</f>
        <v>0</v>
      </c>
      <c r="J18" s="45"/>
    </row>
    <row r="19" spans="1:11" outlineLevel="2" x14ac:dyDescent="0.25">
      <c r="A19" s="211" t="s">
        <v>148</v>
      </c>
      <c r="B19" s="77" t="s">
        <v>1</v>
      </c>
      <c r="C19" s="78" t="s">
        <v>1</v>
      </c>
      <c r="D19" s="151" t="s">
        <v>1</v>
      </c>
      <c r="E19" s="77" t="s">
        <v>1</v>
      </c>
      <c r="F19" s="78" t="s">
        <v>1</v>
      </c>
      <c r="G19" s="151" t="s">
        <v>1</v>
      </c>
      <c r="H19" s="45" t="s">
        <v>1</v>
      </c>
      <c r="I19" s="71">
        <f>I20</f>
        <v>579600</v>
      </c>
      <c r="J19" s="45"/>
    </row>
    <row r="20" spans="1:11" outlineLevel="3" x14ac:dyDescent="0.25">
      <c r="A20" s="210" t="s">
        <v>149</v>
      </c>
      <c r="B20" s="79" t="s">
        <v>3</v>
      </c>
      <c r="C20" s="80">
        <v>2100</v>
      </c>
      <c r="D20" s="81"/>
      <c r="E20" s="149">
        <v>276</v>
      </c>
      <c r="F20" s="149"/>
      <c r="G20" s="149"/>
      <c r="H20" s="150">
        <f>E20</f>
        <v>276</v>
      </c>
      <c r="I20" s="45">
        <f>H20*C19:C20</f>
        <v>579600</v>
      </c>
      <c r="J20" s="45"/>
    </row>
    <row r="21" spans="1:11" outlineLevel="1" x14ac:dyDescent="0.25">
      <c r="A21" s="236" t="s">
        <v>123</v>
      </c>
      <c r="B21" s="236"/>
      <c r="C21" s="236"/>
      <c r="D21" s="236"/>
      <c r="E21" s="236"/>
      <c r="F21" s="236"/>
      <c r="G21" s="236"/>
      <c r="H21" s="236"/>
      <c r="I21" s="46">
        <f>I22+I25+I27+I33</f>
        <v>1029189.98</v>
      </c>
      <c r="J21" s="46"/>
    </row>
    <row r="22" spans="1:11" s="36" customFormat="1" outlineLevel="2" x14ac:dyDescent="0.25">
      <c r="A22" s="209" t="s">
        <v>150</v>
      </c>
      <c r="B22" s="77" t="s">
        <v>1</v>
      </c>
      <c r="C22" s="78" t="s">
        <v>1</v>
      </c>
      <c r="D22" s="18" t="s">
        <v>1</v>
      </c>
      <c r="E22" s="18" t="s">
        <v>1</v>
      </c>
      <c r="F22" s="18" t="s">
        <v>1</v>
      </c>
      <c r="G22" s="18" t="s">
        <v>1</v>
      </c>
      <c r="H22" s="46" t="s">
        <v>1</v>
      </c>
      <c r="I22" s="46">
        <f>SUM(I23:I24)</f>
        <v>171589.96000000002</v>
      </c>
      <c r="J22" s="46"/>
      <c r="K22" s="153"/>
    </row>
    <row r="23" spans="1:11" s="36" customFormat="1" ht="13.5" customHeight="1" outlineLevel="3" x14ac:dyDescent="0.25">
      <c r="A23" s="210" t="s">
        <v>151</v>
      </c>
      <c r="B23" s="79" t="s">
        <v>152</v>
      </c>
      <c r="C23" s="80">
        <v>51</v>
      </c>
      <c r="D23" s="25"/>
      <c r="E23" s="25">
        <v>2000</v>
      </c>
      <c r="F23" s="25">
        <v>2300</v>
      </c>
      <c r="G23" s="25">
        <v>1950</v>
      </c>
      <c r="H23" s="45">
        <f>(E23+F23+G23)/3</f>
        <v>2083.3333333333335</v>
      </c>
      <c r="I23" s="45">
        <f>C23*H23</f>
        <v>106250.00000000001</v>
      </c>
      <c r="J23" s="45"/>
      <c r="K23" s="153"/>
    </row>
    <row r="24" spans="1:11" s="36" customFormat="1" ht="13.5" customHeight="1" outlineLevel="3" x14ac:dyDescent="0.25">
      <c r="A24" s="210" t="s">
        <v>155</v>
      </c>
      <c r="B24" s="79" t="s">
        <v>2</v>
      </c>
      <c r="C24" s="80">
        <v>14</v>
      </c>
      <c r="D24" s="25"/>
      <c r="E24" s="25">
        <v>4667.1400000000003</v>
      </c>
      <c r="F24" s="25"/>
      <c r="G24" s="25"/>
      <c r="H24" s="45">
        <f>E24</f>
        <v>4667.1400000000003</v>
      </c>
      <c r="I24" s="45">
        <f>C24*H24</f>
        <v>65339.960000000006</v>
      </c>
      <c r="J24" s="45"/>
      <c r="K24" s="153"/>
    </row>
    <row r="25" spans="1:11" s="36" customFormat="1" ht="15" customHeight="1" outlineLevel="2" x14ac:dyDescent="0.25">
      <c r="A25" s="209" t="s">
        <v>12</v>
      </c>
      <c r="B25" s="77" t="s">
        <v>1</v>
      </c>
      <c r="C25" s="78" t="s">
        <v>1</v>
      </c>
      <c r="D25" s="17" t="s">
        <v>1</v>
      </c>
      <c r="E25" s="17" t="s">
        <v>1</v>
      </c>
      <c r="F25" s="17" t="s">
        <v>1</v>
      </c>
      <c r="G25" s="17" t="s">
        <v>1</v>
      </c>
      <c r="H25" s="17" t="s">
        <v>1</v>
      </c>
      <c r="I25" s="46">
        <f>SUM(I26:I26)</f>
        <v>638849.54</v>
      </c>
      <c r="J25" s="46"/>
      <c r="K25" s="153"/>
    </row>
    <row r="26" spans="1:11" s="36" customFormat="1" ht="12.75" customHeight="1" outlineLevel="3" x14ac:dyDescent="0.25">
      <c r="A26" s="210" t="s">
        <v>154</v>
      </c>
      <c r="B26" s="79" t="s">
        <v>183</v>
      </c>
      <c r="C26" s="80">
        <v>2</v>
      </c>
      <c r="D26" s="25"/>
      <c r="E26" s="25">
        <v>319424.77</v>
      </c>
      <c r="F26" s="25"/>
      <c r="G26" s="25"/>
      <c r="H26" s="45">
        <f>E26</f>
        <v>319424.77</v>
      </c>
      <c r="I26" s="45">
        <f>C26*H26</f>
        <v>638849.54</v>
      </c>
      <c r="J26" s="45"/>
      <c r="K26" s="153"/>
    </row>
    <row r="27" spans="1:11" s="36" customFormat="1" ht="12.75" customHeight="1" outlineLevel="2" x14ac:dyDescent="0.25">
      <c r="A27" s="212" t="s">
        <v>188</v>
      </c>
      <c r="B27" s="77" t="s">
        <v>1</v>
      </c>
      <c r="C27" s="82" t="s">
        <v>1</v>
      </c>
      <c r="D27" s="77" t="s">
        <v>1</v>
      </c>
      <c r="E27" s="77" t="s">
        <v>1</v>
      </c>
      <c r="F27" s="77" t="s">
        <v>1</v>
      </c>
      <c r="G27" s="77" t="s">
        <v>1</v>
      </c>
      <c r="H27" s="83" t="s">
        <v>1</v>
      </c>
      <c r="I27" s="46">
        <f>SUM(I28:I32)</f>
        <v>98180</v>
      </c>
      <c r="J27" s="46"/>
      <c r="K27" s="153"/>
    </row>
    <row r="28" spans="1:11" s="36" customFormat="1" ht="25.5" customHeight="1" outlineLevel="3" x14ac:dyDescent="0.25">
      <c r="A28" s="210" t="s">
        <v>185</v>
      </c>
      <c r="B28" s="79" t="s">
        <v>175</v>
      </c>
      <c r="C28" s="80">
        <f>(1*2)+(2*13)+(3*4)+(1*15)+(2*13)+(2*2)+(1*2)+(1*2)</f>
        <v>89</v>
      </c>
      <c r="D28" s="25"/>
      <c r="E28" s="25">
        <v>100</v>
      </c>
      <c r="F28" s="25"/>
      <c r="G28" s="25"/>
      <c r="H28" s="45">
        <f>E28</f>
        <v>100</v>
      </c>
      <c r="I28" s="45">
        <f>C28*H28</f>
        <v>8900</v>
      </c>
      <c r="J28" s="45"/>
      <c r="K28" s="153"/>
    </row>
    <row r="29" spans="1:11" s="36" customFormat="1" ht="27" customHeight="1" outlineLevel="3" x14ac:dyDescent="0.25">
      <c r="A29" s="210" t="s">
        <v>184</v>
      </c>
      <c r="B29" s="79" t="s">
        <v>175</v>
      </c>
      <c r="C29" s="80">
        <f>(1*1)+(2*12)+(3*3)+(1*12)+(2*12)+(1*2)+(1*1)+(1*1)</f>
        <v>74</v>
      </c>
      <c r="D29" s="25"/>
      <c r="E29" s="25">
        <v>550</v>
      </c>
      <c r="F29" s="25"/>
      <c r="G29" s="25"/>
      <c r="H29" s="45">
        <f>E29</f>
        <v>550</v>
      </c>
      <c r="I29" s="45">
        <f>C29*H29</f>
        <v>40700</v>
      </c>
      <c r="J29" s="45"/>
      <c r="K29" s="153"/>
    </row>
    <row r="30" spans="1:11" s="36" customFormat="1" ht="27.75" customHeight="1" outlineLevel="3" x14ac:dyDescent="0.25">
      <c r="A30" s="210" t="s">
        <v>186</v>
      </c>
      <c r="B30" s="79" t="s">
        <v>183</v>
      </c>
      <c r="C30" s="80">
        <f>(1*2)+(1*2)+(2*2)+(3*2)+(1*2)+(2*2)+(1*2)+(2*2)+(1*2)+(1*2)+(1*2)</f>
        <v>32</v>
      </c>
      <c r="D30" s="25"/>
      <c r="E30" s="25">
        <v>650</v>
      </c>
      <c r="F30" s="25"/>
      <c r="G30" s="25"/>
      <c r="H30" s="45">
        <f>E30</f>
        <v>650</v>
      </c>
      <c r="I30" s="45">
        <f>C30*H30</f>
        <v>20800</v>
      </c>
      <c r="J30" s="45"/>
      <c r="K30" s="153"/>
    </row>
    <row r="31" spans="1:11" s="36" customFormat="1" ht="39.6" outlineLevel="3" x14ac:dyDescent="0.25">
      <c r="A31" s="210" t="s">
        <v>187</v>
      </c>
      <c r="B31" s="79" t="s">
        <v>183</v>
      </c>
      <c r="C31" s="80">
        <v>2</v>
      </c>
      <c r="D31" s="25"/>
      <c r="E31" s="25">
        <v>1890</v>
      </c>
      <c r="F31" s="25"/>
      <c r="G31" s="25"/>
      <c r="H31" s="45">
        <f>E31</f>
        <v>1890</v>
      </c>
      <c r="I31" s="45">
        <f>C31*H31</f>
        <v>3780</v>
      </c>
      <c r="J31" s="45"/>
      <c r="K31" s="153"/>
    </row>
    <row r="32" spans="1:11" s="36" customFormat="1" ht="12.75" customHeight="1" outlineLevel="3" x14ac:dyDescent="0.25">
      <c r="A32" s="210" t="s">
        <v>189</v>
      </c>
      <c r="B32" s="79" t="s">
        <v>2</v>
      </c>
      <c r="C32" s="80">
        <v>3</v>
      </c>
      <c r="D32" s="25"/>
      <c r="E32" s="25">
        <v>8000</v>
      </c>
      <c r="F32" s="25"/>
      <c r="G32" s="25"/>
      <c r="H32" s="45">
        <f>E32</f>
        <v>8000</v>
      </c>
      <c r="I32" s="45">
        <f>C32*H32</f>
        <v>24000</v>
      </c>
      <c r="J32" s="45"/>
      <c r="K32" s="153"/>
    </row>
    <row r="33" spans="1:11" s="36" customFormat="1" ht="12.75" customHeight="1" outlineLevel="2" x14ac:dyDescent="0.25">
      <c r="A33" s="211" t="s">
        <v>156</v>
      </c>
      <c r="B33" s="77" t="s">
        <v>1</v>
      </c>
      <c r="C33" s="82" t="s">
        <v>1</v>
      </c>
      <c r="D33" s="77" t="s">
        <v>1</v>
      </c>
      <c r="E33" s="77" t="s">
        <v>1</v>
      </c>
      <c r="F33" s="77" t="s">
        <v>1</v>
      </c>
      <c r="G33" s="77" t="s">
        <v>1</v>
      </c>
      <c r="H33" s="83" t="s">
        <v>1</v>
      </c>
      <c r="I33" s="71">
        <f>SUM(I34:I42)</f>
        <v>120570.48</v>
      </c>
      <c r="J33" s="45"/>
      <c r="K33" s="153"/>
    </row>
    <row r="34" spans="1:11" s="36" customFormat="1" ht="12.75" customHeight="1" outlineLevel="3" x14ac:dyDescent="0.25">
      <c r="A34" s="210" t="s">
        <v>157</v>
      </c>
      <c r="B34" s="79" t="s">
        <v>101</v>
      </c>
      <c r="C34" s="80">
        <v>12</v>
      </c>
      <c r="D34" s="76"/>
      <c r="E34" s="76">
        <v>1028.29</v>
      </c>
      <c r="F34" s="76"/>
      <c r="G34" s="76"/>
      <c r="H34" s="45">
        <f t="shared" ref="H34:H42" si="2">E34</f>
        <v>1028.29</v>
      </c>
      <c r="I34" s="45">
        <f>C34*H34</f>
        <v>12339.48</v>
      </c>
      <c r="J34" s="45"/>
      <c r="K34" s="153"/>
    </row>
    <row r="35" spans="1:11" s="36" customFormat="1" ht="12.75" customHeight="1" outlineLevel="3" x14ac:dyDescent="0.25">
      <c r="A35" s="210" t="s">
        <v>158</v>
      </c>
      <c r="B35" s="79" t="s">
        <v>159</v>
      </c>
      <c r="C35" s="80">
        <v>1</v>
      </c>
      <c r="D35" s="76"/>
      <c r="E35" s="76">
        <v>49878</v>
      </c>
      <c r="F35" s="76"/>
      <c r="G35" s="76"/>
      <c r="H35" s="45">
        <f t="shared" si="2"/>
        <v>49878</v>
      </c>
      <c r="I35" s="45">
        <f>C35*H35</f>
        <v>49878</v>
      </c>
      <c r="J35" s="45"/>
      <c r="K35" s="153"/>
    </row>
    <row r="36" spans="1:11" s="36" customFormat="1" ht="26.4" outlineLevel="3" x14ac:dyDescent="0.25">
      <c r="A36" s="210" t="s">
        <v>160</v>
      </c>
      <c r="B36" s="79" t="s">
        <v>3</v>
      </c>
      <c r="C36" s="80">
        <v>1</v>
      </c>
      <c r="D36" s="76"/>
      <c r="E36" s="76">
        <v>4256</v>
      </c>
      <c r="F36" s="76"/>
      <c r="G36" s="76"/>
      <c r="H36" s="45">
        <f t="shared" si="2"/>
        <v>4256</v>
      </c>
      <c r="I36" s="45">
        <f t="shared" ref="I36:I42" si="3">C36*H36</f>
        <v>4256</v>
      </c>
      <c r="J36" s="45"/>
      <c r="K36" s="153"/>
    </row>
    <row r="37" spans="1:11" s="36" customFormat="1" ht="26.4" outlineLevel="3" x14ac:dyDescent="0.25">
      <c r="A37" s="210" t="s">
        <v>161</v>
      </c>
      <c r="B37" s="79" t="s">
        <v>3</v>
      </c>
      <c r="C37" s="80">
        <v>1</v>
      </c>
      <c r="D37" s="76"/>
      <c r="E37" s="76">
        <v>456</v>
      </c>
      <c r="F37" s="76"/>
      <c r="G37" s="76"/>
      <c r="H37" s="45">
        <f t="shared" si="2"/>
        <v>456</v>
      </c>
      <c r="I37" s="45">
        <f t="shared" si="3"/>
        <v>456</v>
      </c>
      <c r="J37" s="45"/>
      <c r="K37" s="153"/>
    </row>
    <row r="38" spans="1:11" s="36" customFormat="1" ht="12.75" customHeight="1" outlineLevel="3" x14ac:dyDescent="0.25">
      <c r="A38" s="210" t="s">
        <v>162</v>
      </c>
      <c r="B38" s="79" t="s">
        <v>3</v>
      </c>
      <c r="C38" s="80">
        <v>50</v>
      </c>
      <c r="D38" s="76"/>
      <c r="E38" s="76">
        <v>546.6</v>
      </c>
      <c r="F38" s="76"/>
      <c r="G38" s="76"/>
      <c r="H38" s="45">
        <f t="shared" si="2"/>
        <v>546.6</v>
      </c>
      <c r="I38" s="45">
        <f t="shared" si="3"/>
        <v>27330</v>
      </c>
      <c r="J38" s="45"/>
      <c r="K38" s="153"/>
    </row>
    <row r="39" spans="1:11" s="36" customFormat="1" ht="26.4" outlineLevel="3" x14ac:dyDescent="0.25">
      <c r="A39" s="210" t="s">
        <v>163</v>
      </c>
      <c r="B39" s="79" t="s">
        <v>3</v>
      </c>
      <c r="C39" s="80">
        <v>1</v>
      </c>
      <c r="D39" s="76"/>
      <c r="E39" s="76">
        <v>10340</v>
      </c>
      <c r="F39" s="76"/>
      <c r="G39" s="76"/>
      <c r="H39" s="45">
        <f t="shared" si="2"/>
        <v>10340</v>
      </c>
      <c r="I39" s="45">
        <f t="shared" si="3"/>
        <v>10340</v>
      </c>
      <c r="J39" s="45"/>
      <c r="K39" s="153"/>
    </row>
    <row r="40" spans="1:11" s="36" customFormat="1" ht="26.4" outlineLevel="3" x14ac:dyDescent="0.25">
      <c r="A40" s="210" t="s">
        <v>164</v>
      </c>
      <c r="B40" s="79" t="s">
        <v>3</v>
      </c>
      <c r="C40" s="80">
        <v>9</v>
      </c>
      <c r="D40" s="76"/>
      <c r="E40" s="76">
        <v>345</v>
      </c>
      <c r="F40" s="76"/>
      <c r="G40" s="76"/>
      <c r="H40" s="45">
        <f t="shared" si="2"/>
        <v>345</v>
      </c>
      <c r="I40" s="45">
        <f t="shared" si="3"/>
        <v>3105</v>
      </c>
      <c r="J40" s="45"/>
      <c r="K40" s="153"/>
    </row>
    <row r="41" spans="1:11" s="36" customFormat="1" ht="26.4" outlineLevel="3" x14ac:dyDescent="0.25">
      <c r="A41" s="210" t="s">
        <v>165</v>
      </c>
      <c r="B41" s="79" t="s">
        <v>3</v>
      </c>
      <c r="C41" s="80">
        <v>5</v>
      </c>
      <c r="D41" s="76"/>
      <c r="E41" s="76">
        <v>2300</v>
      </c>
      <c r="F41" s="76"/>
      <c r="G41" s="76"/>
      <c r="H41" s="45">
        <f t="shared" si="2"/>
        <v>2300</v>
      </c>
      <c r="I41" s="45">
        <f t="shared" si="3"/>
        <v>11500</v>
      </c>
      <c r="J41" s="45"/>
      <c r="K41" s="153"/>
    </row>
    <row r="42" spans="1:11" s="36" customFormat="1" outlineLevel="3" x14ac:dyDescent="0.25">
      <c r="A42" s="210" t="s">
        <v>166</v>
      </c>
      <c r="B42" s="79" t="s">
        <v>3</v>
      </c>
      <c r="C42" s="80">
        <v>2</v>
      </c>
      <c r="D42" s="76"/>
      <c r="E42" s="76">
        <v>683</v>
      </c>
      <c r="F42" s="76"/>
      <c r="G42" s="76"/>
      <c r="H42" s="45">
        <f t="shared" si="2"/>
        <v>683</v>
      </c>
      <c r="I42" s="45">
        <f t="shared" si="3"/>
        <v>1366</v>
      </c>
      <c r="J42" s="45"/>
      <c r="K42" s="153"/>
    </row>
    <row r="43" spans="1:11" x14ac:dyDescent="0.25">
      <c r="A43" s="236" t="s">
        <v>4</v>
      </c>
      <c r="B43" s="236"/>
      <c r="C43" s="236"/>
      <c r="D43" s="236"/>
      <c r="E43" s="236"/>
      <c r="F43" s="236"/>
      <c r="G43" s="236"/>
      <c r="H43" s="236"/>
      <c r="I43" s="46">
        <f>I44+I53+I72+I74+I80+I82+I89</f>
        <v>8154335.0239666672</v>
      </c>
      <c r="J43" s="46"/>
    </row>
    <row r="44" spans="1:11" outlineLevel="1" x14ac:dyDescent="0.25">
      <c r="A44" s="236" t="s">
        <v>5</v>
      </c>
      <c r="B44" s="236"/>
      <c r="C44" s="236"/>
      <c r="D44" s="236"/>
      <c r="E44" s="236"/>
      <c r="F44" s="236"/>
      <c r="G44" s="236"/>
      <c r="H44" s="236"/>
      <c r="I44" s="46">
        <f>SUM(I45:I52)</f>
        <v>1718635.6693</v>
      </c>
      <c r="J44" s="46"/>
    </row>
    <row r="45" spans="1:11" ht="12.75" customHeight="1" outlineLevel="2" x14ac:dyDescent="0.25">
      <c r="A45" s="50" t="s">
        <v>192</v>
      </c>
      <c r="B45" s="84" t="s">
        <v>10</v>
      </c>
      <c r="C45" s="45">
        <v>357</v>
      </c>
      <c r="D45" s="76"/>
      <c r="E45" s="76">
        <v>1.6</v>
      </c>
      <c r="F45" s="76"/>
      <c r="G45" s="76"/>
      <c r="H45" s="45">
        <f t="shared" ref="H45:H52" si="4">E45</f>
        <v>1.6</v>
      </c>
      <c r="I45" s="207">
        <f t="shared" ref="I45:I52" si="5">C45*H45</f>
        <v>571.20000000000005</v>
      </c>
      <c r="J45" s="45"/>
    </row>
    <row r="46" spans="1:11" ht="12.75" customHeight="1" outlineLevel="2" x14ac:dyDescent="0.25">
      <c r="A46" s="50" t="s">
        <v>199</v>
      </c>
      <c r="B46" s="84" t="s">
        <v>10</v>
      </c>
      <c r="C46" s="45">
        <f>228.25+27+25.8</f>
        <v>281.05</v>
      </c>
      <c r="D46" s="76"/>
      <c r="E46" s="76">
        <v>19.55</v>
      </c>
      <c r="F46" s="76"/>
      <c r="G46" s="76"/>
      <c r="H46" s="45">
        <f t="shared" si="4"/>
        <v>19.55</v>
      </c>
      <c r="I46" s="207">
        <f t="shared" si="5"/>
        <v>5494.5275000000001</v>
      </c>
      <c r="J46" s="45"/>
    </row>
    <row r="47" spans="1:11" ht="12.75" customHeight="1" outlineLevel="2" x14ac:dyDescent="0.25">
      <c r="A47" s="50" t="s">
        <v>200</v>
      </c>
      <c r="B47" s="84" t="s">
        <v>10</v>
      </c>
      <c r="C47" s="45">
        <f>394.79+43+36</f>
        <v>473.79</v>
      </c>
      <c r="D47" s="76"/>
      <c r="E47" s="76">
        <v>22.64</v>
      </c>
      <c r="F47" s="76"/>
      <c r="G47" s="76"/>
      <c r="H47" s="45">
        <f t="shared" si="4"/>
        <v>22.64</v>
      </c>
      <c r="I47" s="207">
        <f t="shared" si="5"/>
        <v>10726.605600000001</v>
      </c>
      <c r="J47" s="45"/>
    </row>
    <row r="48" spans="1:11" ht="12.75" customHeight="1" outlineLevel="2" x14ac:dyDescent="0.25">
      <c r="A48" s="50" t="s">
        <v>193</v>
      </c>
      <c r="B48" s="84" t="s">
        <v>10</v>
      </c>
      <c r="C48" s="45">
        <v>172.11</v>
      </c>
      <c r="D48" s="76"/>
      <c r="E48" s="76">
        <v>19.36</v>
      </c>
      <c r="F48" s="76"/>
      <c r="G48" s="76"/>
      <c r="H48" s="45">
        <f t="shared" si="4"/>
        <v>19.36</v>
      </c>
      <c r="I48" s="207">
        <f t="shared" si="5"/>
        <v>3332.0496000000003</v>
      </c>
      <c r="J48" s="45"/>
    </row>
    <row r="49" spans="1:10" ht="12.75" customHeight="1" outlineLevel="2" x14ac:dyDescent="0.25">
      <c r="A49" s="50" t="s">
        <v>195</v>
      </c>
      <c r="B49" s="84" t="s">
        <v>11</v>
      </c>
      <c r="C49" s="45">
        <v>368.68</v>
      </c>
      <c r="D49" s="76"/>
      <c r="E49" s="76">
        <v>3101.77</v>
      </c>
      <c r="F49" s="76"/>
      <c r="G49" s="76"/>
      <c r="H49" s="45">
        <f t="shared" si="4"/>
        <v>3101.77</v>
      </c>
      <c r="I49" s="207">
        <f t="shared" si="5"/>
        <v>1143560.5636</v>
      </c>
      <c r="J49" s="45"/>
    </row>
    <row r="50" spans="1:10" ht="12.75" customHeight="1" outlineLevel="2" x14ac:dyDescent="0.25">
      <c r="A50" s="50" t="s">
        <v>196</v>
      </c>
      <c r="B50" s="84" t="s">
        <v>11</v>
      </c>
      <c r="C50" s="45">
        <v>72.3</v>
      </c>
      <c r="D50" s="76"/>
      <c r="E50" s="76">
        <v>3901.41</v>
      </c>
      <c r="F50" s="76"/>
      <c r="G50" s="76"/>
      <c r="H50" s="45">
        <f t="shared" si="4"/>
        <v>3901.41</v>
      </c>
      <c r="I50" s="207">
        <f t="shared" si="5"/>
        <v>282071.94299999997</v>
      </c>
      <c r="J50" s="45"/>
    </row>
    <row r="51" spans="1:10" outlineLevel="2" x14ac:dyDescent="0.25">
      <c r="A51" s="50" t="s">
        <v>197</v>
      </c>
      <c r="B51" s="84" t="s">
        <v>194</v>
      </c>
      <c r="C51" s="45">
        <v>46165</v>
      </c>
      <c r="D51" s="76"/>
      <c r="E51" s="76">
        <v>5.23</v>
      </c>
      <c r="F51" s="76"/>
      <c r="G51" s="76"/>
      <c r="H51" s="45">
        <f t="shared" si="4"/>
        <v>5.23</v>
      </c>
      <c r="I51" s="207">
        <f t="shared" si="5"/>
        <v>241442.95</v>
      </c>
      <c r="J51" s="45"/>
    </row>
    <row r="52" spans="1:10" ht="12.75" customHeight="1" outlineLevel="2" x14ac:dyDescent="0.25">
      <c r="A52" s="50" t="s">
        <v>198</v>
      </c>
      <c r="B52" s="84" t="s">
        <v>194</v>
      </c>
      <c r="C52" s="45">
        <v>6057</v>
      </c>
      <c r="D52" s="76"/>
      <c r="E52" s="76">
        <v>5.19</v>
      </c>
      <c r="F52" s="76"/>
      <c r="G52" s="76"/>
      <c r="H52" s="45">
        <f t="shared" si="4"/>
        <v>5.19</v>
      </c>
      <c r="I52" s="207">
        <f t="shared" si="5"/>
        <v>31435.83</v>
      </c>
      <c r="J52" s="45"/>
    </row>
    <row r="53" spans="1:10" outlineLevel="1" x14ac:dyDescent="0.25">
      <c r="A53" s="236" t="s">
        <v>6</v>
      </c>
      <c r="B53" s="236"/>
      <c r="C53" s="236"/>
      <c r="D53" s="236"/>
      <c r="E53" s="236"/>
      <c r="F53" s="236"/>
      <c r="G53" s="236"/>
      <c r="H53" s="236"/>
      <c r="I53" s="46">
        <f>I54+I68+I70+I62+I66</f>
        <v>849747.40799999982</v>
      </c>
      <c r="J53" s="46"/>
    </row>
    <row r="54" spans="1:10" outlineLevel="2" x14ac:dyDescent="0.25">
      <c r="A54" s="212" t="s">
        <v>170</v>
      </c>
      <c r="B54" s="77" t="s">
        <v>1</v>
      </c>
      <c r="C54" s="77" t="s">
        <v>1</v>
      </c>
      <c r="D54" s="77" t="s">
        <v>1</v>
      </c>
      <c r="E54" s="77" t="s">
        <v>1</v>
      </c>
      <c r="F54" s="77" t="s">
        <v>1</v>
      </c>
      <c r="G54" s="77" t="s">
        <v>1</v>
      </c>
      <c r="H54" s="83" t="s">
        <v>1</v>
      </c>
      <c r="I54" s="46">
        <f>SUM(I55:I61)</f>
        <v>521202.66</v>
      </c>
      <c r="J54" s="46"/>
    </row>
    <row r="55" spans="1:10" outlineLevel="3" x14ac:dyDescent="0.25">
      <c r="A55" s="210" t="s">
        <v>178</v>
      </c>
      <c r="B55" s="79" t="s">
        <v>101</v>
      </c>
      <c r="C55" s="80">
        <v>12</v>
      </c>
      <c r="D55" s="76"/>
      <c r="E55" s="76">
        <v>3954.72</v>
      </c>
      <c r="F55" s="76">
        <v>4000</v>
      </c>
      <c r="G55" s="76"/>
      <c r="H55" s="76">
        <f>(E55+F55+G55)/2</f>
        <v>3977.3599999999997</v>
      </c>
      <c r="I55" s="72">
        <f>C55*H55</f>
        <v>47728.319999999992</v>
      </c>
      <c r="J55" s="46"/>
    </row>
    <row r="56" spans="1:10" outlineLevel="3" x14ac:dyDescent="0.25">
      <c r="A56" s="210" t="s">
        <v>176</v>
      </c>
      <c r="B56" s="79" t="s">
        <v>101</v>
      </c>
      <c r="C56" s="80">
        <v>12</v>
      </c>
      <c r="D56" s="76"/>
      <c r="E56" s="76">
        <v>6600</v>
      </c>
      <c r="F56" s="76">
        <v>7200</v>
      </c>
      <c r="G56" s="76"/>
      <c r="H56" s="76">
        <f t="shared" ref="H56:H61" si="6">(E56+F56+G56)/2</f>
        <v>6900</v>
      </c>
      <c r="I56" s="72">
        <f t="shared" ref="I56:I61" si="7">C56*H56</f>
        <v>82800</v>
      </c>
      <c r="J56" s="46"/>
    </row>
    <row r="57" spans="1:10" ht="29.25" customHeight="1" outlineLevel="3" x14ac:dyDescent="0.25">
      <c r="A57" s="210" t="s">
        <v>180</v>
      </c>
      <c r="B57" s="79" t="s">
        <v>101</v>
      </c>
      <c r="C57" s="80">
        <v>12</v>
      </c>
      <c r="D57" s="76"/>
      <c r="E57" s="76">
        <v>9639.6299999999992</v>
      </c>
      <c r="F57" s="76">
        <v>12000</v>
      </c>
      <c r="G57" s="76"/>
      <c r="H57" s="76">
        <f t="shared" si="6"/>
        <v>10819.814999999999</v>
      </c>
      <c r="I57" s="72">
        <f t="shared" si="7"/>
        <v>129837.77999999998</v>
      </c>
      <c r="J57" s="46"/>
    </row>
    <row r="58" spans="1:10" ht="27.75" customHeight="1" outlineLevel="3" x14ac:dyDescent="0.25">
      <c r="A58" s="210" t="s">
        <v>179</v>
      </c>
      <c r="B58" s="79" t="s">
        <v>101</v>
      </c>
      <c r="C58" s="80">
        <v>12</v>
      </c>
      <c r="D58" s="76"/>
      <c r="E58" s="76">
        <v>4400</v>
      </c>
      <c r="F58" s="76">
        <v>5000</v>
      </c>
      <c r="G58" s="76"/>
      <c r="H58" s="76">
        <f t="shared" si="6"/>
        <v>4700</v>
      </c>
      <c r="I58" s="72">
        <f t="shared" si="7"/>
        <v>56400</v>
      </c>
      <c r="J58" s="46"/>
    </row>
    <row r="59" spans="1:10" outlineLevel="3" x14ac:dyDescent="0.25">
      <c r="A59" s="210" t="s">
        <v>181</v>
      </c>
      <c r="B59" s="79" t="s">
        <v>101</v>
      </c>
      <c r="C59" s="80">
        <v>12</v>
      </c>
      <c r="D59" s="76"/>
      <c r="E59" s="76">
        <v>5072.76</v>
      </c>
      <c r="F59" s="76">
        <v>6000</v>
      </c>
      <c r="G59" s="76"/>
      <c r="H59" s="76">
        <f t="shared" si="6"/>
        <v>5536.38</v>
      </c>
      <c r="I59" s="72">
        <f t="shared" si="7"/>
        <v>66436.56</v>
      </c>
      <c r="J59" s="46"/>
    </row>
    <row r="60" spans="1:10" outlineLevel="3" x14ac:dyDescent="0.25">
      <c r="A60" s="210" t="s">
        <v>182</v>
      </c>
      <c r="B60" s="79" t="s">
        <v>101</v>
      </c>
      <c r="C60" s="80">
        <v>12</v>
      </c>
      <c r="D60" s="76"/>
      <c r="E60" s="76">
        <v>8800</v>
      </c>
      <c r="F60" s="76">
        <v>9000</v>
      </c>
      <c r="G60" s="76"/>
      <c r="H60" s="76">
        <f t="shared" si="6"/>
        <v>8900</v>
      </c>
      <c r="I60" s="72">
        <f t="shared" si="7"/>
        <v>106800</v>
      </c>
      <c r="J60" s="46"/>
    </row>
    <row r="61" spans="1:10" ht="26.4" outlineLevel="3" x14ac:dyDescent="0.25">
      <c r="A61" s="210" t="s">
        <v>177</v>
      </c>
      <c r="B61" s="79" t="s">
        <v>101</v>
      </c>
      <c r="C61" s="80">
        <v>12</v>
      </c>
      <c r="D61" s="76"/>
      <c r="E61" s="76">
        <v>2200</v>
      </c>
      <c r="F61" s="76">
        <v>3000</v>
      </c>
      <c r="G61" s="76"/>
      <c r="H61" s="76">
        <f t="shared" si="6"/>
        <v>2600</v>
      </c>
      <c r="I61" s="72">
        <f t="shared" si="7"/>
        <v>31200</v>
      </c>
      <c r="J61" s="46"/>
    </row>
    <row r="62" spans="1:10" outlineLevel="2" x14ac:dyDescent="0.25">
      <c r="A62" s="211" t="s">
        <v>260</v>
      </c>
      <c r="B62" s="77" t="s">
        <v>1</v>
      </c>
      <c r="C62" s="77" t="s">
        <v>1</v>
      </c>
      <c r="D62" s="77" t="s">
        <v>1</v>
      </c>
      <c r="E62" s="77" t="s">
        <v>1</v>
      </c>
      <c r="F62" s="77" t="s">
        <v>1</v>
      </c>
      <c r="G62" s="77" t="s">
        <v>1</v>
      </c>
      <c r="H62" s="76"/>
      <c r="I62" s="71">
        <f>I63+I64+I65</f>
        <v>273545.50799999997</v>
      </c>
      <c r="J62" s="46"/>
    </row>
    <row r="63" spans="1:10" outlineLevel="3" x14ac:dyDescent="0.25">
      <c r="A63" s="210" t="s">
        <v>261</v>
      </c>
      <c r="B63" s="79" t="s">
        <v>10</v>
      </c>
      <c r="C63" s="80">
        <f>185.2*12</f>
        <v>2222.3999999999996</v>
      </c>
      <c r="D63" s="76"/>
      <c r="E63" s="76">
        <v>23.8</v>
      </c>
      <c r="F63" s="76"/>
      <c r="G63" s="76"/>
      <c r="H63" s="76">
        <f>E63</f>
        <v>23.8</v>
      </c>
      <c r="I63" s="72">
        <f>C63*H63</f>
        <v>52893.119999999995</v>
      </c>
      <c r="J63" s="46"/>
    </row>
    <row r="64" spans="1:10" outlineLevel="3" x14ac:dyDescent="0.25">
      <c r="A64" s="210" t="s">
        <v>262</v>
      </c>
      <c r="B64" s="79" t="s">
        <v>10</v>
      </c>
      <c r="C64" s="80">
        <f>12*614.3</f>
        <v>7371.5999999999995</v>
      </c>
      <c r="D64" s="76"/>
      <c r="E64" s="76">
        <v>20.23</v>
      </c>
      <c r="F64" s="76"/>
      <c r="G64" s="76"/>
      <c r="H64" s="203">
        <f>E64</f>
        <v>20.23</v>
      </c>
      <c r="I64" s="72">
        <f>C64*H64</f>
        <v>149127.46799999999</v>
      </c>
      <c r="J64" s="46"/>
    </row>
    <row r="65" spans="1:11" outlineLevel="3" x14ac:dyDescent="0.25">
      <c r="A65" s="210" t="s">
        <v>263</v>
      </c>
      <c r="B65" s="79" t="s">
        <v>10</v>
      </c>
      <c r="C65" s="80">
        <f>288.5*12</f>
        <v>3462</v>
      </c>
      <c r="D65" s="76"/>
      <c r="E65" s="76">
        <v>20.66</v>
      </c>
      <c r="F65" s="76"/>
      <c r="G65" s="76"/>
      <c r="H65" s="76">
        <f>E65</f>
        <v>20.66</v>
      </c>
      <c r="I65" s="72">
        <f>C65*H65</f>
        <v>71524.92</v>
      </c>
      <c r="J65" s="46"/>
    </row>
    <row r="66" spans="1:11" outlineLevel="2" x14ac:dyDescent="0.25">
      <c r="A66" s="211" t="s">
        <v>264</v>
      </c>
      <c r="B66" s="77" t="s">
        <v>1</v>
      </c>
      <c r="C66" s="77" t="s">
        <v>1</v>
      </c>
      <c r="D66" s="77" t="s">
        <v>1</v>
      </c>
      <c r="E66" s="77" t="s">
        <v>1</v>
      </c>
      <c r="F66" s="77" t="s">
        <v>1</v>
      </c>
      <c r="G66" s="77" t="s">
        <v>1</v>
      </c>
      <c r="H66" s="76"/>
      <c r="I66" s="71">
        <f>I67</f>
        <v>6900</v>
      </c>
      <c r="J66" s="46"/>
    </row>
    <row r="67" spans="1:11" outlineLevel="3" x14ac:dyDescent="0.25">
      <c r="A67" s="210" t="s">
        <v>264</v>
      </c>
      <c r="B67" s="79" t="s">
        <v>101</v>
      </c>
      <c r="C67" s="80">
        <v>12</v>
      </c>
      <c r="D67" s="76"/>
      <c r="E67" s="76">
        <v>575</v>
      </c>
      <c r="F67" s="76"/>
      <c r="G67" s="76"/>
      <c r="H67" s="76">
        <f>E67</f>
        <v>575</v>
      </c>
      <c r="I67" s="72">
        <f>C67*H67</f>
        <v>6900</v>
      </c>
      <c r="J67" s="46"/>
    </row>
    <row r="68" spans="1:11" ht="12.75" customHeight="1" outlineLevel="2" x14ac:dyDescent="0.25">
      <c r="A68" s="209" t="s">
        <v>107</v>
      </c>
      <c r="B68" s="77" t="s">
        <v>1</v>
      </c>
      <c r="C68" s="77" t="s">
        <v>1</v>
      </c>
      <c r="D68" s="77" t="s">
        <v>1</v>
      </c>
      <c r="E68" s="77" t="s">
        <v>1</v>
      </c>
      <c r="F68" s="77" t="s">
        <v>1</v>
      </c>
      <c r="G68" s="77" t="s">
        <v>1</v>
      </c>
      <c r="H68" s="83" t="s">
        <v>1</v>
      </c>
      <c r="I68" s="71">
        <f>I69</f>
        <v>35154</v>
      </c>
      <c r="J68" s="45"/>
    </row>
    <row r="69" spans="1:11" ht="12.75" customHeight="1" outlineLevel="3" x14ac:dyDescent="0.25">
      <c r="A69" s="50" t="s">
        <v>169</v>
      </c>
      <c r="B69" s="84" t="s">
        <v>10</v>
      </c>
      <c r="C69" s="45">
        <f>4.5*12</f>
        <v>54</v>
      </c>
      <c r="D69" s="76"/>
      <c r="E69" s="76">
        <v>651</v>
      </c>
      <c r="F69" s="76"/>
      <c r="G69" s="76"/>
      <c r="H69" s="45">
        <f>E69</f>
        <v>651</v>
      </c>
      <c r="I69" s="45">
        <f>C69*H69</f>
        <v>35154</v>
      </c>
      <c r="J69" s="45"/>
    </row>
    <row r="70" spans="1:11" s="95" customFormat="1" outlineLevel="2" x14ac:dyDescent="0.3">
      <c r="A70" s="213" t="s">
        <v>105</v>
      </c>
      <c r="B70" s="77" t="s">
        <v>1</v>
      </c>
      <c r="C70" s="77" t="s">
        <v>1</v>
      </c>
      <c r="D70" s="77" t="s">
        <v>1</v>
      </c>
      <c r="E70" s="77" t="s">
        <v>1</v>
      </c>
      <c r="F70" s="77" t="s">
        <v>1</v>
      </c>
      <c r="G70" s="77" t="s">
        <v>1</v>
      </c>
      <c r="H70" s="83" t="s">
        <v>1</v>
      </c>
      <c r="I70" s="73">
        <f>I71</f>
        <v>12945.239999999996</v>
      </c>
      <c r="J70" s="94" t="s">
        <v>106</v>
      </c>
      <c r="K70" s="154"/>
    </row>
    <row r="71" spans="1:11" s="95" customFormat="1" outlineLevel="3" x14ac:dyDescent="0.3">
      <c r="A71" s="224" t="s">
        <v>171</v>
      </c>
      <c r="B71" s="225" t="s">
        <v>10</v>
      </c>
      <c r="C71" s="226">
        <f>653.8*12</f>
        <v>7845.5999999999995</v>
      </c>
      <c r="D71" s="227"/>
      <c r="E71" s="227">
        <v>1.25</v>
      </c>
      <c r="F71" s="227">
        <v>1.8</v>
      </c>
      <c r="G71" s="227">
        <v>1.9</v>
      </c>
      <c r="H71" s="228">
        <f>(E71+F71+G71)/3</f>
        <v>1.6499999999999997</v>
      </c>
      <c r="I71" s="229">
        <f>C71*H71</f>
        <v>12945.239999999996</v>
      </c>
      <c r="J71" s="94"/>
      <c r="K71" s="154"/>
    </row>
    <row r="72" spans="1:11" ht="25.5" customHeight="1" outlineLevel="1" x14ac:dyDescent="0.25">
      <c r="A72" s="236" t="s">
        <v>7</v>
      </c>
      <c r="B72" s="236"/>
      <c r="C72" s="236"/>
      <c r="D72" s="236"/>
      <c r="E72" s="236"/>
      <c r="F72" s="236"/>
      <c r="G72" s="236"/>
      <c r="H72" s="236"/>
      <c r="I72" s="46">
        <f>SUM(I73:I73)</f>
        <v>0</v>
      </c>
      <c r="J72" s="46"/>
    </row>
    <row r="73" spans="1:11" outlineLevel="2" x14ac:dyDescent="0.25">
      <c r="A73" s="214"/>
      <c r="B73" s="86"/>
      <c r="C73" s="87"/>
      <c r="D73" s="76"/>
      <c r="E73" s="76"/>
      <c r="F73" s="76"/>
      <c r="G73" s="76"/>
      <c r="H73" s="45"/>
      <c r="I73" s="45">
        <f>C73*H73</f>
        <v>0</v>
      </c>
      <c r="J73" s="45"/>
    </row>
    <row r="74" spans="1:11" outlineLevel="1" x14ac:dyDescent="0.25">
      <c r="A74" s="236" t="s">
        <v>8</v>
      </c>
      <c r="B74" s="236"/>
      <c r="C74" s="236"/>
      <c r="D74" s="236"/>
      <c r="E74" s="236"/>
      <c r="F74" s="236"/>
      <c r="G74" s="236"/>
      <c r="H74" s="236"/>
      <c r="I74" s="46">
        <f>SUM(I75:I79)</f>
        <v>211658.28</v>
      </c>
      <c r="J74" s="46"/>
    </row>
    <row r="75" spans="1:11" outlineLevel="2" x14ac:dyDescent="0.25">
      <c r="A75" s="215" t="s">
        <v>255</v>
      </c>
      <c r="B75" s="198" t="s">
        <v>101</v>
      </c>
      <c r="C75" s="87">
        <v>12</v>
      </c>
      <c r="D75" s="199" t="s">
        <v>81</v>
      </c>
      <c r="E75" s="76">
        <v>5514.21</v>
      </c>
      <c r="F75" s="76"/>
      <c r="G75" s="76"/>
      <c r="H75" s="25">
        <v>5514.21</v>
      </c>
      <c r="I75" s="45">
        <f>C75*H75</f>
        <v>66170.52</v>
      </c>
      <c r="J75" s="45"/>
    </row>
    <row r="76" spans="1:11" outlineLevel="2" x14ac:dyDescent="0.25">
      <c r="A76" s="215" t="s">
        <v>256</v>
      </c>
      <c r="B76" s="198" t="s">
        <v>101</v>
      </c>
      <c r="C76" s="87">
        <v>12</v>
      </c>
      <c r="D76" s="199" t="s">
        <v>81</v>
      </c>
      <c r="E76" s="76">
        <v>536.97</v>
      </c>
      <c r="F76" s="76"/>
      <c r="G76" s="76"/>
      <c r="H76" s="25">
        <v>536.97</v>
      </c>
      <c r="I76" s="45">
        <f>C76*H76</f>
        <v>6443.64</v>
      </c>
      <c r="J76" s="45"/>
    </row>
    <row r="77" spans="1:11" outlineLevel="2" x14ac:dyDescent="0.25">
      <c r="A77" s="215" t="s">
        <v>257</v>
      </c>
      <c r="B77" s="198" t="s">
        <v>101</v>
      </c>
      <c r="C77" s="87">
        <v>12</v>
      </c>
      <c r="D77" s="199"/>
      <c r="E77" s="76">
        <v>2360</v>
      </c>
      <c r="F77" s="76"/>
      <c r="G77" s="76"/>
      <c r="H77" s="25">
        <v>2360</v>
      </c>
      <c r="I77" s="45">
        <f>C77*H77</f>
        <v>28320</v>
      </c>
      <c r="J77" s="45"/>
    </row>
    <row r="78" spans="1:11" outlineLevel="2" x14ac:dyDescent="0.25">
      <c r="A78" s="215" t="s">
        <v>258</v>
      </c>
      <c r="B78" s="198" t="s">
        <v>101</v>
      </c>
      <c r="C78" s="87">
        <v>12</v>
      </c>
      <c r="D78" s="199" t="s">
        <v>81</v>
      </c>
      <c r="E78" s="76">
        <v>8778.61</v>
      </c>
      <c r="F78" s="76"/>
      <c r="G78" s="76"/>
      <c r="H78" s="25">
        <v>8778.61</v>
      </c>
      <c r="I78" s="45">
        <f>C78*H78</f>
        <v>105343.32</v>
      </c>
      <c r="J78" s="45"/>
    </row>
    <row r="79" spans="1:11" ht="13.5" customHeight="1" outlineLevel="2" x14ac:dyDescent="0.25">
      <c r="A79" s="210" t="s">
        <v>259</v>
      </c>
      <c r="B79" s="198" t="s">
        <v>101</v>
      </c>
      <c r="C79" s="80">
        <v>12</v>
      </c>
      <c r="D79" s="199" t="s">
        <v>81</v>
      </c>
      <c r="E79" s="76">
        <v>448.4</v>
      </c>
      <c r="F79" s="76"/>
      <c r="G79" s="76"/>
      <c r="H79" s="45">
        <v>448.4</v>
      </c>
      <c r="I79" s="72">
        <f>C79*H79</f>
        <v>5380.7999999999993</v>
      </c>
      <c r="J79" s="46"/>
    </row>
    <row r="80" spans="1:11" outlineLevel="1" x14ac:dyDescent="0.25">
      <c r="A80" s="236" t="s">
        <v>9</v>
      </c>
      <c r="B80" s="236"/>
      <c r="C80" s="236"/>
      <c r="D80" s="236"/>
      <c r="E80" s="236"/>
      <c r="F80" s="236"/>
      <c r="G80" s="236"/>
      <c r="H80" s="236"/>
      <c r="I80" s="46">
        <v>0</v>
      </c>
      <c r="J80" s="46"/>
    </row>
    <row r="81" spans="1:12" ht="12.75" customHeight="1" outlineLevel="2" x14ac:dyDescent="0.25">
      <c r="A81" s="214"/>
      <c r="B81" s="86"/>
      <c r="C81" s="87"/>
      <c r="D81" s="67"/>
      <c r="E81" s="67"/>
      <c r="F81" s="67"/>
      <c r="G81" s="67"/>
      <c r="H81" s="67"/>
      <c r="I81" s="67"/>
      <c r="J81" s="67"/>
    </row>
    <row r="82" spans="1:12" ht="25.2" customHeight="1" outlineLevel="1" x14ac:dyDescent="0.25">
      <c r="A82" s="236" t="s">
        <v>124</v>
      </c>
      <c r="B82" s="236"/>
      <c r="C82" s="236"/>
      <c r="D82" s="236"/>
      <c r="E82" s="236"/>
      <c r="F82" s="236"/>
      <c r="G82" s="236"/>
      <c r="H82" s="236"/>
      <c r="I82" s="46">
        <f>SUM(I83:I88)</f>
        <v>5310327</v>
      </c>
      <c r="J82" s="46"/>
      <c r="L82" s="152"/>
    </row>
    <row r="83" spans="1:12" ht="12.75" customHeight="1" outlineLevel="2" x14ac:dyDescent="0.25">
      <c r="A83" s="208" t="s">
        <v>205</v>
      </c>
      <c r="B83" s="53" t="s">
        <v>201</v>
      </c>
      <c r="C83" s="60">
        <v>9</v>
      </c>
      <c r="D83" s="76"/>
      <c r="E83" s="45">
        <f>(949666+870527+211037)/C83</f>
        <v>225692.22222222222</v>
      </c>
      <c r="F83" s="76"/>
      <c r="G83" s="76"/>
      <c r="H83" s="221">
        <f t="shared" ref="H83:H88" si="8">E83</f>
        <v>225692.22222222222</v>
      </c>
      <c r="I83" s="45">
        <f t="shared" ref="I83:I88" si="9">C83*H83</f>
        <v>2031230</v>
      </c>
      <c r="J83" s="67"/>
    </row>
    <row r="84" spans="1:12" ht="12.75" customHeight="1" outlineLevel="2" x14ac:dyDescent="0.25">
      <c r="A84" s="208" t="s">
        <v>206</v>
      </c>
      <c r="B84" s="53" t="s">
        <v>201</v>
      </c>
      <c r="C84" s="61">
        <v>3</v>
      </c>
      <c r="D84" s="76"/>
      <c r="E84" s="45">
        <f>474833/C84</f>
        <v>158277.66666666666</v>
      </c>
      <c r="F84" s="76"/>
      <c r="G84" s="76"/>
      <c r="H84" s="219">
        <f t="shared" si="8"/>
        <v>158277.66666666666</v>
      </c>
      <c r="I84" s="45">
        <f t="shared" si="9"/>
        <v>474833</v>
      </c>
      <c r="J84" s="67"/>
    </row>
    <row r="85" spans="1:12" ht="12.75" customHeight="1" outlineLevel="2" x14ac:dyDescent="0.25">
      <c r="A85" s="208" t="s">
        <v>207</v>
      </c>
      <c r="B85" s="53" t="s">
        <v>201</v>
      </c>
      <c r="C85" s="61">
        <v>3</v>
      </c>
      <c r="D85" s="76"/>
      <c r="E85" s="45">
        <f>131898/C85</f>
        <v>43966</v>
      </c>
      <c r="F85" s="76"/>
      <c r="G85" s="76"/>
      <c r="H85" s="220">
        <f t="shared" si="8"/>
        <v>43966</v>
      </c>
      <c r="I85" s="45">
        <f t="shared" si="9"/>
        <v>131898</v>
      </c>
      <c r="J85" s="67"/>
    </row>
    <row r="86" spans="1:12" ht="12.75" customHeight="1" outlineLevel="2" x14ac:dyDescent="0.25">
      <c r="A86" s="208" t="s">
        <v>208</v>
      </c>
      <c r="B86" s="53" t="s">
        <v>201</v>
      </c>
      <c r="C86" s="61">
        <v>33</v>
      </c>
      <c r="D86" s="76"/>
      <c r="E86" s="45">
        <f>(962052+881881+213789)/C86</f>
        <v>62355.21212121212</v>
      </c>
      <c r="F86" s="76"/>
      <c r="G86" s="76"/>
      <c r="H86" s="221">
        <f t="shared" si="8"/>
        <v>62355.21212121212</v>
      </c>
      <c r="I86" s="45">
        <f t="shared" si="9"/>
        <v>2057722</v>
      </c>
      <c r="J86" s="67"/>
    </row>
    <row r="87" spans="1:12" ht="12.75" customHeight="1" outlineLevel="2" x14ac:dyDescent="0.25">
      <c r="A87" s="208" t="s">
        <v>209</v>
      </c>
      <c r="B87" s="53" t="s">
        <v>201</v>
      </c>
      <c r="C87" s="62">
        <v>11</v>
      </c>
      <c r="D87" s="76"/>
      <c r="E87" s="45">
        <f>481026/C87</f>
        <v>43729.63636363636</v>
      </c>
      <c r="F87" s="76"/>
      <c r="G87" s="76"/>
      <c r="H87" s="219">
        <f t="shared" si="8"/>
        <v>43729.63636363636</v>
      </c>
      <c r="I87" s="45">
        <f t="shared" si="9"/>
        <v>481025.99999999994</v>
      </c>
      <c r="J87" s="67"/>
    </row>
    <row r="88" spans="1:12" ht="12.75" customHeight="1" outlineLevel="2" x14ac:dyDescent="0.25">
      <c r="A88" s="208" t="s">
        <v>210</v>
      </c>
      <c r="B88" s="53" t="s">
        <v>201</v>
      </c>
      <c r="C88" s="63">
        <v>11</v>
      </c>
      <c r="D88" s="76"/>
      <c r="E88" s="45">
        <f>133618/C88</f>
        <v>12147.09090909091</v>
      </c>
      <c r="F88" s="76"/>
      <c r="G88" s="76"/>
      <c r="H88" s="220">
        <f t="shared" si="8"/>
        <v>12147.09090909091</v>
      </c>
      <c r="I88" s="45">
        <f t="shared" si="9"/>
        <v>133618</v>
      </c>
      <c r="J88" s="67"/>
    </row>
    <row r="89" spans="1:12" ht="16.5" customHeight="1" outlineLevel="1" x14ac:dyDescent="0.25">
      <c r="A89" s="236" t="s">
        <v>125</v>
      </c>
      <c r="B89" s="236"/>
      <c r="C89" s="236"/>
      <c r="D89" s="236"/>
      <c r="E89" s="236"/>
      <c r="F89" s="236"/>
      <c r="G89" s="236"/>
      <c r="H89" s="236"/>
      <c r="I89" s="46">
        <f>I90+I94+I97</f>
        <v>63966.666666666672</v>
      </c>
      <c r="J89" s="46"/>
    </row>
    <row r="90" spans="1:12" ht="16.5" customHeight="1" outlineLevel="2" x14ac:dyDescent="0.25">
      <c r="A90" s="216" t="s">
        <v>150</v>
      </c>
      <c r="B90" s="77" t="s">
        <v>1</v>
      </c>
      <c r="C90" s="77" t="s">
        <v>1</v>
      </c>
      <c r="D90" s="77" t="s">
        <v>1</v>
      </c>
      <c r="E90" s="77" t="s">
        <v>1</v>
      </c>
      <c r="F90" s="77" t="s">
        <v>1</v>
      </c>
      <c r="G90" s="77" t="s">
        <v>1</v>
      </c>
      <c r="H90" s="83" t="s">
        <v>1</v>
      </c>
      <c r="I90" s="46">
        <f>SUM(I91:I93)</f>
        <v>24616.666666666668</v>
      </c>
      <c r="J90" s="46"/>
    </row>
    <row r="91" spans="1:12" ht="13.5" customHeight="1" outlineLevel="3" x14ac:dyDescent="0.25">
      <c r="A91" s="210" t="s">
        <v>172</v>
      </c>
      <c r="B91" s="79" t="s">
        <v>2</v>
      </c>
      <c r="C91" s="80">
        <v>1</v>
      </c>
      <c r="D91" s="76"/>
      <c r="E91" s="76">
        <v>14900</v>
      </c>
      <c r="F91" s="76">
        <v>15500</v>
      </c>
      <c r="G91" s="76"/>
      <c r="H91" s="45">
        <f>(E91+F91)/2</f>
        <v>15200</v>
      </c>
      <c r="I91" s="72">
        <f>C91*H91</f>
        <v>15200</v>
      </c>
      <c r="J91" s="46"/>
    </row>
    <row r="92" spans="1:12" ht="12" customHeight="1" outlineLevel="3" x14ac:dyDescent="0.25">
      <c r="A92" s="210" t="s">
        <v>174</v>
      </c>
      <c r="B92" s="79" t="s">
        <v>2</v>
      </c>
      <c r="C92" s="80">
        <v>1</v>
      </c>
      <c r="D92" s="76"/>
      <c r="E92" s="76">
        <v>4950</v>
      </c>
      <c r="F92" s="76"/>
      <c r="G92" s="76"/>
      <c r="H92" s="45">
        <f>E92</f>
        <v>4950</v>
      </c>
      <c r="I92" s="72">
        <f>C92*H92</f>
        <v>4950</v>
      </c>
      <c r="J92" s="46"/>
    </row>
    <row r="93" spans="1:12" outlineLevel="3" x14ac:dyDescent="0.25">
      <c r="A93" s="210" t="s">
        <v>173</v>
      </c>
      <c r="B93" s="79" t="s">
        <v>2</v>
      </c>
      <c r="C93" s="80">
        <v>2</v>
      </c>
      <c r="D93" s="76"/>
      <c r="E93" s="76">
        <v>1800</v>
      </c>
      <c r="F93" s="76">
        <v>2500</v>
      </c>
      <c r="G93" s="76">
        <v>2400</v>
      </c>
      <c r="H93" s="45">
        <f>(E93+F93+G93)/3</f>
        <v>2233.3333333333335</v>
      </c>
      <c r="I93" s="72">
        <f>C93*H93</f>
        <v>4466.666666666667</v>
      </c>
      <c r="J93" s="46"/>
    </row>
    <row r="94" spans="1:12" s="36" customFormat="1" ht="12.75" customHeight="1" outlineLevel="2" x14ac:dyDescent="0.25">
      <c r="A94" s="212" t="s">
        <v>116</v>
      </c>
      <c r="B94" s="77" t="s">
        <v>1</v>
      </c>
      <c r="C94" s="77" t="s">
        <v>1</v>
      </c>
      <c r="D94" s="77" t="s">
        <v>1</v>
      </c>
      <c r="E94" s="77" t="s">
        <v>1</v>
      </c>
      <c r="F94" s="77" t="s">
        <v>1</v>
      </c>
      <c r="G94" s="77" t="s">
        <v>1</v>
      </c>
      <c r="H94" s="83" t="s">
        <v>1</v>
      </c>
      <c r="I94" s="74">
        <f>SUM(I95:I96)</f>
        <v>39350</v>
      </c>
      <c r="J94" s="74"/>
      <c r="K94" s="153"/>
    </row>
    <row r="95" spans="1:12" ht="12.75" customHeight="1" outlineLevel="3" x14ac:dyDescent="0.25">
      <c r="A95" s="217" t="s">
        <v>168</v>
      </c>
      <c r="B95" s="88" t="s">
        <v>3</v>
      </c>
      <c r="C95" s="88">
        <f>12+9+10+15+7+19</f>
        <v>72</v>
      </c>
      <c r="D95" s="76"/>
      <c r="E95" s="76">
        <v>450</v>
      </c>
      <c r="F95" s="76">
        <v>500</v>
      </c>
      <c r="G95" s="76">
        <v>550</v>
      </c>
      <c r="H95" s="75">
        <f>(E95+F95+G95)/3</f>
        <v>500</v>
      </c>
      <c r="I95" s="75">
        <f>C95*H95</f>
        <v>36000</v>
      </c>
      <c r="J95" s="75"/>
    </row>
    <row r="96" spans="1:12" ht="12.75" customHeight="1" outlineLevel="3" x14ac:dyDescent="0.25">
      <c r="A96" s="217" t="s">
        <v>167</v>
      </c>
      <c r="B96" s="88" t="s">
        <v>3</v>
      </c>
      <c r="C96" s="88">
        <v>1</v>
      </c>
      <c r="D96" s="76"/>
      <c r="E96" s="76">
        <v>3300</v>
      </c>
      <c r="F96" s="76">
        <v>3350</v>
      </c>
      <c r="G96" s="76">
        <v>3400</v>
      </c>
      <c r="H96" s="75">
        <f>(E96+F96+G96)/3</f>
        <v>3350</v>
      </c>
      <c r="I96" s="75">
        <f>C96*H96</f>
        <v>3350</v>
      </c>
      <c r="J96" s="75"/>
    </row>
    <row r="97" spans="1:11" s="96" customFormat="1" outlineLevel="2" x14ac:dyDescent="0.25">
      <c r="A97" s="209" t="s">
        <v>190</v>
      </c>
      <c r="B97" s="77" t="s">
        <v>1</v>
      </c>
      <c r="C97" s="78" t="s">
        <v>1</v>
      </c>
      <c r="D97" s="89" t="s">
        <v>1</v>
      </c>
      <c r="E97" s="89" t="s">
        <v>1</v>
      </c>
      <c r="F97" s="89" t="s">
        <v>1</v>
      </c>
      <c r="G97" s="89" t="s">
        <v>1</v>
      </c>
      <c r="H97" s="74" t="s">
        <v>1</v>
      </c>
      <c r="I97" s="74">
        <f>SUM(I98:I98)</f>
        <v>0</v>
      </c>
      <c r="J97" s="74"/>
      <c r="K97" s="155"/>
    </row>
    <row r="98" spans="1:11" s="97" customFormat="1" ht="14.4" customHeight="1" outlineLevel="3" x14ac:dyDescent="0.25">
      <c r="A98" s="217" t="s">
        <v>191</v>
      </c>
      <c r="B98" s="88" t="s">
        <v>183</v>
      </c>
      <c r="C98" s="88">
        <v>4</v>
      </c>
      <c r="D98" s="90"/>
      <c r="E98" s="90">
        <v>1300</v>
      </c>
      <c r="F98" s="90"/>
      <c r="G98" s="90"/>
      <c r="H98" s="75"/>
      <c r="I98" s="75">
        <f>C98*H98</f>
        <v>0</v>
      </c>
      <c r="J98" s="75"/>
      <c r="K98" s="156"/>
    </row>
    <row r="99" spans="1:11" x14ac:dyDescent="0.25">
      <c r="A99" s="243" t="s">
        <v>126</v>
      </c>
      <c r="B99" s="243"/>
      <c r="C99" s="243"/>
      <c r="D99" s="243"/>
      <c r="E99" s="243"/>
      <c r="F99" s="243"/>
      <c r="G99" s="243"/>
      <c r="H99" s="243"/>
      <c r="I99" s="46">
        <f>I3+I43</f>
        <v>31188641.083966665</v>
      </c>
      <c r="J99" s="46"/>
    </row>
    <row r="101" spans="1:11" x14ac:dyDescent="0.25">
      <c r="I101" s="152">
        <f>I99-I6-I7-I84-I85-I87-I88</f>
        <v>24994184.223966666</v>
      </c>
    </row>
    <row r="103" spans="1:11" x14ac:dyDescent="0.25">
      <c r="I103" s="152">
        <f>I4+I82</f>
        <v>26735843.079999998</v>
      </c>
    </row>
    <row r="104" spans="1:11" x14ac:dyDescent="0.25">
      <c r="I104" s="152">
        <f>I8+I21</f>
        <v>1608789.98</v>
      </c>
    </row>
    <row r="105" spans="1:11" x14ac:dyDescent="0.25">
      <c r="I105" s="152">
        <f>I44</f>
        <v>1718635.6693</v>
      </c>
    </row>
    <row r="106" spans="1:11" x14ac:dyDescent="0.25">
      <c r="I106" s="152">
        <f>I43-I44-I82+'6.'!E11</f>
        <v>1130572.3546666671</v>
      </c>
    </row>
    <row r="109" spans="1:11" x14ac:dyDescent="0.25">
      <c r="H109" s="222" t="s">
        <v>279</v>
      </c>
      <c r="I109" s="152">
        <f>I4+I82</f>
        <v>26735843.079999998</v>
      </c>
    </row>
    <row r="110" spans="1:11" ht="26.4" x14ac:dyDescent="0.25">
      <c r="H110" s="223" t="s">
        <v>280</v>
      </c>
      <c r="I110" s="152">
        <f>I44</f>
        <v>1718635.6693</v>
      </c>
    </row>
    <row r="111" spans="1:11" ht="39.6" x14ac:dyDescent="0.25">
      <c r="H111" s="223" t="s">
        <v>281</v>
      </c>
      <c r="I111" s="152">
        <f>'6.'!E11</f>
        <v>5200</v>
      </c>
    </row>
    <row r="112" spans="1:11" ht="26.4" x14ac:dyDescent="0.25">
      <c r="H112" s="223" t="s">
        <v>282</v>
      </c>
      <c r="I112" s="152">
        <f>I113-I109-I110-I111</f>
        <v>2735026.2507000016</v>
      </c>
    </row>
    <row r="113" spans="9:9" x14ac:dyDescent="0.25">
      <c r="I113" s="152">
        <v>31194705</v>
      </c>
    </row>
  </sheetData>
  <sheetProtection password="C71F" sheet="1" objects="1" scenarios="1"/>
  <mergeCells count="18">
    <mergeCell ref="A99:H99"/>
    <mergeCell ref="A44:H44"/>
    <mergeCell ref="A53:H53"/>
    <mergeCell ref="A72:H72"/>
    <mergeCell ref="A74:H74"/>
    <mergeCell ref="A80:H80"/>
    <mergeCell ref="A82:H82"/>
    <mergeCell ref="A89:H89"/>
    <mergeCell ref="E1:G1"/>
    <mergeCell ref="A43:H43"/>
    <mergeCell ref="A3:H3"/>
    <mergeCell ref="A4:H4"/>
    <mergeCell ref="A8:H8"/>
    <mergeCell ref="A21:H21"/>
    <mergeCell ref="A1:A2"/>
    <mergeCell ref="B1:B2"/>
    <mergeCell ref="C1:C2"/>
    <mergeCell ref="D1:D2"/>
  </mergeCells>
  <phoneticPr fontId="16" type="noConversion"/>
  <pageMargins left="1.2598425196850394" right="0.70866141732283472" top="0.74803149606299213" bottom="0.74803149606299213" header="0.31496062992125984" footer="0.31496062992125984"/>
  <pageSetup paperSize="9" scale="42" fitToHeight="3" orientation="landscape" r:id="rId1"/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9"/>
  <sheetViews>
    <sheetView view="pageBreakPreview" zoomScale="70" zoomScaleNormal="81" zoomScaleSheetLayoutView="70" workbookViewId="0">
      <selection activeCell="F2" sqref="F2"/>
    </sheetView>
  </sheetViews>
  <sheetFormatPr defaultColWidth="9.109375" defaultRowHeight="14.4" x14ac:dyDescent="0.3"/>
  <cols>
    <col min="1" max="1" width="31.33203125" style="4" customWidth="1"/>
    <col min="2" max="2" width="28.88671875" style="4" customWidth="1"/>
    <col min="3" max="3" width="20.6640625" style="4" customWidth="1"/>
    <col min="4" max="4" width="22.5546875" style="4" customWidth="1"/>
    <col min="5" max="6" width="20.6640625" style="4" customWidth="1"/>
    <col min="7" max="16384" width="9.109375" style="4"/>
  </cols>
  <sheetData>
    <row r="1" spans="1:6" x14ac:dyDescent="0.3">
      <c r="A1" s="3"/>
      <c r="E1" s="178"/>
      <c r="F1" s="194" t="s">
        <v>298</v>
      </c>
    </row>
    <row r="2" spans="1:6" ht="65.400000000000006" customHeight="1" x14ac:dyDescent="0.3">
      <c r="A2" s="3"/>
      <c r="E2" s="179"/>
      <c r="F2" s="173" t="s">
        <v>291</v>
      </c>
    </row>
    <row r="3" spans="1:6" x14ac:dyDescent="0.3">
      <c r="A3" s="5"/>
      <c r="E3" s="180"/>
      <c r="F3" s="180"/>
    </row>
    <row r="4" spans="1:6" x14ac:dyDescent="0.3">
      <c r="B4" s="1"/>
      <c r="C4" s="1"/>
      <c r="D4" s="1"/>
      <c r="E4" s="1"/>
      <c r="F4" s="1"/>
    </row>
    <row r="5" spans="1:6" x14ac:dyDescent="0.3">
      <c r="B5" s="1"/>
      <c r="C5" s="1"/>
      <c r="D5" s="1"/>
      <c r="E5" s="1"/>
      <c r="F5" s="1"/>
    </row>
    <row r="6" spans="1:6" x14ac:dyDescent="0.3">
      <c r="A6" s="2"/>
      <c r="B6" s="1"/>
      <c r="C6" s="1"/>
      <c r="D6" s="1"/>
      <c r="E6" s="1"/>
      <c r="F6" s="1"/>
    </row>
    <row r="7" spans="1:6" x14ac:dyDescent="0.3">
      <c r="A7" s="297" t="s">
        <v>236</v>
      </c>
      <c r="B7" s="297"/>
      <c r="C7" s="297"/>
      <c r="D7" s="297"/>
      <c r="E7" s="297"/>
      <c r="F7" s="297"/>
    </row>
    <row r="8" spans="1:6" x14ac:dyDescent="0.3">
      <c r="A8" s="297" t="s">
        <v>286</v>
      </c>
      <c r="B8" s="297"/>
      <c r="C8" s="297"/>
      <c r="D8" s="297"/>
      <c r="E8" s="297"/>
      <c r="F8" s="297"/>
    </row>
    <row r="9" spans="1:6" x14ac:dyDescent="0.3">
      <c r="A9" s="2"/>
      <c r="B9" s="1"/>
      <c r="C9" s="1"/>
      <c r="D9" s="1"/>
      <c r="E9" s="1"/>
      <c r="F9" s="1"/>
    </row>
    <row r="10" spans="1:6" x14ac:dyDescent="0.3">
      <c r="B10" s="1"/>
      <c r="C10" s="1"/>
      <c r="D10" s="1"/>
      <c r="E10" s="1"/>
      <c r="F10" s="1"/>
    </row>
    <row r="11" spans="1:6" ht="22.2" customHeight="1" x14ac:dyDescent="0.3">
      <c r="A11" s="314" t="s">
        <v>237</v>
      </c>
      <c r="B11" s="314" t="s">
        <v>58</v>
      </c>
      <c r="C11" s="314" t="s">
        <v>59</v>
      </c>
      <c r="D11" s="314"/>
      <c r="E11" s="314"/>
      <c r="F11" s="314"/>
    </row>
    <row r="12" spans="1:6" x14ac:dyDescent="0.3">
      <c r="A12" s="314"/>
      <c r="B12" s="314"/>
      <c r="C12" s="314" t="s">
        <v>60</v>
      </c>
      <c r="D12" s="314" t="s">
        <v>61</v>
      </c>
      <c r="E12" s="314"/>
      <c r="F12" s="314"/>
    </row>
    <row r="13" spans="1:6" ht="83.25" customHeight="1" x14ac:dyDescent="0.3">
      <c r="A13" s="314"/>
      <c r="B13" s="314"/>
      <c r="C13" s="314"/>
      <c r="D13" s="330" t="s">
        <v>238</v>
      </c>
      <c r="E13" s="328" t="s">
        <v>239</v>
      </c>
      <c r="F13" s="329"/>
    </row>
    <row r="14" spans="1:6" ht="99.75" customHeight="1" x14ac:dyDescent="0.3">
      <c r="A14" s="314"/>
      <c r="B14" s="314"/>
      <c r="C14" s="314"/>
      <c r="D14" s="331"/>
      <c r="E14" s="11" t="s">
        <v>240</v>
      </c>
      <c r="F14" s="11" t="s">
        <v>241</v>
      </c>
    </row>
    <row r="15" spans="1:6" x14ac:dyDescent="0.3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</row>
    <row r="16" spans="1:6" ht="32.25" customHeight="1" x14ac:dyDescent="0.3">
      <c r="A16" s="143" t="s">
        <v>213</v>
      </c>
      <c r="B16" s="142" t="s">
        <v>265</v>
      </c>
      <c r="C16" s="144">
        <f>D16+F16</f>
        <v>971.54085999999984</v>
      </c>
      <c r="D16" s="144">
        <f>'2.2.'!E10+'2.2.'!E29</f>
        <v>971.54085999999984</v>
      </c>
      <c r="E16" s="144">
        <v>0</v>
      </c>
      <c r="F16" s="144">
        <v>0</v>
      </c>
    </row>
    <row r="17" spans="1:6" ht="63" customHeight="1" x14ac:dyDescent="0.3">
      <c r="A17" s="143" t="s">
        <v>214</v>
      </c>
      <c r="B17" s="142" t="s">
        <v>266</v>
      </c>
      <c r="C17" s="144">
        <f>D17+F17</f>
        <v>6.6837628000000011</v>
      </c>
      <c r="D17" s="144">
        <f>'3.2.'!E10+'3.2.'!E28</f>
        <v>6.6837628000000011</v>
      </c>
      <c r="E17" s="144">
        <v>0</v>
      </c>
      <c r="F17" s="144">
        <v>0</v>
      </c>
    </row>
    <row r="18" spans="1:6" x14ac:dyDescent="0.3">
      <c r="A18" s="2"/>
      <c r="B18" s="1"/>
      <c r="C18" s="1"/>
      <c r="D18" s="1"/>
      <c r="E18" s="1"/>
      <c r="F18" s="1"/>
    </row>
    <row r="19" spans="1:6" x14ac:dyDescent="0.3">
      <c r="A19" s="5"/>
    </row>
  </sheetData>
  <mergeCells count="9">
    <mergeCell ref="A7:F7"/>
    <mergeCell ref="E13:F13"/>
    <mergeCell ref="A8:F8"/>
    <mergeCell ref="A11:A14"/>
    <mergeCell ref="B11:B14"/>
    <mergeCell ref="C11:F11"/>
    <mergeCell ref="C12:C14"/>
    <mergeCell ref="D13:D14"/>
    <mergeCell ref="D12:F12"/>
  </mergeCells>
  <phoneticPr fontId="19" type="noConversion"/>
  <pageMargins left="0.7" right="0.7" top="0.75" bottom="0.75" header="0.3" footer="0.3"/>
  <pageSetup paperSize="9" scale="5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92D050"/>
    <outlinePr summaryBelow="0" summaryRight="0"/>
    <pageSetUpPr fitToPage="1"/>
  </sheetPr>
  <dimension ref="A1:J19"/>
  <sheetViews>
    <sheetView view="pageBreakPreview" zoomScale="70" zoomScaleSheetLayoutView="70" workbookViewId="0">
      <pane xSplit="8" ySplit="10" topLeftCell="I11" activePane="bottomRight" state="frozen"/>
      <selection pane="topRight" activeCell="I1" sqref="I1"/>
      <selection pane="bottomLeft" activeCell="A17" sqref="A17"/>
      <selection pane="bottomRight" activeCell="G4" sqref="A4:H10"/>
    </sheetView>
  </sheetViews>
  <sheetFormatPr defaultColWidth="9.109375" defaultRowHeight="14.4" x14ac:dyDescent="0.3"/>
  <cols>
    <col min="1" max="1" width="34.88671875" style="4" customWidth="1"/>
    <col min="2" max="8" width="20.6640625" style="4" customWidth="1"/>
    <col min="9" max="9" width="13" style="4" customWidth="1"/>
    <col min="10" max="10" width="12" style="30" bestFit="1" customWidth="1"/>
    <col min="11" max="11" width="10.6640625" style="4" customWidth="1"/>
    <col min="12" max="12" width="12" style="4" bestFit="1" customWidth="1"/>
    <col min="13" max="16384" width="9.109375" style="4"/>
  </cols>
  <sheetData>
    <row r="1" spans="1:10" x14ac:dyDescent="0.3">
      <c r="A1" s="3"/>
      <c r="G1" s="6"/>
      <c r="H1" s="9" t="s">
        <v>293</v>
      </c>
    </row>
    <row r="2" spans="1:10" ht="52.8" customHeight="1" x14ac:dyDescent="0.3">
      <c r="A2" s="3"/>
      <c r="G2" s="7"/>
      <c r="H2" s="177" t="s">
        <v>294</v>
      </c>
    </row>
    <row r="3" spans="1:10" x14ac:dyDescent="0.3">
      <c r="A3" s="10"/>
    </row>
    <row r="4" spans="1:10" x14ac:dyDescent="0.3">
      <c r="A4" s="5"/>
    </row>
    <row r="5" spans="1:10" x14ac:dyDescent="0.3">
      <c r="A5" s="322" t="s">
        <v>69</v>
      </c>
      <c r="B5" s="322"/>
      <c r="C5" s="322"/>
      <c r="D5" s="322"/>
      <c r="E5" s="322"/>
      <c r="F5" s="322"/>
      <c r="G5" s="322"/>
      <c r="H5" s="322"/>
    </row>
    <row r="6" spans="1:10" x14ac:dyDescent="0.3">
      <c r="A6" s="322" t="s">
        <v>285</v>
      </c>
      <c r="B6" s="322"/>
      <c r="C6" s="322"/>
      <c r="D6" s="322"/>
      <c r="E6" s="322"/>
      <c r="F6" s="322"/>
      <c r="G6" s="322"/>
      <c r="H6" s="322"/>
    </row>
    <row r="7" spans="1:10" x14ac:dyDescent="0.3">
      <c r="A7" s="2"/>
      <c r="B7" s="1"/>
      <c r="C7" s="1"/>
      <c r="D7" s="1"/>
      <c r="E7" s="1"/>
      <c r="F7" s="1"/>
      <c r="G7" s="1"/>
      <c r="H7" s="1"/>
    </row>
    <row r="8" spans="1:10" ht="56.4" customHeight="1" x14ac:dyDescent="0.3">
      <c r="A8" s="314" t="s">
        <v>70</v>
      </c>
      <c r="B8" s="314" t="s">
        <v>71</v>
      </c>
      <c r="C8" s="314" t="s">
        <v>250</v>
      </c>
      <c r="D8" s="314"/>
      <c r="E8" s="314"/>
      <c r="F8" s="314"/>
      <c r="G8" s="314"/>
      <c r="H8" s="314" t="s">
        <v>72</v>
      </c>
    </row>
    <row r="9" spans="1:10" x14ac:dyDescent="0.3">
      <c r="A9" s="314"/>
      <c r="B9" s="314"/>
      <c r="C9" s="314" t="s">
        <v>251</v>
      </c>
      <c r="D9" s="314" t="s">
        <v>73</v>
      </c>
      <c r="E9" s="314"/>
      <c r="F9" s="314"/>
      <c r="G9" s="314"/>
      <c r="H9" s="314"/>
    </row>
    <row r="10" spans="1:10" ht="55.2" x14ac:dyDescent="0.3">
      <c r="A10" s="314"/>
      <c r="B10" s="314"/>
      <c r="C10" s="314"/>
      <c r="D10" s="11" t="s">
        <v>252</v>
      </c>
      <c r="E10" s="11" t="s">
        <v>74</v>
      </c>
      <c r="F10" s="11" t="s">
        <v>75</v>
      </c>
      <c r="G10" s="11" t="s">
        <v>76</v>
      </c>
      <c r="H10" s="314"/>
    </row>
    <row r="11" spans="1:10" x14ac:dyDescent="0.3">
      <c r="A11" s="11">
        <v>1</v>
      </c>
      <c r="B11" s="11">
        <v>2</v>
      </c>
      <c r="C11" s="11" t="s">
        <v>77</v>
      </c>
      <c r="D11" s="11">
        <v>4</v>
      </c>
      <c r="E11" s="11">
        <v>5</v>
      </c>
      <c r="F11" s="11">
        <v>6</v>
      </c>
      <c r="G11" s="11">
        <v>7</v>
      </c>
      <c r="H11" s="11" t="s">
        <v>78</v>
      </c>
    </row>
    <row r="12" spans="1:10" s="27" customFormat="1" ht="96.6" x14ac:dyDescent="0.3">
      <c r="A12" s="145" t="s">
        <v>276</v>
      </c>
      <c r="B12" s="146">
        <v>174400</v>
      </c>
      <c r="C12" s="144">
        <f>'1.2.'!E101</f>
        <v>143.31527651357032</v>
      </c>
      <c r="D12" s="144">
        <f>C12</f>
        <v>143.31527651357032</v>
      </c>
      <c r="E12" s="206">
        <v>1</v>
      </c>
      <c r="F12" s="206">
        <v>1</v>
      </c>
      <c r="G12" s="206">
        <v>1</v>
      </c>
      <c r="H12" s="144">
        <f>B12*C12</f>
        <v>24994184.223966666</v>
      </c>
      <c r="J12" s="43"/>
    </row>
    <row r="13" spans="1:10" s="27" customFormat="1" x14ac:dyDescent="0.3">
      <c r="A13" s="26" t="s">
        <v>60</v>
      </c>
      <c r="B13" s="42" t="s">
        <v>79</v>
      </c>
      <c r="C13" s="42" t="s">
        <v>79</v>
      </c>
      <c r="D13" s="42" t="s">
        <v>79</v>
      </c>
      <c r="E13" s="42" t="s">
        <v>79</v>
      </c>
      <c r="F13" s="42" t="s">
        <v>79</v>
      </c>
      <c r="G13" s="42" t="s">
        <v>79</v>
      </c>
      <c r="H13" s="147">
        <f>H12</f>
        <v>24994184.223966666</v>
      </c>
      <c r="J13" s="43"/>
    </row>
    <row r="14" spans="1:10" x14ac:dyDescent="0.3">
      <c r="B14" s="30"/>
    </row>
    <row r="15" spans="1:10" x14ac:dyDescent="0.3">
      <c r="B15" s="30"/>
    </row>
    <row r="16" spans="1:10" x14ac:dyDescent="0.3">
      <c r="B16" s="30"/>
    </row>
    <row r="17" spans="2:2" x14ac:dyDescent="0.3">
      <c r="B17" s="30"/>
    </row>
    <row r="18" spans="2:2" x14ac:dyDescent="0.3">
      <c r="B18" s="30"/>
    </row>
    <row r="19" spans="2:2" x14ac:dyDescent="0.3">
      <c r="B19" s="30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4"/>
  <sheetViews>
    <sheetView view="pageBreakPreview" zoomScale="90" zoomScaleNormal="100" zoomScaleSheetLayoutView="90" workbookViewId="0">
      <selection activeCell="G2" sqref="G2"/>
    </sheetView>
  </sheetViews>
  <sheetFormatPr defaultColWidth="9.109375" defaultRowHeight="14.4" x14ac:dyDescent="0.3"/>
  <cols>
    <col min="1" max="2" width="20.6640625" style="182" customWidth="1"/>
    <col min="3" max="3" width="32.88671875" style="182" customWidth="1"/>
    <col min="4" max="6" width="20.6640625" style="182" customWidth="1"/>
    <col min="7" max="7" width="22.44140625" style="182" customWidth="1"/>
    <col min="8" max="8" width="17.44140625" style="182" customWidth="1"/>
    <col min="9" max="16384" width="9.109375" style="182"/>
  </cols>
  <sheetData>
    <row r="1" spans="1:8" x14ac:dyDescent="0.3">
      <c r="A1" s="181"/>
      <c r="F1" s="183"/>
      <c r="G1" s="195" t="s">
        <v>299</v>
      </c>
    </row>
    <row r="2" spans="1:8" ht="73.8" customHeight="1" x14ac:dyDescent="0.3">
      <c r="A2" s="181"/>
      <c r="F2" s="184"/>
      <c r="G2" s="196" t="s">
        <v>295</v>
      </c>
    </row>
    <row r="3" spans="1:8" x14ac:dyDescent="0.3">
      <c r="A3" s="185"/>
    </row>
    <row r="4" spans="1:8" x14ac:dyDescent="0.3">
      <c r="A4" s="187"/>
    </row>
    <row r="5" spans="1:8" x14ac:dyDescent="0.3">
      <c r="A5" s="333" t="s">
        <v>244</v>
      </c>
      <c r="B5" s="333"/>
      <c r="C5" s="333"/>
      <c r="D5" s="333"/>
      <c r="E5" s="333"/>
      <c r="F5" s="333"/>
      <c r="G5" s="333"/>
    </row>
    <row r="6" spans="1:8" x14ac:dyDescent="0.3">
      <c r="A6" s="333" t="s">
        <v>286</v>
      </c>
      <c r="B6" s="333"/>
      <c r="C6" s="333"/>
      <c r="D6" s="333"/>
      <c r="E6" s="333"/>
      <c r="F6" s="333"/>
      <c r="G6" s="333"/>
    </row>
    <row r="7" spans="1:8" x14ac:dyDescent="0.3">
      <c r="A7" s="188"/>
      <c r="B7" s="186"/>
      <c r="C7" s="186"/>
      <c r="D7" s="186"/>
      <c r="E7" s="186"/>
      <c r="F7" s="186"/>
      <c r="G7" s="186"/>
    </row>
    <row r="8" spans="1:8" ht="69.599999999999994" customHeight="1" x14ac:dyDescent="0.3">
      <c r="A8" s="332" t="s">
        <v>245</v>
      </c>
      <c r="B8" s="332"/>
      <c r="C8" s="189" t="s">
        <v>246</v>
      </c>
      <c r="D8" s="332" t="s">
        <v>247</v>
      </c>
      <c r="E8" s="332"/>
      <c r="F8" s="332" t="s">
        <v>248</v>
      </c>
      <c r="G8" s="332"/>
    </row>
    <row r="9" spans="1:8" x14ac:dyDescent="0.3">
      <c r="A9" s="332">
        <v>1</v>
      </c>
      <c r="B9" s="332"/>
      <c r="C9" s="189">
        <v>2</v>
      </c>
      <c r="D9" s="332">
        <v>3</v>
      </c>
      <c r="E9" s="332"/>
      <c r="F9" s="332" t="s">
        <v>249</v>
      </c>
      <c r="G9" s="332"/>
    </row>
    <row r="10" spans="1:8" ht="62.25" customHeight="1" x14ac:dyDescent="0.3">
      <c r="A10" s="334" t="s">
        <v>277</v>
      </c>
      <c r="B10" s="335"/>
      <c r="C10" s="191">
        <v>5000</v>
      </c>
      <c r="D10" s="336">
        <f>'2.2.'!E36</f>
        <v>971.54085999999984</v>
      </c>
      <c r="E10" s="336"/>
      <c r="F10" s="336">
        <f>C10*D10</f>
        <v>4857704.2999999989</v>
      </c>
      <c r="G10" s="336"/>
    </row>
    <row r="11" spans="1:8" ht="62.25" customHeight="1" x14ac:dyDescent="0.3">
      <c r="A11" s="334" t="s">
        <v>278</v>
      </c>
      <c r="B11" s="335"/>
      <c r="C11" s="191">
        <v>200000</v>
      </c>
      <c r="D11" s="336">
        <f>'3.2.'!E35</f>
        <v>6.6837628000000011</v>
      </c>
      <c r="E11" s="336"/>
      <c r="F11" s="336">
        <f>C11*D11</f>
        <v>1336752.5600000003</v>
      </c>
      <c r="G11" s="336"/>
    </row>
    <row r="12" spans="1:8" x14ac:dyDescent="0.3">
      <c r="A12" s="337" t="s">
        <v>60</v>
      </c>
      <c r="B12" s="337"/>
      <c r="C12" s="218">
        <f>C10+C11</f>
        <v>205000</v>
      </c>
      <c r="D12" s="336">
        <f>D10+D11</f>
        <v>978.22462279999979</v>
      </c>
      <c r="E12" s="332"/>
      <c r="F12" s="336">
        <f>F10+F11</f>
        <v>6194456.8599999994</v>
      </c>
      <c r="G12" s="332"/>
      <c r="H12" s="190">
        <f>F12</f>
        <v>6194456.8599999994</v>
      </c>
    </row>
    <row r="13" spans="1:8" hidden="1" x14ac:dyDescent="0.3">
      <c r="A13" s="187"/>
      <c r="G13" s="190">
        <f>F12</f>
        <v>6194456.8599999994</v>
      </c>
    </row>
    <row r="14" spans="1:8" x14ac:dyDescent="0.3">
      <c r="A14" s="187"/>
    </row>
  </sheetData>
  <mergeCells count="17">
    <mergeCell ref="A5:G5"/>
    <mergeCell ref="A10:B10"/>
    <mergeCell ref="D10:E10"/>
    <mergeCell ref="F10:G10"/>
    <mergeCell ref="A12:B12"/>
    <mergeCell ref="D12:E12"/>
    <mergeCell ref="F12:G12"/>
    <mergeCell ref="A11:B11"/>
    <mergeCell ref="D11:E11"/>
    <mergeCell ref="F11:G11"/>
    <mergeCell ref="A9:B9"/>
    <mergeCell ref="D9:E9"/>
    <mergeCell ref="F9:G9"/>
    <mergeCell ref="A6:G6"/>
    <mergeCell ref="A8:B8"/>
    <mergeCell ref="D8:E8"/>
    <mergeCell ref="F8:G8"/>
  </mergeCells>
  <phoneticPr fontId="19" type="noConversion"/>
  <pageMargins left="0.7" right="0.7" top="0.75" bottom="0.75" header="0.3" footer="0.3"/>
  <pageSetup paperSize="9" scale="5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92D050"/>
  </sheetPr>
  <dimension ref="A1:J19"/>
  <sheetViews>
    <sheetView tabSelected="1" view="pageBreakPreview" zoomScale="70" zoomScaleSheetLayoutView="70" workbookViewId="0">
      <selection activeCell="J11" sqref="J11"/>
    </sheetView>
  </sheetViews>
  <sheetFormatPr defaultColWidth="9.109375" defaultRowHeight="14.4" x14ac:dyDescent="0.3"/>
  <cols>
    <col min="1" max="1" width="23.6640625" style="1" customWidth="1"/>
    <col min="2" max="5" width="20.6640625" style="1" customWidth="1"/>
    <col min="6" max="6" width="17" style="1" customWidth="1"/>
    <col min="7" max="7" width="14.88671875" style="1" customWidth="1"/>
    <col min="8" max="8" width="13" style="4" bestFit="1" customWidth="1"/>
    <col min="9" max="9" width="9.109375" style="4" customWidth="1"/>
    <col min="10" max="10" width="10.109375" style="4" bestFit="1" customWidth="1"/>
    <col min="11" max="16384" width="9.109375" style="4"/>
  </cols>
  <sheetData>
    <row r="1" spans="1:10" ht="21" customHeight="1" x14ac:dyDescent="0.3">
      <c r="A1" s="9"/>
      <c r="F1" s="343" t="s">
        <v>296</v>
      </c>
      <c r="G1" s="343"/>
    </row>
    <row r="2" spans="1:10" ht="40.799999999999997" customHeight="1" x14ac:dyDescent="0.3">
      <c r="A2" s="9"/>
      <c r="F2" s="344" t="s">
        <v>295</v>
      </c>
      <c r="G2" s="344"/>
    </row>
    <row r="3" spans="1:10" x14ac:dyDescent="0.3">
      <c r="A3" s="8"/>
    </row>
    <row r="4" spans="1:10" x14ac:dyDescent="0.3">
      <c r="A4" s="2"/>
    </row>
    <row r="5" spans="1:10" x14ac:dyDescent="0.3">
      <c r="A5" s="322" t="s">
        <v>82</v>
      </c>
      <c r="B5" s="322"/>
      <c r="C5" s="322"/>
      <c r="D5" s="322"/>
      <c r="E5" s="322"/>
      <c r="F5" s="322"/>
      <c r="G5" s="322"/>
    </row>
    <row r="6" spans="1:10" x14ac:dyDescent="0.3">
      <c r="A6" s="322" t="s">
        <v>83</v>
      </c>
      <c r="B6" s="322"/>
      <c r="C6" s="322"/>
      <c r="D6" s="322"/>
      <c r="E6" s="322"/>
      <c r="F6" s="322"/>
      <c r="G6" s="322"/>
    </row>
    <row r="7" spans="1:10" x14ac:dyDescent="0.3">
      <c r="A7" s="322" t="s">
        <v>287</v>
      </c>
      <c r="B7" s="322"/>
      <c r="C7" s="322"/>
      <c r="D7" s="322"/>
      <c r="E7" s="322"/>
      <c r="F7" s="322"/>
      <c r="G7" s="322"/>
    </row>
    <row r="8" spans="1:10" x14ac:dyDescent="0.3">
      <c r="A8" s="2"/>
    </row>
    <row r="9" spans="1:10" ht="162.6" customHeight="1" x14ac:dyDescent="0.3">
      <c r="A9" s="11" t="s">
        <v>84</v>
      </c>
      <c r="B9" s="11" t="s">
        <v>85</v>
      </c>
      <c r="C9" s="11" t="s">
        <v>86</v>
      </c>
      <c r="D9" s="11" t="s">
        <v>87</v>
      </c>
      <c r="E9" s="11" t="s">
        <v>88</v>
      </c>
      <c r="F9" s="314" t="s">
        <v>89</v>
      </c>
      <c r="G9" s="314"/>
    </row>
    <row r="10" spans="1:10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314" t="s">
        <v>90</v>
      </c>
      <c r="G10" s="314"/>
    </row>
    <row r="11" spans="1:10" ht="77.25" customHeight="1" x14ac:dyDescent="0.3">
      <c r="A11" s="13" t="s">
        <v>253</v>
      </c>
      <c r="B11" s="204">
        <f>'5.1'!H12</f>
        <v>24994184.223966666</v>
      </c>
      <c r="C11" s="205">
        <f>'5.2'!H12</f>
        <v>6194456.8599999994</v>
      </c>
      <c r="D11" s="204">
        <v>0</v>
      </c>
      <c r="E11" s="204">
        <v>5200</v>
      </c>
      <c r="F11" s="340">
        <f>B11+C11+E11-D11</f>
        <v>31193841.083966665</v>
      </c>
      <c r="G11" s="340"/>
      <c r="J11" s="30"/>
    </row>
    <row r="12" spans="1:10" x14ac:dyDescent="0.3">
      <c r="A12" s="12" t="s">
        <v>60</v>
      </c>
      <c r="B12" s="204">
        <f>SUM(B11:B11)</f>
        <v>24994184.223966666</v>
      </c>
      <c r="C12" s="204">
        <f>SUM(C11:C11)</f>
        <v>6194456.8599999994</v>
      </c>
      <c r="D12" s="204">
        <f>SUM(D11:D11)</f>
        <v>0</v>
      </c>
      <c r="E12" s="204">
        <f>SUM(E11:E11)</f>
        <v>5200</v>
      </c>
      <c r="F12" s="345">
        <f>SUM(F11:G11)</f>
        <v>31193841.083966665</v>
      </c>
      <c r="G12" s="345"/>
      <c r="H12" s="30">
        <f>F12</f>
        <v>31193841.083966665</v>
      </c>
    </row>
    <row r="13" spans="1:10" ht="41.4" customHeight="1" x14ac:dyDescent="0.3">
      <c r="A13" s="342" t="s">
        <v>284</v>
      </c>
      <c r="B13" s="342"/>
      <c r="C13" s="342"/>
      <c r="D13" s="342"/>
      <c r="E13" s="342"/>
      <c r="F13" s="342"/>
      <c r="G13" s="342"/>
      <c r="H13" s="30"/>
    </row>
    <row r="14" spans="1:10" ht="91.2" customHeight="1" x14ac:dyDescent="0.3">
      <c r="A14" s="11" t="s">
        <v>84</v>
      </c>
      <c r="B14" s="11" t="s">
        <v>283</v>
      </c>
      <c r="C14" s="11" t="s">
        <v>89</v>
      </c>
      <c r="D14" s="230"/>
      <c r="E14" s="230"/>
      <c r="F14" s="230"/>
      <c r="G14" s="230"/>
      <c r="H14" s="30"/>
    </row>
    <row r="15" spans="1:10" ht="72" customHeight="1" x14ac:dyDescent="0.3">
      <c r="A15" s="13" t="s">
        <v>253</v>
      </c>
      <c r="B15" s="231">
        <v>2923.13</v>
      </c>
      <c r="C15" s="232">
        <f>F11-B15</f>
        <v>31190917.953966666</v>
      </c>
      <c r="D15" s="230"/>
      <c r="E15" s="230"/>
      <c r="F15" s="230"/>
      <c r="G15" s="230"/>
      <c r="H15" s="30"/>
    </row>
    <row r="16" spans="1:10" x14ac:dyDescent="0.3">
      <c r="A16" s="2"/>
    </row>
    <row r="17" spans="1:7" ht="31.2" customHeight="1" x14ac:dyDescent="0.3">
      <c r="A17" s="338" t="s">
        <v>91</v>
      </c>
      <c r="B17" s="338"/>
      <c r="D17" s="29"/>
      <c r="E17" s="29"/>
      <c r="F17" s="324"/>
      <c r="G17" s="324"/>
    </row>
    <row r="18" spans="1:7" x14ac:dyDescent="0.3">
      <c r="A18" s="8"/>
      <c r="D18" s="339" t="s">
        <v>92</v>
      </c>
      <c r="E18" s="339"/>
      <c r="F18" s="341" t="s">
        <v>93</v>
      </c>
      <c r="G18" s="341"/>
    </row>
    <row r="19" spans="1:7" x14ac:dyDescent="0.3">
      <c r="A19" s="8"/>
    </row>
  </sheetData>
  <mergeCells count="14">
    <mergeCell ref="F1:G1"/>
    <mergeCell ref="F2:G2"/>
    <mergeCell ref="F12:G12"/>
    <mergeCell ref="A17:B17"/>
    <mergeCell ref="D18:E18"/>
    <mergeCell ref="A5:G5"/>
    <mergeCell ref="A6:G6"/>
    <mergeCell ref="A7:G7"/>
    <mergeCell ref="F9:G9"/>
    <mergeCell ref="F10:G10"/>
    <mergeCell ref="F11:G11"/>
    <mergeCell ref="F18:G18"/>
    <mergeCell ref="F17:G17"/>
    <mergeCell ref="A13:G13"/>
  </mergeCells>
  <phoneticPr fontId="16" type="noConversion"/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D12"/>
  <sheetViews>
    <sheetView workbookViewId="0">
      <selection activeCell="B8" sqref="B8:B9"/>
    </sheetView>
  </sheetViews>
  <sheetFormatPr defaultColWidth="9.109375" defaultRowHeight="13.2" x14ac:dyDescent="0.3"/>
  <cols>
    <col min="1" max="1" width="39" style="37" customWidth="1"/>
    <col min="2" max="2" width="27.44140625" style="37" customWidth="1"/>
    <col min="3" max="3" width="36.33203125" style="37" customWidth="1"/>
    <col min="4" max="4" width="15.88671875" style="37" customWidth="1"/>
    <col min="5" max="16384" width="9.109375" style="37"/>
  </cols>
  <sheetData>
    <row r="1" spans="1:4" ht="24" customHeight="1" x14ac:dyDescent="0.3">
      <c r="A1" s="248" t="s">
        <v>98</v>
      </c>
      <c r="B1" s="248"/>
      <c r="C1" s="248"/>
      <c r="D1" s="248"/>
    </row>
    <row r="2" spans="1:4" ht="27" customHeight="1" x14ac:dyDescent="0.3">
      <c r="A2" s="40" t="s">
        <v>117</v>
      </c>
      <c r="B2" s="40" t="s">
        <v>97</v>
      </c>
      <c r="C2" s="40" t="s">
        <v>95</v>
      </c>
      <c r="D2" s="40" t="s">
        <v>94</v>
      </c>
    </row>
    <row r="3" spans="1:4" ht="52.8" x14ac:dyDescent="0.3">
      <c r="A3" s="249" t="s">
        <v>211</v>
      </c>
      <c r="B3" s="54" t="s">
        <v>267</v>
      </c>
      <c r="C3" s="39" t="s">
        <v>96</v>
      </c>
      <c r="D3" s="38" t="s">
        <v>109</v>
      </c>
    </row>
    <row r="4" spans="1:4" ht="26.4" customHeight="1" x14ac:dyDescent="0.3">
      <c r="A4" s="249"/>
      <c r="B4" s="54" t="s">
        <v>268</v>
      </c>
      <c r="C4" s="249" t="s">
        <v>99</v>
      </c>
      <c r="D4" s="250" t="s">
        <v>110</v>
      </c>
    </row>
    <row r="5" spans="1:4" ht="30.75" customHeight="1" x14ac:dyDescent="0.3">
      <c r="A5" s="249"/>
      <c r="B5" s="54" t="s">
        <v>269</v>
      </c>
      <c r="C5" s="249"/>
      <c r="D5" s="251"/>
    </row>
    <row r="6" spans="1:4" ht="52.2" customHeight="1" x14ac:dyDescent="0.3">
      <c r="A6" s="249" t="s">
        <v>213</v>
      </c>
      <c r="B6" s="252" t="s">
        <v>265</v>
      </c>
      <c r="C6" s="105" t="s">
        <v>129</v>
      </c>
      <c r="D6" s="38" t="s">
        <v>111</v>
      </c>
    </row>
    <row r="7" spans="1:4" ht="30.75" customHeight="1" x14ac:dyDescent="0.3">
      <c r="A7" s="249"/>
      <c r="B7" s="252"/>
      <c r="C7" s="39" t="s">
        <v>127</v>
      </c>
      <c r="D7" s="41" t="s">
        <v>112</v>
      </c>
    </row>
    <row r="8" spans="1:4" ht="43.5" customHeight="1" x14ac:dyDescent="0.3">
      <c r="A8" s="244" t="s">
        <v>214</v>
      </c>
      <c r="B8" s="246" t="s">
        <v>266</v>
      </c>
      <c r="C8" s="105" t="s">
        <v>129</v>
      </c>
      <c r="D8" s="41" t="s">
        <v>113</v>
      </c>
    </row>
    <row r="9" spans="1:4" ht="30.75" customHeight="1" x14ac:dyDescent="0.3">
      <c r="A9" s="245"/>
      <c r="B9" s="247"/>
      <c r="C9" s="39" t="s">
        <v>127</v>
      </c>
      <c r="D9" s="38" t="s">
        <v>114</v>
      </c>
    </row>
    <row r="10" spans="1:4" ht="42" customHeight="1" x14ac:dyDescent="0.3">
      <c r="A10" s="55" t="s">
        <v>1</v>
      </c>
      <c r="B10" s="55" t="s">
        <v>1</v>
      </c>
      <c r="C10" s="56" t="s">
        <v>132</v>
      </c>
      <c r="D10" s="38" t="s">
        <v>243</v>
      </c>
    </row>
    <row r="11" spans="1:4" ht="40.200000000000003" customHeight="1" x14ac:dyDescent="0.3">
      <c r="A11" s="55" t="s">
        <v>1</v>
      </c>
      <c r="B11" s="55" t="s">
        <v>1</v>
      </c>
      <c r="C11" s="56" t="s">
        <v>133</v>
      </c>
      <c r="D11" s="38" t="s">
        <v>254</v>
      </c>
    </row>
    <row r="12" spans="1:4" ht="40.5" customHeight="1" x14ac:dyDescent="0.3">
      <c r="A12" s="55" t="s">
        <v>1</v>
      </c>
      <c r="B12" s="55" t="s">
        <v>1</v>
      </c>
      <c r="C12" s="56" t="s">
        <v>100</v>
      </c>
      <c r="D12" s="38" t="s">
        <v>115</v>
      </c>
    </row>
  </sheetData>
  <sheetProtection password="C71F" sheet="1" objects="1" scenarios="1"/>
  <mergeCells count="8">
    <mergeCell ref="A8:A9"/>
    <mergeCell ref="B8:B9"/>
    <mergeCell ref="A1:D1"/>
    <mergeCell ref="A3:A5"/>
    <mergeCell ref="C4:C5"/>
    <mergeCell ref="D4:D5"/>
    <mergeCell ref="A6:A7"/>
    <mergeCell ref="B6:B7"/>
  </mergeCells>
  <phoneticPr fontId="1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92D050"/>
    <outlinePr summaryBelow="0" summaryRight="0"/>
    <pageSetUpPr fitToPage="1"/>
  </sheetPr>
  <dimension ref="A1:D110"/>
  <sheetViews>
    <sheetView view="pageBreakPreview" zoomScale="80" zoomScaleSheetLayoutView="80" workbookViewId="0">
      <selection activeCell="D2" sqref="D2"/>
    </sheetView>
  </sheetViews>
  <sheetFormatPr defaultColWidth="9.109375" defaultRowHeight="13.2" outlineLevelRow="3" x14ac:dyDescent="0.25"/>
  <cols>
    <col min="1" max="1" width="51.88671875" style="19" customWidth="1"/>
    <col min="2" max="2" width="28.88671875" style="19" customWidth="1"/>
    <col min="3" max="4" width="30.6640625" style="19" customWidth="1"/>
    <col min="5" max="16384" width="9.109375" style="19"/>
  </cols>
  <sheetData>
    <row r="1" spans="1:4" ht="14.4" customHeight="1" x14ac:dyDescent="0.25">
      <c r="D1" s="174" t="s">
        <v>288</v>
      </c>
    </row>
    <row r="2" spans="1:4" ht="50.4" customHeight="1" x14ac:dyDescent="0.25">
      <c r="D2" s="192" t="s">
        <v>289</v>
      </c>
    </row>
    <row r="4" spans="1:4" x14ac:dyDescent="0.25">
      <c r="A4" s="261" t="s">
        <v>17</v>
      </c>
      <c r="B4" s="261"/>
      <c r="C4" s="261"/>
      <c r="D4" s="261"/>
    </row>
    <row r="5" spans="1:4" x14ac:dyDescent="0.25">
      <c r="A5" s="261" t="s">
        <v>18</v>
      </c>
      <c r="B5" s="261"/>
      <c r="C5" s="261"/>
      <c r="D5" s="261"/>
    </row>
    <row r="6" spans="1:4" x14ac:dyDescent="0.25">
      <c r="A6" s="261" t="s">
        <v>19</v>
      </c>
      <c r="B6" s="261"/>
      <c r="C6" s="261"/>
      <c r="D6" s="261"/>
    </row>
    <row r="7" spans="1:4" x14ac:dyDescent="0.25">
      <c r="A7" s="261" t="s">
        <v>20</v>
      </c>
      <c r="B7" s="261"/>
      <c r="C7" s="261"/>
      <c r="D7" s="261"/>
    </row>
    <row r="8" spans="1:4" x14ac:dyDescent="0.25">
      <c r="A8" s="8"/>
    </row>
    <row r="9" spans="1:4" ht="16.5" customHeight="1" x14ac:dyDescent="0.25">
      <c r="A9" s="20" t="s">
        <v>21</v>
      </c>
      <c r="B9" s="20" t="s">
        <v>22</v>
      </c>
      <c r="C9" s="20" t="s">
        <v>23</v>
      </c>
      <c r="D9" s="20" t="s">
        <v>24</v>
      </c>
    </row>
    <row r="10" spans="1:4" x14ac:dyDescent="0.25">
      <c r="A10" s="20">
        <v>1</v>
      </c>
      <c r="B10" s="20">
        <v>2</v>
      </c>
      <c r="C10" s="20">
        <v>3</v>
      </c>
      <c r="D10" s="20">
        <v>4</v>
      </c>
    </row>
    <row r="11" spans="1:4" x14ac:dyDescent="0.25">
      <c r="A11" s="262" t="s">
        <v>25</v>
      </c>
      <c r="B11" s="262"/>
      <c r="C11" s="262"/>
      <c r="D11" s="262"/>
    </row>
    <row r="12" spans="1:4" x14ac:dyDescent="0.25">
      <c r="A12" s="263" t="s">
        <v>211</v>
      </c>
      <c r="B12" s="263"/>
      <c r="C12" s="263"/>
      <c r="D12" s="263"/>
    </row>
    <row r="13" spans="1:4" x14ac:dyDescent="0.25">
      <c r="A13" s="262" t="s">
        <v>26</v>
      </c>
      <c r="B13" s="262"/>
      <c r="C13" s="262"/>
      <c r="D13" s="262"/>
    </row>
    <row r="14" spans="1:4" x14ac:dyDescent="0.25">
      <c r="A14" s="253" t="s">
        <v>270</v>
      </c>
      <c r="B14" s="254"/>
      <c r="C14" s="254"/>
      <c r="D14" s="254"/>
    </row>
    <row r="15" spans="1:4" ht="13.2" customHeight="1" x14ac:dyDescent="0.25">
      <c r="A15" s="255" t="s">
        <v>27</v>
      </c>
      <c r="B15" s="256"/>
      <c r="C15" s="256"/>
      <c r="D15" s="257"/>
    </row>
    <row r="16" spans="1:4" ht="12.75" customHeight="1" outlineLevel="1" x14ac:dyDescent="0.25">
      <c r="A16" s="258" t="s">
        <v>28</v>
      </c>
      <c r="B16" s="259"/>
      <c r="C16" s="259"/>
      <c r="D16" s="260"/>
    </row>
    <row r="17" spans="1:4" ht="12.75" customHeight="1" outlineLevel="2" x14ac:dyDescent="0.25">
      <c r="A17" s="59" t="str">
        <f>Базовый!A5</f>
        <v>Основной персонал (Услуга №1)</v>
      </c>
      <c r="B17" s="53" t="s">
        <v>108</v>
      </c>
      <c r="C17" s="98">
        <f>Базовый!C5/174400</f>
        <v>1.7201834862385322E-4</v>
      </c>
      <c r="D17" s="21"/>
    </row>
    <row r="18" spans="1:4" ht="15.6" customHeight="1" outlineLevel="1" x14ac:dyDescent="0.25">
      <c r="A18" s="258" t="s">
        <v>29</v>
      </c>
      <c r="B18" s="259"/>
      <c r="C18" s="259"/>
      <c r="D18" s="260"/>
    </row>
    <row r="19" spans="1:4" s="24" customFormat="1" ht="12.75" customHeight="1" outlineLevel="2" x14ac:dyDescent="0.25">
      <c r="A19" s="16" t="s">
        <v>134</v>
      </c>
      <c r="B19" s="17" t="s">
        <v>1</v>
      </c>
      <c r="C19" s="17" t="s">
        <v>1</v>
      </c>
      <c r="D19" s="264" t="s">
        <v>80</v>
      </c>
    </row>
    <row r="20" spans="1:4" outlineLevel="3" x14ac:dyDescent="0.25">
      <c r="A20" s="64" t="s">
        <v>139</v>
      </c>
      <c r="B20" s="51" t="str">
        <f>Базовый!B10</f>
        <v>шт.</v>
      </c>
      <c r="C20" s="99">
        <f>Базовый!C10/174400</f>
        <v>0</v>
      </c>
      <c r="D20" s="265"/>
    </row>
    <row r="21" spans="1:4" outlineLevel="3" x14ac:dyDescent="0.25">
      <c r="A21" s="64" t="s">
        <v>140</v>
      </c>
      <c r="B21" s="51" t="str">
        <f>Базовый!B11</f>
        <v>шт.</v>
      </c>
      <c r="C21" s="99">
        <f>Базовый!C11/174400</f>
        <v>0</v>
      </c>
      <c r="D21" s="265"/>
    </row>
    <row r="22" spans="1:4" outlineLevel="3" x14ac:dyDescent="0.25">
      <c r="A22" s="64" t="s">
        <v>141</v>
      </c>
      <c r="B22" s="51" t="str">
        <f>Базовый!B12</f>
        <v>шт.</v>
      </c>
      <c r="C22" s="99">
        <f>Базовый!C12/174400</f>
        <v>0</v>
      </c>
      <c r="D22" s="265"/>
    </row>
    <row r="23" spans="1:4" outlineLevel="3" x14ac:dyDescent="0.25">
      <c r="A23" s="64" t="s">
        <v>142</v>
      </c>
      <c r="B23" s="51" t="str">
        <f>Базовый!B13</f>
        <v>шт.</v>
      </c>
      <c r="C23" s="99">
        <f>Базовый!C13/174400</f>
        <v>0</v>
      </c>
      <c r="D23" s="265"/>
    </row>
    <row r="24" spans="1:4" outlineLevel="3" x14ac:dyDescent="0.25">
      <c r="A24" s="64" t="s">
        <v>143</v>
      </c>
      <c r="B24" s="51" t="str">
        <f>Базовый!B14</f>
        <v>шт.</v>
      </c>
      <c r="C24" s="99">
        <f>Базовый!C14/174400</f>
        <v>0</v>
      </c>
      <c r="D24" s="265"/>
    </row>
    <row r="25" spans="1:4" outlineLevel="3" x14ac:dyDescent="0.25">
      <c r="A25" s="157" t="s">
        <v>144</v>
      </c>
      <c r="B25" s="51" t="str">
        <f>Базовый!B15</f>
        <v>шт.</v>
      </c>
      <c r="C25" s="99">
        <f>Базовый!C15/174400</f>
        <v>0</v>
      </c>
      <c r="D25" s="265"/>
    </row>
    <row r="26" spans="1:4" outlineLevel="2" x14ac:dyDescent="0.25">
      <c r="A26" s="158" t="s">
        <v>145</v>
      </c>
      <c r="B26" s="17" t="s">
        <v>1</v>
      </c>
      <c r="C26" s="17" t="s">
        <v>1</v>
      </c>
      <c r="D26" s="265"/>
    </row>
    <row r="27" spans="1:4" outlineLevel="3" x14ac:dyDescent="0.25">
      <c r="A27" s="157" t="s">
        <v>146</v>
      </c>
      <c r="B27" s="51" t="str">
        <f>Базовый!B17</f>
        <v>шт.</v>
      </c>
      <c r="C27" s="99">
        <f>Базовый!C17/174400</f>
        <v>0</v>
      </c>
      <c r="D27" s="265"/>
    </row>
    <row r="28" spans="1:4" outlineLevel="3" x14ac:dyDescent="0.25">
      <c r="A28" s="157" t="s">
        <v>147</v>
      </c>
      <c r="B28" s="51" t="str">
        <f>Базовый!B18</f>
        <v>шт.</v>
      </c>
      <c r="C28" s="99">
        <f>Базовый!C18/174400</f>
        <v>0</v>
      </c>
      <c r="D28" s="265"/>
    </row>
    <row r="29" spans="1:4" outlineLevel="2" x14ac:dyDescent="0.25">
      <c r="A29" s="65" t="s">
        <v>148</v>
      </c>
      <c r="B29" s="17" t="s">
        <v>1</v>
      </c>
      <c r="C29" s="17" t="s">
        <v>1</v>
      </c>
      <c r="D29" s="265"/>
    </row>
    <row r="30" spans="1:4" outlineLevel="3" x14ac:dyDescent="0.25">
      <c r="A30" s="64" t="s">
        <v>149</v>
      </c>
      <c r="B30" s="51" t="str">
        <f>Базовый!B20</f>
        <v>шт.</v>
      </c>
      <c r="C30" s="99">
        <f>Базовый!C20/174400</f>
        <v>1.2041284403669725E-2</v>
      </c>
      <c r="D30" s="266"/>
    </row>
    <row r="31" spans="1:4" ht="12.75" customHeight="1" outlineLevel="1" x14ac:dyDescent="0.25">
      <c r="A31" s="267" t="s">
        <v>30</v>
      </c>
      <c r="B31" s="268"/>
      <c r="C31" s="268"/>
      <c r="D31" s="269"/>
    </row>
    <row r="32" spans="1:4" s="24" customFormat="1" ht="14.4" customHeight="1" outlineLevel="2" x14ac:dyDescent="0.25">
      <c r="A32" s="16" t="s">
        <v>150</v>
      </c>
      <c r="B32" s="77" t="s">
        <v>1</v>
      </c>
      <c r="C32" s="23" t="s">
        <v>1</v>
      </c>
      <c r="D32" s="270" t="s">
        <v>80</v>
      </c>
    </row>
    <row r="33" spans="1:4" s="24" customFormat="1" ht="12.75" customHeight="1" outlineLevel="3" x14ac:dyDescent="0.25">
      <c r="A33" s="64" t="s">
        <v>151</v>
      </c>
      <c r="B33" s="79" t="str">
        <f>Базовый!B23</f>
        <v>раб.м.</v>
      </c>
      <c r="C33" s="99">
        <f>Базовый!C23/174400</f>
        <v>2.9243119266055044E-4</v>
      </c>
      <c r="D33" s="271"/>
    </row>
    <row r="34" spans="1:4" s="24" customFormat="1" ht="12.75" customHeight="1" outlineLevel="3" x14ac:dyDescent="0.25">
      <c r="A34" s="64" t="s">
        <v>155</v>
      </c>
      <c r="B34" s="79" t="str">
        <f>Базовый!B24</f>
        <v>чел.</v>
      </c>
      <c r="C34" s="99">
        <f>Базовый!C24/174400</f>
        <v>8.0275229357798161E-5</v>
      </c>
      <c r="D34" s="271"/>
    </row>
    <row r="35" spans="1:4" ht="12.75" customHeight="1" outlineLevel="2" x14ac:dyDescent="0.25">
      <c r="A35" s="16" t="s">
        <v>12</v>
      </c>
      <c r="B35" s="77" t="s">
        <v>1</v>
      </c>
      <c r="C35" s="17" t="s">
        <v>1</v>
      </c>
      <c r="D35" s="271"/>
    </row>
    <row r="36" spans="1:4" ht="12.75" customHeight="1" outlineLevel="3" x14ac:dyDescent="0.25">
      <c r="A36" s="64" t="s">
        <v>154</v>
      </c>
      <c r="B36" s="79" t="str">
        <f>Базовый!B26</f>
        <v>усл.ед.</v>
      </c>
      <c r="C36" s="99">
        <f>Базовый!C26/174400</f>
        <v>1.1467889908256881E-5</v>
      </c>
      <c r="D36" s="271"/>
    </row>
    <row r="37" spans="1:4" ht="12.75" customHeight="1" outlineLevel="2" x14ac:dyDescent="0.25">
      <c r="A37" s="58" t="s">
        <v>188</v>
      </c>
      <c r="B37" s="77" t="s">
        <v>1</v>
      </c>
      <c r="C37" s="17" t="s">
        <v>1</v>
      </c>
      <c r="D37" s="271"/>
    </row>
    <row r="38" spans="1:4" ht="26.4" outlineLevel="3" x14ac:dyDescent="0.25">
      <c r="A38" s="64" t="s">
        <v>185</v>
      </c>
      <c r="B38" s="79" t="str">
        <f>Базовый!B28</f>
        <v>чел./дни</v>
      </c>
      <c r="C38" s="99">
        <f>Базовый!C28/174400</f>
        <v>5.103211009174312E-4</v>
      </c>
      <c r="D38" s="271"/>
    </row>
    <row r="39" spans="1:4" s="24" customFormat="1" ht="27" customHeight="1" outlineLevel="3" x14ac:dyDescent="0.25">
      <c r="A39" s="64" t="s">
        <v>184</v>
      </c>
      <c r="B39" s="79" t="str">
        <f>Базовый!B29</f>
        <v>чел./дни</v>
      </c>
      <c r="C39" s="99">
        <f>Базовый!C29/174400</f>
        <v>4.2431192660550459E-4</v>
      </c>
      <c r="D39" s="271"/>
    </row>
    <row r="40" spans="1:4" ht="39.75" customHeight="1" outlineLevel="3" x14ac:dyDescent="0.25">
      <c r="A40" s="64" t="s">
        <v>186</v>
      </c>
      <c r="B40" s="79" t="str">
        <f>Базовый!B30</f>
        <v>усл.ед.</v>
      </c>
      <c r="C40" s="99">
        <f>Базовый!C30/174400</f>
        <v>1.8348623853211009E-4</v>
      </c>
      <c r="D40" s="271"/>
    </row>
    <row r="41" spans="1:4" s="24" customFormat="1" ht="45" customHeight="1" outlineLevel="3" x14ac:dyDescent="0.25">
      <c r="A41" s="64" t="s">
        <v>187</v>
      </c>
      <c r="B41" s="79" t="str">
        <f>Базовый!B31</f>
        <v>усл.ед.</v>
      </c>
      <c r="C41" s="99">
        <f>Базовый!C31/174400</f>
        <v>1.1467889908256881E-5</v>
      </c>
      <c r="D41" s="271"/>
    </row>
    <row r="42" spans="1:4" s="52" customFormat="1" outlineLevel="3" x14ac:dyDescent="0.25">
      <c r="A42" s="64" t="s">
        <v>189</v>
      </c>
      <c r="B42" s="79" t="str">
        <f>Базовый!B32</f>
        <v>чел.</v>
      </c>
      <c r="C42" s="99">
        <f>Базовый!C32/174400</f>
        <v>1.7201834862385323E-5</v>
      </c>
      <c r="D42" s="271"/>
    </row>
    <row r="43" spans="1:4" s="52" customFormat="1" ht="12.75" customHeight="1" outlineLevel="2" x14ac:dyDescent="0.25">
      <c r="A43" s="65" t="s">
        <v>156</v>
      </c>
      <c r="B43" s="77" t="s">
        <v>1</v>
      </c>
      <c r="C43" s="17" t="s">
        <v>1</v>
      </c>
      <c r="D43" s="271"/>
    </row>
    <row r="44" spans="1:4" s="52" customFormat="1" ht="12.75" customHeight="1" outlineLevel="3" x14ac:dyDescent="0.25">
      <c r="A44" s="64" t="s">
        <v>157</v>
      </c>
      <c r="B44" s="85" t="str">
        <f>Базовый!B34</f>
        <v>мес.</v>
      </c>
      <c r="C44" s="99">
        <f>Базовый!C34/174400</f>
        <v>6.8807339449541291E-5</v>
      </c>
      <c r="D44" s="271"/>
    </row>
    <row r="45" spans="1:4" s="52" customFormat="1" ht="12.75" customHeight="1" outlineLevel="3" x14ac:dyDescent="0.25">
      <c r="A45" s="64" t="s">
        <v>158</v>
      </c>
      <c r="B45" s="85" t="str">
        <f>Базовый!B35</f>
        <v>усл.</v>
      </c>
      <c r="C45" s="99">
        <f>Базовый!C35/174400</f>
        <v>5.7339449541284403E-6</v>
      </c>
      <c r="D45" s="271"/>
    </row>
    <row r="46" spans="1:4" s="52" customFormat="1" ht="12.75" customHeight="1" outlineLevel="3" x14ac:dyDescent="0.25">
      <c r="A46" s="64" t="s">
        <v>160</v>
      </c>
      <c r="B46" s="85" t="str">
        <f>Базовый!B36</f>
        <v>шт.</v>
      </c>
      <c r="C46" s="99">
        <f>Базовый!C36/174400</f>
        <v>5.7339449541284403E-6</v>
      </c>
      <c r="D46" s="271"/>
    </row>
    <row r="47" spans="1:4" s="52" customFormat="1" ht="12.75" customHeight="1" outlineLevel="3" x14ac:dyDescent="0.25">
      <c r="A47" s="64" t="s">
        <v>161</v>
      </c>
      <c r="B47" s="85" t="str">
        <f>Базовый!B37</f>
        <v>шт.</v>
      </c>
      <c r="C47" s="99">
        <f>Базовый!C37/174400</f>
        <v>5.7339449541284403E-6</v>
      </c>
      <c r="D47" s="271"/>
    </row>
    <row r="48" spans="1:4" s="52" customFormat="1" ht="12.75" customHeight="1" outlineLevel="3" x14ac:dyDescent="0.25">
      <c r="A48" s="64" t="s">
        <v>162</v>
      </c>
      <c r="B48" s="85" t="str">
        <f>Базовый!B38</f>
        <v>шт.</v>
      </c>
      <c r="C48" s="99">
        <f>Базовый!C38/174400</f>
        <v>2.8669724770642203E-4</v>
      </c>
      <c r="D48" s="271"/>
    </row>
    <row r="49" spans="1:4" s="52" customFormat="1" ht="12.75" customHeight="1" outlineLevel="3" x14ac:dyDescent="0.25">
      <c r="A49" s="64" t="s">
        <v>163</v>
      </c>
      <c r="B49" s="85" t="str">
        <f>Базовый!B39</f>
        <v>шт.</v>
      </c>
      <c r="C49" s="99">
        <f>Базовый!C39/174400</f>
        <v>5.7339449541284403E-6</v>
      </c>
      <c r="D49" s="271"/>
    </row>
    <row r="50" spans="1:4" s="52" customFormat="1" ht="12.75" customHeight="1" outlineLevel="3" x14ac:dyDescent="0.25">
      <c r="A50" s="64" t="s">
        <v>164</v>
      </c>
      <c r="B50" s="85" t="str">
        <f>Базовый!B40</f>
        <v>шт.</v>
      </c>
      <c r="C50" s="99">
        <f>Базовый!C40/174400</f>
        <v>5.1605504587155965E-5</v>
      </c>
      <c r="D50" s="271"/>
    </row>
    <row r="51" spans="1:4" s="52" customFormat="1" ht="12.75" customHeight="1" outlineLevel="3" x14ac:dyDescent="0.25">
      <c r="A51" s="64" t="s">
        <v>165</v>
      </c>
      <c r="B51" s="85" t="str">
        <f>Базовый!B41</f>
        <v>шт.</v>
      </c>
      <c r="C51" s="99">
        <f>Базовый!C41/174400</f>
        <v>2.8669724770642203E-5</v>
      </c>
      <c r="D51" s="271"/>
    </row>
    <row r="52" spans="1:4" s="52" customFormat="1" ht="12.75" customHeight="1" outlineLevel="3" x14ac:dyDescent="0.25">
      <c r="A52" s="64" t="s">
        <v>166</v>
      </c>
      <c r="B52" s="85" t="str">
        <f>Базовый!B42</f>
        <v>шт.</v>
      </c>
      <c r="C52" s="99">
        <f>Базовый!C42/174400</f>
        <v>1.1467889908256881E-5</v>
      </c>
      <c r="D52" s="271"/>
    </row>
    <row r="53" spans="1:4" ht="12.75" customHeight="1" x14ac:dyDescent="0.25">
      <c r="A53" s="275" t="s">
        <v>31</v>
      </c>
      <c r="B53" s="276"/>
      <c r="C53" s="276"/>
      <c r="D53" s="277"/>
    </row>
    <row r="54" spans="1:4" outlineLevel="1" x14ac:dyDescent="0.25">
      <c r="A54" s="272" t="s">
        <v>32</v>
      </c>
      <c r="B54" s="273"/>
      <c r="C54" s="273"/>
      <c r="D54" s="274"/>
    </row>
    <row r="55" spans="1:4" ht="13.2" customHeight="1" outlineLevel="2" x14ac:dyDescent="0.25">
      <c r="A55" s="14" t="s">
        <v>192</v>
      </c>
      <c r="B55" s="51" t="s">
        <v>10</v>
      </c>
      <c r="C55" s="100">
        <f>Базовый!C45/174400</f>
        <v>2.0470183486238532E-3</v>
      </c>
      <c r="D55" s="264" t="s">
        <v>80</v>
      </c>
    </row>
    <row r="56" spans="1:4" outlineLevel="2" x14ac:dyDescent="0.25">
      <c r="A56" s="14" t="s">
        <v>199</v>
      </c>
      <c r="B56" s="51" t="s">
        <v>10</v>
      </c>
      <c r="C56" s="100">
        <f>Базовый!C46/174400</f>
        <v>1.6115252293577983E-3</v>
      </c>
      <c r="D56" s="265"/>
    </row>
    <row r="57" spans="1:4" outlineLevel="2" x14ac:dyDescent="0.25">
      <c r="A57" s="14" t="s">
        <v>200</v>
      </c>
      <c r="B57" s="51" t="s">
        <v>10</v>
      </c>
      <c r="C57" s="100">
        <f>Базовый!C47/174400</f>
        <v>2.7166857798165138E-3</v>
      </c>
      <c r="D57" s="265"/>
    </row>
    <row r="58" spans="1:4" outlineLevel="2" x14ac:dyDescent="0.25">
      <c r="A58" s="14" t="s">
        <v>193</v>
      </c>
      <c r="B58" s="51" t="s">
        <v>10</v>
      </c>
      <c r="C58" s="100">
        <f>Базовый!C48/174400</f>
        <v>9.8686926605504586E-4</v>
      </c>
      <c r="D58" s="265"/>
    </row>
    <row r="59" spans="1:4" outlineLevel="2" x14ac:dyDescent="0.25">
      <c r="A59" s="14" t="s">
        <v>195</v>
      </c>
      <c r="B59" s="51" t="s">
        <v>11</v>
      </c>
      <c r="C59" s="100">
        <f>Базовый!C49/174400</f>
        <v>2.1139908256880735E-3</v>
      </c>
      <c r="D59" s="265"/>
    </row>
    <row r="60" spans="1:4" outlineLevel="2" x14ac:dyDescent="0.25">
      <c r="A60" s="14" t="s">
        <v>196</v>
      </c>
      <c r="B60" s="51" t="s">
        <v>11</v>
      </c>
      <c r="C60" s="100">
        <f>Базовый!C50/174400</f>
        <v>4.1456422018348621E-4</v>
      </c>
      <c r="D60" s="265"/>
    </row>
    <row r="61" spans="1:4" outlineLevel="2" x14ac:dyDescent="0.25">
      <c r="A61" s="14" t="s">
        <v>197</v>
      </c>
      <c r="B61" s="51" t="s">
        <v>194</v>
      </c>
      <c r="C61" s="100">
        <f>Базовый!C51/174400</f>
        <v>0.26470756880733948</v>
      </c>
      <c r="D61" s="265"/>
    </row>
    <row r="62" spans="1:4" outlineLevel="2" x14ac:dyDescent="0.25">
      <c r="A62" s="14" t="s">
        <v>198</v>
      </c>
      <c r="B62" s="51" t="s">
        <v>194</v>
      </c>
      <c r="C62" s="100">
        <f>Базовый!C52/174400</f>
        <v>3.4730504587155965E-2</v>
      </c>
      <c r="D62" s="266"/>
    </row>
    <row r="63" spans="1:4" ht="12.75" customHeight="1" outlineLevel="1" x14ac:dyDescent="0.25">
      <c r="A63" s="272" t="s">
        <v>33</v>
      </c>
      <c r="B63" s="273"/>
      <c r="C63" s="273"/>
      <c r="D63" s="274"/>
    </row>
    <row r="64" spans="1:4" ht="13.5" customHeight="1" outlineLevel="2" x14ac:dyDescent="0.25">
      <c r="A64" s="58" t="s">
        <v>170</v>
      </c>
      <c r="B64" s="77" t="s">
        <v>1</v>
      </c>
      <c r="C64" s="77" t="s">
        <v>1</v>
      </c>
      <c r="D64" s="264" t="s">
        <v>80</v>
      </c>
    </row>
    <row r="65" spans="1:4" ht="13.5" customHeight="1" outlineLevel="3" x14ac:dyDescent="0.25">
      <c r="A65" s="64" t="s">
        <v>178</v>
      </c>
      <c r="B65" s="85" t="str">
        <f>Базовый!B55</f>
        <v>мес.</v>
      </c>
      <c r="C65" s="100">
        <f>Базовый!C55/174400</f>
        <v>6.8807339449541291E-5</v>
      </c>
      <c r="D65" s="265"/>
    </row>
    <row r="66" spans="1:4" ht="13.5" customHeight="1" outlineLevel="3" x14ac:dyDescent="0.25">
      <c r="A66" s="64" t="s">
        <v>176</v>
      </c>
      <c r="B66" s="85" t="str">
        <f>Базовый!B56</f>
        <v>мес.</v>
      </c>
      <c r="C66" s="100">
        <f>Базовый!C56/174400</f>
        <v>6.8807339449541291E-5</v>
      </c>
      <c r="D66" s="265"/>
    </row>
    <row r="67" spans="1:4" ht="13.5" customHeight="1" outlineLevel="3" x14ac:dyDescent="0.25">
      <c r="A67" s="64" t="s">
        <v>180</v>
      </c>
      <c r="B67" s="85" t="str">
        <f>Базовый!B57</f>
        <v>мес.</v>
      </c>
      <c r="C67" s="100">
        <f>Базовый!C57/174400</f>
        <v>6.8807339449541291E-5</v>
      </c>
      <c r="D67" s="265"/>
    </row>
    <row r="68" spans="1:4" ht="13.5" customHeight="1" outlineLevel="3" x14ac:dyDescent="0.25">
      <c r="A68" s="64" t="s">
        <v>179</v>
      </c>
      <c r="B68" s="85" t="str">
        <f>Базовый!B58</f>
        <v>мес.</v>
      </c>
      <c r="C68" s="100">
        <f>Базовый!C58/174400</f>
        <v>6.8807339449541291E-5</v>
      </c>
      <c r="D68" s="265"/>
    </row>
    <row r="69" spans="1:4" ht="13.5" customHeight="1" outlineLevel="3" x14ac:dyDescent="0.25">
      <c r="A69" s="64" t="s">
        <v>181</v>
      </c>
      <c r="B69" s="85" t="str">
        <f>Базовый!B59</f>
        <v>мес.</v>
      </c>
      <c r="C69" s="100">
        <f>Базовый!C59/174400</f>
        <v>6.8807339449541291E-5</v>
      </c>
      <c r="D69" s="265"/>
    </row>
    <row r="70" spans="1:4" ht="13.5" customHeight="1" outlineLevel="3" x14ac:dyDescent="0.25">
      <c r="A70" s="64" t="s">
        <v>182</v>
      </c>
      <c r="B70" s="85" t="str">
        <f>Базовый!B60</f>
        <v>мес.</v>
      </c>
      <c r="C70" s="100">
        <f>Базовый!C60/174400</f>
        <v>6.8807339449541291E-5</v>
      </c>
      <c r="D70" s="265"/>
    </row>
    <row r="71" spans="1:4" ht="13.5" customHeight="1" outlineLevel="3" x14ac:dyDescent="0.25">
      <c r="A71" s="64" t="s">
        <v>177</v>
      </c>
      <c r="B71" s="85" t="str">
        <f>Базовый!B61</f>
        <v>мес.</v>
      </c>
      <c r="C71" s="100">
        <f>Базовый!C61/174400</f>
        <v>6.8807339449541291E-5</v>
      </c>
      <c r="D71" s="265"/>
    </row>
    <row r="72" spans="1:4" ht="13.5" customHeight="1" outlineLevel="2" x14ac:dyDescent="0.25">
      <c r="A72" s="65" t="s">
        <v>260</v>
      </c>
      <c r="B72" s="77" t="s">
        <v>1</v>
      </c>
      <c r="C72" s="77" t="s">
        <v>1</v>
      </c>
      <c r="D72" s="265"/>
    </row>
    <row r="73" spans="1:4" ht="13.5" customHeight="1" outlineLevel="3" x14ac:dyDescent="0.25">
      <c r="A73" s="64" t="s">
        <v>261</v>
      </c>
      <c r="B73" s="85" t="str">
        <f>Базовый!B63</f>
        <v>м3</v>
      </c>
      <c r="C73" s="100">
        <f>Базовый!C63/174400</f>
        <v>1.2743119266055043E-2</v>
      </c>
      <c r="D73" s="265"/>
    </row>
    <row r="74" spans="1:4" ht="13.5" customHeight="1" outlineLevel="3" x14ac:dyDescent="0.25">
      <c r="A74" s="64" t="s">
        <v>262</v>
      </c>
      <c r="B74" s="85" t="str">
        <f>Базовый!B64</f>
        <v>м3</v>
      </c>
      <c r="C74" s="100">
        <f>Базовый!C64/174400</f>
        <v>4.2268348623853209E-2</v>
      </c>
      <c r="D74" s="265"/>
    </row>
    <row r="75" spans="1:4" ht="13.5" customHeight="1" outlineLevel="3" x14ac:dyDescent="0.25">
      <c r="A75" s="64" t="s">
        <v>263</v>
      </c>
      <c r="B75" s="85" t="str">
        <f>Базовый!B65</f>
        <v>м3</v>
      </c>
      <c r="C75" s="100">
        <f>Базовый!C65/174400</f>
        <v>1.9850917431192661E-2</v>
      </c>
      <c r="D75" s="265"/>
    </row>
    <row r="76" spans="1:4" ht="13.5" customHeight="1" outlineLevel="2" x14ac:dyDescent="0.25">
      <c r="A76" s="65" t="s">
        <v>264</v>
      </c>
      <c r="B76" s="77" t="s">
        <v>1</v>
      </c>
      <c r="C76" s="77" t="s">
        <v>1</v>
      </c>
      <c r="D76" s="265"/>
    </row>
    <row r="77" spans="1:4" ht="13.5" customHeight="1" outlineLevel="3" x14ac:dyDescent="0.25">
      <c r="A77" s="64" t="s">
        <v>264</v>
      </c>
      <c r="B77" s="85" t="str">
        <f>Базовый!B67</f>
        <v>мес.</v>
      </c>
      <c r="C77" s="100">
        <f>Базовый!C67/174400</f>
        <v>6.8807339449541291E-5</v>
      </c>
      <c r="D77" s="265"/>
    </row>
    <row r="78" spans="1:4" ht="15.6" customHeight="1" outlineLevel="2" x14ac:dyDescent="0.25">
      <c r="A78" s="16" t="s">
        <v>107</v>
      </c>
      <c r="B78" s="77" t="s">
        <v>1</v>
      </c>
      <c r="C78" s="77" t="s">
        <v>1</v>
      </c>
      <c r="D78" s="265"/>
    </row>
    <row r="79" spans="1:4" ht="15.6" customHeight="1" outlineLevel="3" x14ac:dyDescent="0.25">
      <c r="A79" s="14" t="s">
        <v>169</v>
      </c>
      <c r="B79" s="55" t="s">
        <v>128</v>
      </c>
      <c r="C79" s="100">
        <f>Базовый!C69/174400</f>
        <v>3.0963302752293578E-4</v>
      </c>
      <c r="D79" s="265"/>
    </row>
    <row r="80" spans="1:4" outlineLevel="2" x14ac:dyDescent="0.25">
      <c r="A80" s="66" t="s">
        <v>105</v>
      </c>
      <c r="B80" s="77" t="s">
        <v>1</v>
      </c>
      <c r="C80" s="77" t="s">
        <v>1</v>
      </c>
      <c r="D80" s="265"/>
    </row>
    <row r="81" spans="1:4" ht="16.2" customHeight="1" outlineLevel="3" x14ac:dyDescent="0.25">
      <c r="A81" s="64" t="s">
        <v>171</v>
      </c>
      <c r="B81" s="55" t="s">
        <v>128</v>
      </c>
      <c r="C81" s="100">
        <f>Базовый!C71/174400</f>
        <v>4.498623853211009E-2</v>
      </c>
      <c r="D81" s="265"/>
    </row>
    <row r="82" spans="1:4" ht="12.75" customHeight="1" outlineLevel="1" x14ac:dyDescent="0.25">
      <c r="A82" s="272" t="s">
        <v>34</v>
      </c>
      <c r="B82" s="273"/>
      <c r="C82" s="273"/>
      <c r="D82" s="274"/>
    </row>
    <row r="83" spans="1:4" ht="12.75" customHeight="1" outlineLevel="2" x14ac:dyDescent="0.25">
      <c r="A83" s="21"/>
      <c r="B83" s="15"/>
      <c r="C83" s="28"/>
      <c r="D83" s="44" t="s">
        <v>80</v>
      </c>
    </row>
    <row r="84" spans="1:4" outlineLevel="1" x14ac:dyDescent="0.25">
      <c r="A84" s="272" t="s">
        <v>35</v>
      </c>
      <c r="B84" s="273"/>
      <c r="C84" s="273"/>
      <c r="D84" s="274"/>
    </row>
    <row r="85" spans="1:4" ht="12.6" customHeight="1" outlineLevel="2" x14ac:dyDescent="0.25">
      <c r="A85" s="197" t="s">
        <v>255</v>
      </c>
      <c r="B85" s="86" t="str">
        <f>Базовый!B75</f>
        <v>мес.</v>
      </c>
      <c r="C85" s="100">
        <f>Базовый!C75/174400</f>
        <v>6.8807339449541291E-5</v>
      </c>
      <c r="D85" s="270" t="s">
        <v>80</v>
      </c>
    </row>
    <row r="86" spans="1:4" ht="12.6" customHeight="1" outlineLevel="2" x14ac:dyDescent="0.25">
      <c r="A86" s="197" t="s">
        <v>256</v>
      </c>
      <c r="B86" s="86" t="str">
        <f>Базовый!B76</f>
        <v>мес.</v>
      </c>
      <c r="C86" s="100">
        <f>Базовый!C76/174400</f>
        <v>6.8807339449541291E-5</v>
      </c>
      <c r="D86" s="271"/>
    </row>
    <row r="87" spans="1:4" ht="12.6" customHeight="1" outlineLevel="2" x14ac:dyDescent="0.25">
      <c r="A87" s="197" t="s">
        <v>257</v>
      </c>
      <c r="B87" s="86" t="str">
        <f>Базовый!B77</f>
        <v>мес.</v>
      </c>
      <c r="C87" s="100">
        <f>Базовый!C77/174400</f>
        <v>6.8807339449541291E-5</v>
      </c>
      <c r="D87" s="271"/>
    </row>
    <row r="88" spans="1:4" ht="12.6" customHeight="1" outlineLevel="2" x14ac:dyDescent="0.25">
      <c r="A88" s="197" t="s">
        <v>258</v>
      </c>
      <c r="B88" s="86" t="str">
        <f>Базовый!B78</f>
        <v>мес.</v>
      </c>
      <c r="C88" s="100">
        <f>Базовый!C78/174400</f>
        <v>6.8807339449541291E-5</v>
      </c>
      <c r="D88" s="271"/>
    </row>
    <row r="89" spans="1:4" outlineLevel="2" x14ac:dyDescent="0.25">
      <c r="A89" s="64" t="s">
        <v>259</v>
      </c>
      <c r="B89" s="86" t="str">
        <f>Базовый!B79</f>
        <v>мес.</v>
      </c>
      <c r="C89" s="100">
        <f>Базовый!C79/174400</f>
        <v>6.8807339449541291E-5</v>
      </c>
      <c r="D89" s="280"/>
    </row>
    <row r="90" spans="1:4" outlineLevel="1" x14ac:dyDescent="0.25">
      <c r="A90" s="272" t="s">
        <v>36</v>
      </c>
      <c r="B90" s="273"/>
      <c r="C90" s="273"/>
      <c r="D90" s="274"/>
    </row>
    <row r="91" spans="1:4" ht="12.75" customHeight="1" outlineLevel="2" x14ac:dyDescent="0.25">
      <c r="A91" s="21"/>
      <c r="B91" s="21"/>
      <c r="C91" s="21"/>
      <c r="D91" s="21"/>
    </row>
    <row r="92" spans="1:4" ht="12.75" customHeight="1" outlineLevel="1" x14ac:dyDescent="0.25">
      <c r="A92" s="272" t="s">
        <v>37</v>
      </c>
      <c r="B92" s="273"/>
      <c r="C92" s="273"/>
      <c r="D92" s="274"/>
    </row>
    <row r="93" spans="1:4" ht="13.5" customHeight="1" outlineLevel="2" x14ac:dyDescent="0.25">
      <c r="A93" s="59" t="s">
        <v>205</v>
      </c>
      <c r="B93" s="53" t="s">
        <v>108</v>
      </c>
      <c r="C93" s="101">
        <f>Базовый!C83/174400</f>
        <v>5.1605504587155965E-5</v>
      </c>
      <c r="D93" s="264" t="s">
        <v>80</v>
      </c>
    </row>
    <row r="94" spans="1:4" ht="13.5" customHeight="1" outlineLevel="2" x14ac:dyDescent="0.25">
      <c r="A94" s="59" t="s">
        <v>208</v>
      </c>
      <c r="B94" s="53" t="s">
        <v>108</v>
      </c>
      <c r="C94" s="101">
        <f>Базовый!C86/174400</f>
        <v>1.8922018348623853E-4</v>
      </c>
      <c r="D94" s="265"/>
    </row>
    <row r="95" spans="1:4" ht="12.75" customHeight="1" outlineLevel="1" x14ac:dyDescent="0.25">
      <c r="A95" s="272" t="s">
        <v>38</v>
      </c>
      <c r="B95" s="273"/>
      <c r="C95" s="273"/>
      <c r="D95" s="274"/>
    </row>
    <row r="96" spans="1:4" s="24" customFormat="1" ht="13.2" customHeight="1" outlineLevel="2" x14ac:dyDescent="0.25">
      <c r="A96" s="68" t="s">
        <v>150</v>
      </c>
      <c r="B96" s="77"/>
      <c r="C96" s="18"/>
      <c r="D96" s="279" t="s">
        <v>80</v>
      </c>
    </row>
    <row r="97" spans="1:4" ht="15.6" customHeight="1" outlineLevel="3" x14ac:dyDescent="0.25">
      <c r="A97" s="64" t="s">
        <v>172</v>
      </c>
      <c r="B97" s="79" t="str">
        <f>Базовый!B91</f>
        <v>чел.</v>
      </c>
      <c r="C97" s="99">
        <f>Базовый!C91/174400</f>
        <v>5.7339449541284403E-6</v>
      </c>
      <c r="D97" s="279"/>
    </row>
    <row r="98" spans="1:4" ht="15.6" customHeight="1" outlineLevel="3" x14ac:dyDescent="0.25">
      <c r="A98" s="64" t="s">
        <v>174</v>
      </c>
      <c r="B98" s="79" t="str">
        <f>Базовый!B92</f>
        <v>чел.</v>
      </c>
      <c r="C98" s="99">
        <f>Базовый!C92/174400</f>
        <v>5.7339449541284403E-6</v>
      </c>
      <c r="D98" s="279"/>
    </row>
    <row r="99" spans="1:4" outlineLevel="3" x14ac:dyDescent="0.25">
      <c r="A99" s="64" t="s">
        <v>173</v>
      </c>
      <c r="B99" s="79" t="str">
        <f>Базовый!B93</f>
        <v>чел.</v>
      </c>
      <c r="C99" s="99">
        <f>Базовый!C93/174400</f>
        <v>1.1467889908256881E-5</v>
      </c>
      <c r="D99" s="279"/>
    </row>
    <row r="100" spans="1:4" outlineLevel="2" x14ac:dyDescent="0.25">
      <c r="A100" s="58" t="s">
        <v>116</v>
      </c>
      <c r="B100" s="79"/>
      <c r="C100" s="99"/>
      <c r="D100" s="279"/>
    </row>
    <row r="101" spans="1:4" s="24" customFormat="1" ht="15.6" customHeight="1" outlineLevel="3" x14ac:dyDescent="0.25">
      <c r="A101" s="69" t="s">
        <v>168</v>
      </c>
      <c r="B101" s="79" t="str">
        <f>Базовый!B95</f>
        <v>шт.</v>
      </c>
      <c r="C101" s="99">
        <f>Базовый!C95/174400</f>
        <v>4.1284403669724772E-4</v>
      </c>
      <c r="D101" s="279"/>
    </row>
    <row r="102" spans="1:4" outlineLevel="3" x14ac:dyDescent="0.25">
      <c r="A102" s="69" t="s">
        <v>167</v>
      </c>
      <c r="B102" s="79" t="str">
        <f>Базовый!B96</f>
        <v>шт.</v>
      </c>
      <c r="C102" s="99">
        <f>Базовый!C96/174400</f>
        <v>5.7339449541284403E-6</v>
      </c>
      <c r="D102" s="279"/>
    </row>
    <row r="103" spans="1:4" ht="16.5" customHeight="1" outlineLevel="2" x14ac:dyDescent="0.25">
      <c r="A103" s="16" t="s">
        <v>190</v>
      </c>
      <c r="B103" s="79"/>
      <c r="C103" s="99"/>
      <c r="D103" s="279"/>
    </row>
    <row r="104" spans="1:4" outlineLevel="3" x14ac:dyDescent="0.25">
      <c r="A104" s="69"/>
      <c r="B104" s="79"/>
      <c r="C104" s="99"/>
      <c r="D104" s="279"/>
    </row>
    <row r="105" spans="1:4" ht="37.5" customHeight="1" x14ac:dyDescent="0.25">
      <c r="A105" s="8" t="s">
        <v>39</v>
      </c>
      <c r="B105" s="22"/>
      <c r="C105" s="22"/>
    </row>
    <row r="106" spans="1:4" ht="17.25" customHeight="1" x14ac:dyDescent="0.25">
      <c r="A106" s="278" t="s">
        <v>40</v>
      </c>
      <c r="B106" s="278"/>
      <c r="C106" s="278"/>
      <c r="D106" s="278"/>
    </row>
    <row r="107" spans="1:4" ht="44.25" customHeight="1" x14ac:dyDescent="0.25">
      <c r="A107" s="278" t="s">
        <v>41</v>
      </c>
      <c r="B107" s="278"/>
      <c r="C107" s="278"/>
      <c r="D107" s="278"/>
    </row>
    <row r="108" spans="1:4" ht="42.75" customHeight="1" x14ac:dyDescent="0.25">
      <c r="A108" s="278" t="s">
        <v>41</v>
      </c>
      <c r="B108" s="278"/>
      <c r="C108" s="278"/>
      <c r="D108" s="278"/>
    </row>
    <row r="109" spans="1:4" ht="19.95" customHeight="1" x14ac:dyDescent="0.25">
      <c r="A109" s="278" t="s">
        <v>42</v>
      </c>
      <c r="B109" s="278"/>
      <c r="C109" s="278"/>
      <c r="D109" s="278"/>
    </row>
    <row r="110" spans="1:4" ht="36.6" customHeight="1" x14ac:dyDescent="0.25">
      <c r="A110" s="278" t="s">
        <v>43</v>
      </c>
      <c r="B110" s="278"/>
      <c r="C110" s="278"/>
      <c r="D110" s="278"/>
    </row>
  </sheetData>
  <mergeCells count="32">
    <mergeCell ref="D64:D81"/>
    <mergeCell ref="D93:D94"/>
    <mergeCell ref="A90:D90"/>
    <mergeCell ref="A92:D92"/>
    <mergeCell ref="D85:D89"/>
    <mergeCell ref="A84:D84"/>
    <mergeCell ref="A82:D82"/>
    <mergeCell ref="A108:D108"/>
    <mergeCell ref="A110:D110"/>
    <mergeCell ref="A109:D109"/>
    <mergeCell ref="A95:D95"/>
    <mergeCell ref="A106:D106"/>
    <mergeCell ref="D96:D104"/>
    <mergeCell ref="A107:D107"/>
    <mergeCell ref="A18:D18"/>
    <mergeCell ref="D19:D30"/>
    <mergeCell ref="A31:D31"/>
    <mergeCell ref="D32:D52"/>
    <mergeCell ref="A63:D63"/>
    <mergeCell ref="A54:D54"/>
    <mergeCell ref="A53:D53"/>
    <mergeCell ref="D55:D62"/>
    <mergeCell ref="A14:D14"/>
    <mergeCell ref="A15:D15"/>
    <mergeCell ref="A16:D16"/>
    <mergeCell ref="A4:D4"/>
    <mergeCell ref="A5:D5"/>
    <mergeCell ref="A6:D6"/>
    <mergeCell ref="A7:D7"/>
    <mergeCell ref="A13:D13"/>
    <mergeCell ref="A11:D11"/>
    <mergeCell ref="A12:D1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rowBreaks count="2" manualBreakCount="2">
    <brk id="31" max="3" man="1"/>
    <brk id="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92D050"/>
    <outlinePr summaryBelow="0" summaryRight="0"/>
    <pageSetUpPr fitToPage="1"/>
  </sheetPr>
  <dimension ref="A1:I101"/>
  <sheetViews>
    <sheetView view="pageBreakPreview" zoomScale="85" zoomScaleSheetLayoutView="85" workbookViewId="0">
      <pane ySplit="8" topLeftCell="A68" activePane="bottomLeft" state="frozen"/>
      <selection activeCell="D349" sqref="D349"/>
      <selection pane="bottomLeft" activeCell="A22" sqref="A22"/>
    </sheetView>
  </sheetViews>
  <sheetFormatPr defaultColWidth="9.109375" defaultRowHeight="13.2" outlineLevelRow="4" x14ac:dyDescent="0.25"/>
  <cols>
    <col min="1" max="1" width="31.88671875" style="163" customWidth="1"/>
    <col min="2" max="6" width="25.6640625" style="19" customWidth="1"/>
    <col min="7" max="7" width="21" style="19" customWidth="1"/>
    <col min="8" max="8" width="11.6640625" style="19" bestFit="1" customWidth="1"/>
    <col min="9" max="16384" width="9.109375" style="19"/>
  </cols>
  <sheetData>
    <row r="1" spans="1:6" x14ac:dyDescent="0.25">
      <c r="A1" s="159"/>
      <c r="F1" s="34" t="s">
        <v>44</v>
      </c>
    </row>
    <row r="2" spans="1:6" ht="14.4" customHeight="1" x14ac:dyDescent="0.25">
      <c r="A2" s="159"/>
      <c r="F2" s="175" t="s">
        <v>45</v>
      </c>
    </row>
    <row r="3" spans="1:6" x14ac:dyDescent="0.25">
      <c r="A3" s="161"/>
    </row>
    <row r="4" spans="1:6" x14ac:dyDescent="0.25">
      <c r="A4" s="261" t="s">
        <v>46</v>
      </c>
      <c r="B4" s="261"/>
      <c r="C4" s="261"/>
      <c r="D4" s="261"/>
      <c r="E4" s="261"/>
      <c r="F4" s="261"/>
    </row>
    <row r="5" spans="1:6" x14ac:dyDescent="0.25">
      <c r="A5" s="261" t="s">
        <v>47</v>
      </c>
      <c r="B5" s="261"/>
      <c r="C5" s="261"/>
      <c r="D5" s="261"/>
      <c r="E5" s="261"/>
      <c r="F5" s="261"/>
    </row>
    <row r="6" spans="1:6" x14ac:dyDescent="0.25">
      <c r="A6" s="161"/>
    </row>
    <row r="7" spans="1:6" ht="26.4" x14ac:dyDescent="0.25">
      <c r="A7" s="32" t="s">
        <v>0</v>
      </c>
      <c r="B7" s="32" t="s">
        <v>13</v>
      </c>
      <c r="C7" s="32" t="s">
        <v>14</v>
      </c>
      <c r="D7" s="32" t="s">
        <v>15</v>
      </c>
      <c r="E7" s="32" t="s">
        <v>16</v>
      </c>
      <c r="F7" s="32" t="s">
        <v>48</v>
      </c>
    </row>
    <row r="8" spans="1:6" x14ac:dyDescent="0.25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</row>
    <row r="9" spans="1:6" ht="28.95" customHeight="1" x14ac:dyDescent="0.25">
      <c r="A9" s="284" t="s">
        <v>212</v>
      </c>
      <c r="B9" s="284"/>
      <c r="C9" s="284"/>
      <c r="D9" s="284"/>
      <c r="E9" s="284"/>
      <c r="F9" s="284"/>
    </row>
    <row r="10" spans="1:6" ht="13.2" customHeight="1" x14ac:dyDescent="0.25">
      <c r="A10" s="285" t="s">
        <v>271</v>
      </c>
      <c r="B10" s="286"/>
      <c r="C10" s="286"/>
      <c r="D10" s="286"/>
      <c r="E10" s="286"/>
      <c r="F10" s="286"/>
    </row>
    <row r="11" spans="1:6" ht="16.95" customHeight="1" x14ac:dyDescent="0.25">
      <c r="A11" s="255" t="s">
        <v>27</v>
      </c>
      <c r="B11" s="256"/>
      <c r="C11" s="256"/>
      <c r="D11" s="257"/>
      <c r="E11" s="33">
        <f>E12+E14+E27</f>
        <v>103.56206536697248</v>
      </c>
      <c r="F11" s="287" t="s">
        <v>80</v>
      </c>
    </row>
    <row r="12" spans="1:6" outlineLevel="1" x14ac:dyDescent="0.25">
      <c r="A12" s="258" t="s">
        <v>28</v>
      </c>
      <c r="B12" s="259"/>
      <c r="C12" s="259"/>
      <c r="D12" s="260"/>
      <c r="E12" s="165">
        <f>E13</f>
        <v>94.337352178899081</v>
      </c>
      <c r="F12" s="288"/>
    </row>
    <row r="13" spans="1:6" ht="12.75" customHeight="1" outlineLevel="2" x14ac:dyDescent="0.25">
      <c r="A13" s="59" t="s">
        <v>202</v>
      </c>
      <c r="B13" s="53">
        <f>'1.1.'!C17</f>
        <v>1.7201834862385322E-4</v>
      </c>
      <c r="C13" s="98" t="s">
        <v>81</v>
      </c>
      <c r="D13" s="31">
        <f>Базовый!H5</f>
        <v>548414.47399999993</v>
      </c>
      <c r="E13" s="72">
        <f>B13*D13</f>
        <v>94.337352178899081</v>
      </c>
      <c r="F13" s="288"/>
    </row>
    <row r="14" spans="1:6" ht="12.75" customHeight="1" outlineLevel="1" x14ac:dyDescent="0.25">
      <c r="A14" s="258" t="s">
        <v>29</v>
      </c>
      <c r="B14" s="259"/>
      <c r="C14" s="259"/>
      <c r="D14" s="260"/>
      <c r="E14" s="72">
        <f>E15+E22+E25</f>
        <v>3.323394495412844</v>
      </c>
      <c r="F14" s="288"/>
    </row>
    <row r="15" spans="1:6" ht="12.75" customHeight="1" outlineLevel="2" x14ac:dyDescent="0.25">
      <c r="A15" s="16" t="s">
        <v>134</v>
      </c>
      <c r="B15" s="17" t="s">
        <v>1</v>
      </c>
      <c r="C15" s="17" t="s">
        <v>1</v>
      </c>
      <c r="D15" s="17" t="s">
        <v>1</v>
      </c>
      <c r="E15" s="25">
        <f>E16+E17+E18+E19+E20+E21</f>
        <v>0</v>
      </c>
      <c r="F15" s="288"/>
    </row>
    <row r="16" spans="1:6" ht="12.75" customHeight="1" outlineLevel="3" x14ac:dyDescent="0.25">
      <c r="A16" s="64" t="s">
        <v>139</v>
      </c>
      <c r="B16" s="164">
        <f>'1.1.'!C20</f>
        <v>0</v>
      </c>
      <c r="C16" s="99" t="s">
        <v>81</v>
      </c>
      <c r="D16" s="31">
        <f>Базовый!H10</f>
        <v>5465.0733333333337</v>
      </c>
      <c r="E16" s="72">
        <f>B16*D16</f>
        <v>0</v>
      </c>
      <c r="F16" s="288"/>
    </row>
    <row r="17" spans="1:6" ht="12.75" customHeight="1" outlineLevel="3" x14ac:dyDescent="0.25">
      <c r="A17" s="64" t="s">
        <v>140</v>
      </c>
      <c r="B17" s="164">
        <f>'1.1.'!C21</f>
        <v>0</v>
      </c>
      <c r="C17" s="99" t="s">
        <v>81</v>
      </c>
      <c r="D17" s="31">
        <f>Базовый!H11</f>
        <v>269.88</v>
      </c>
      <c r="E17" s="72">
        <f t="shared" ref="E17:E26" si="0">B17*D17</f>
        <v>0</v>
      </c>
      <c r="F17" s="288"/>
    </row>
    <row r="18" spans="1:6" outlineLevel="3" x14ac:dyDescent="0.25">
      <c r="A18" s="64" t="s">
        <v>141</v>
      </c>
      <c r="B18" s="164">
        <f>'1.1.'!C22</f>
        <v>0</v>
      </c>
      <c r="C18" s="99" t="s">
        <v>81</v>
      </c>
      <c r="D18" s="31">
        <f>Базовый!H12</f>
        <v>296.86666666666662</v>
      </c>
      <c r="E18" s="72">
        <f t="shared" si="0"/>
        <v>0</v>
      </c>
      <c r="F18" s="288"/>
    </row>
    <row r="19" spans="1:6" s="35" customFormat="1" ht="12.75" customHeight="1" outlineLevel="3" x14ac:dyDescent="0.25">
      <c r="A19" s="64" t="s">
        <v>142</v>
      </c>
      <c r="B19" s="164">
        <f>'1.1.'!C23</f>
        <v>0</v>
      </c>
      <c r="C19" s="99" t="s">
        <v>81</v>
      </c>
      <c r="D19" s="31">
        <f>Базовый!H13</f>
        <v>3454.4633333333331</v>
      </c>
      <c r="E19" s="72">
        <f t="shared" si="0"/>
        <v>0</v>
      </c>
      <c r="F19" s="288"/>
    </row>
    <row r="20" spans="1:6" s="35" customFormat="1" ht="12.75" customHeight="1" outlineLevel="3" x14ac:dyDescent="0.25">
      <c r="A20" s="64" t="s">
        <v>143</v>
      </c>
      <c r="B20" s="164">
        <f>'1.1.'!C24</f>
        <v>0</v>
      </c>
      <c r="C20" s="99" t="s">
        <v>81</v>
      </c>
      <c r="D20" s="31">
        <f>Базовый!H14</f>
        <v>6908.9266666666663</v>
      </c>
      <c r="E20" s="72">
        <f t="shared" si="0"/>
        <v>0</v>
      </c>
      <c r="F20" s="288"/>
    </row>
    <row r="21" spans="1:6" outlineLevel="3" x14ac:dyDescent="0.25">
      <c r="A21" s="157" t="s">
        <v>144</v>
      </c>
      <c r="B21" s="164">
        <f>'1.1.'!C25</f>
        <v>0</v>
      </c>
      <c r="C21" s="99" t="s">
        <v>81</v>
      </c>
      <c r="D21" s="31">
        <f>Базовый!H15</f>
        <v>2509.8833333333332</v>
      </c>
      <c r="E21" s="72">
        <f t="shared" si="0"/>
        <v>0</v>
      </c>
      <c r="F21" s="288"/>
    </row>
    <row r="22" spans="1:6" s="24" customFormat="1" outlineLevel="2" x14ac:dyDescent="0.25">
      <c r="A22" s="158" t="s">
        <v>145</v>
      </c>
      <c r="B22" s="17" t="s">
        <v>1</v>
      </c>
      <c r="C22" s="17" t="s">
        <v>1</v>
      </c>
      <c r="D22" s="17" t="s">
        <v>1</v>
      </c>
      <c r="E22" s="25">
        <f>E23+E24</f>
        <v>0</v>
      </c>
      <c r="F22" s="288"/>
    </row>
    <row r="23" spans="1:6" s="24" customFormat="1" ht="12.75" customHeight="1" outlineLevel="3" x14ac:dyDescent="0.25">
      <c r="A23" s="157" t="s">
        <v>146</v>
      </c>
      <c r="B23" s="164">
        <f>'1.1.'!C27</f>
        <v>0</v>
      </c>
      <c r="C23" s="99" t="s">
        <v>81</v>
      </c>
      <c r="D23" s="31">
        <f>Базовый!H17</f>
        <v>25894.666666666668</v>
      </c>
      <c r="E23" s="72">
        <f t="shared" si="0"/>
        <v>0</v>
      </c>
      <c r="F23" s="288"/>
    </row>
    <row r="24" spans="1:6" s="24" customFormat="1" ht="12.75" customHeight="1" outlineLevel="3" x14ac:dyDescent="0.25">
      <c r="A24" s="157" t="s">
        <v>147</v>
      </c>
      <c r="B24" s="164">
        <f>'1.1.'!C28</f>
        <v>0</v>
      </c>
      <c r="C24" s="99" t="s">
        <v>81</v>
      </c>
      <c r="D24" s="31">
        <f>Базовый!H18</f>
        <v>22793</v>
      </c>
      <c r="E24" s="72">
        <f t="shared" si="0"/>
        <v>0</v>
      </c>
      <c r="F24" s="288"/>
    </row>
    <row r="25" spans="1:6" s="24" customFormat="1" ht="12.75" customHeight="1" outlineLevel="2" x14ac:dyDescent="0.25">
      <c r="A25" s="65" t="s">
        <v>148</v>
      </c>
      <c r="B25" s="17" t="s">
        <v>1</v>
      </c>
      <c r="C25" s="17" t="s">
        <v>1</v>
      </c>
      <c r="D25" s="17" t="s">
        <v>1</v>
      </c>
      <c r="E25" s="72">
        <f>E26</f>
        <v>3.323394495412844</v>
      </c>
      <c r="F25" s="288"/>
    </row>
    <row r="26" spans="1:6" s="24" customFormat="1" outlineLevel="3" x14ac:dyDescent="0.25">
      <c r="A26" s="64" t="s">
        <v>149</v>
      </c>
      <c r="B26" s="51">
        <f>'1.1.'!C30</f>
        <v>1.2041284403669725E-2</v>
      </c>
      <c r="C26" s="99"/>
      <c r="D26" s="31">
        <f>Базовый!H20</f>
        <v>276</v>
      </c>
      <c r="E26" s="72">
        <f t="shared" si="0"/>
        <v>3.323394495412844</v>
      </c>
      <c r="F26" s="288"/>
    </row>
    <row r="27" spans="1:6" s="24" customFormat="1" outlineLevel="1" x14ac:dyDescent="0.25">
      <c r="A27" s="289" t="s">
        <v>30</v>
      </c>
      <c r="B27" s="290"/>
      <c r="C27" s="290"/>
      <c r="D27" s="291"/>
      <c r="E27" s="72">
        <f>E28+E31+E33+E39</f>
        <v>5.901318692660551</v>
      </c>
      <c r="F27" s="288"/>
    </row>
    <row r="28" spans="1:6" s="24" customFormat="1" ht="12.75" customHeight="1" outlineLevel="2" x14ac:dyDescent="0.25">
      <c r="A28" s="16" t="s">
        <v>150</v>
      </c>
      <c r="B28" s="77" t="s">
        <v>1</v>
      </c>
      <c r="C28" s="23" t="s">
        <v>1</v>
      </c>
      <c r="D28" s="23" t="s">
        <v>1</v>
      </c>
      <c r="E28" s="71">
        <f>E29+E30</f>
        <v>0.98388738532110098</v>
      </c>
      <c r="F28" s="288"/>
    </row>
    <row r="29" spans="1:6" s="24" customFormat="1" ht="12.75" customHeight="1" outlineLevel="3" x14ac:dyDescent="0.25">
      <c r="A29" s="64" t="s">
        <v>151</v>
      </c>
      <c r="B29" s="51">
        <f>'1.1.'!C33</f>
        <v>2.9243119266055044E-4</v>
      </c>
      <c r="C29" s="99" t="s">
        <v>81</v>
      </c>
      <c r="D29" s="31">
        <f>Базовый!H23</f>
        <v>2083.3333333333335</v>
      </c>
      <c r="E29" s="45">
        <f>B29*D29</f>
        <v>0.60923165137614677</v>
      </c>
      <c r="F29" s="288"/>
    </row>
    <row r="30" spans="1:6" s="24" customFormat="1" outlineLevel="3" x14ac:dyDescent="0.25">
      <c r="A30" s="64" t="s">
        <v>155</v>
      </c>
      <c r="B30" s="164">
        <f>'1.1.'!C34</f>
        <v>8.0275229357798161E-5</v>
      </c>
      <c r="C30" s="99" t="s">
        <v>81</v>
      </c>
      <c r="D30" s="31">
        <f>Базовый!H24</f>
        <v>4667.1400000000003</v>
      </c>
      <c r="E30" s="45">
        <f>B30*D30</f>
        <v>0.37465573394495416</v>
      </c>
      <c r="F30" s="288"/>
    </row>
    <row r="31" spans="1:6" s="24" customFormat="1" outlineLevel="2" x14ac:dyDescent="0.25">
      <c r="A31" s="16" t="s">
        <v>12</v>
      </c>
      <c r="B31" s="77" t="s">
        <v>1</v>
      </c>
      <c r="C31" s="17" t="s">
        <v>1</v>
      </c>
      <c r="D31" s="17" t="s">
        <v>1</v>
      </c>
      <c r="E31" s="71">
        <f>E32</f>
        <v>3.6631280963302753</v>
      </c>
      <c r="F31" s="288"/>
    </row>
    <row r="32" spans="1:6" s="24" customFormat="1" ht="12.75" customHeight="1" outlineLevel="3" x14ac:dyDescent="0.25">
      <c r="A32" s="64" t="s">
        <v>154</v>
      </c>
      <c r="B32" s="164">
        <f>'1.1.'!C36</f>
        <v>1.1467889908256881E-5</v>
      </c>
      <c r="C32" s="99" t="s">
        <v>81</v>
      </c>
      <c r="D32" s="31">
        <f>Базовый!H26</f>
        <v>319424.77</v>
      </c>
      <c r="E32" s="45">
        <f>B32*D32</f>
        <v>3.6631280963302753</v>
      </c>
      <c r="F32" s="288"/>
    </row>
    <row r="33" spans="1:6" s="24" customFormat="1" ht="12.75" customHeight="1" outlineLevel="2" x14ac:dyDescent="0.25">
      <c r="A33" s="58" t="s">
        <v>188</v>
      </c>
      <c r="B33" s="77" t="s">
        <v>1</v>
      </c>
      <c r="C33" s="17" t="s">
        <v>1</v>
      </c>
      <c r="D33" s="17" t="s">
        <v>1</v>
      </c>
      <c r="E33" s="71">
        <f>E34+E35+E36+E37+E38</f>
        <v>0.56295871559633026</v>
      </c>
      <c r="F33" s="288"/>
    </row>
    <row r="34" spans="1:6" s="24" customFormat="1" ht="39.6" outlineLevel="3" x14ac:dyDescent="0.25">
      <c r="A34" s="64" t="s">
        <v>185</v>
      </c>
      <c r="B34" s="79">
        <f>'1.1.'!C38</f>
        <v>5.103211009174312E-4</v>
      </c>
      <c r="C34" s="99" t="s">
        <v>81</v>
      </c>
      <c r="D34" s="31">
        <f>Базовый!H28</f>
        <v>100</v>
      </c>
      <c r="E34" s="72">
        <f>B34*D34</f>
        <v>5.1032110091743119E-2</v>
      </c>
      <c r="F34" s="288"/>
    </row>
    <row r="35" spans="1:6" s="24" customFormat="1" ht="39.6" outlineLevel="3" x14ac:dyDescent="0.25">
      <c r="A35" s="64" t="s">
        <v>184</v>
      </c>
      <c r="B35" s="79">
        <f>'1.1.'!C39</f>
        <v>4.2431192660550459E-4</v>
      </c>
      <c r="C35" s="99" t="s">
        <v>81</v>
      </c>
      <c r="D35" s="31">
        <f>Базовый!H29</f>
        <v>550</v>
      </c>
      <c r="E35" s="72">
        <f>B35*D35</f>
        <v>0.23337155963302753</v>
      </c>
      <c r="F35" s="288"/>
    </row>
    <row r="36" spans="1:6" ht="52.8" outlineLevel="3" x14ac:dyDescent="0.25">
      <c r="A36" s="64" t="s">
        <v>186</v>
      </c>
      <c r="B36" s="164">
        <f>'1.1.'!C40</f>
        <v>1.8348623853211009E-4</v>
      </c>
      <c r="C36" s="99" t="s">
        <v>81</v>
      </c>
      <c r="D36" s="31">
        <f>Базовый!H30</f>
        <v>650</v>
      </c>
      <c r="E36" s="72">
        <f>B36*D36</f>
        <v>0.11926605504587155</v>
      </c>
      <c r="F36" s="288"/>
    </row>
    <row r="37" spans="1:6" ht="52.8" outlineLevel="3" x14ac:dyDescent="0.25">
      <c r="A37" s="64" t="s">
        <v>187</v>
      </c>
      <c r="B37" s="164">
        <f>'1.1.'!C41</f>
        <v>1.1467889908256881E-5</v>
      </c>
      <c r="C37" s="99" t="s">
        <v>81</v>
      </c>
      <c r="D37" s="31">
        <f>Базовый!H31</f>
        <v>1890</v>
      </c>
      <c r="E37" s="72">
        <f>B37*D37</f>
        <v>2.1674311926605506E-2</v>
      </c>
      <c r="F37" s="288"/>
    </row>
    <row r="38" spans="1:6" outlineLevel="3" x14ac:dyDescent="0.25">
      <c r="A38" s="64" t="s">
        <v>189</v>
      </c>
      <c r="B38" s="164">
        <f>'1.1.'!C42</f>
        <v>1.7201834862385323E-5</v>
      </c>
      <c r="C38" s="99" t="s">
        <v>81</v>
      </c>
      <c r="D38" s="31">
        <f>Базовый!H32</f>
        <v>8000</v>
      </c>
      <c r="E38" s="72">
        <f>B38*D38</f>
        <v>0.13761467889908258</v>
      </c>
      <c r="F38" s="288"/>
    </row>
    <row r="39" spans="1:6" outlineLevel="2" x14ac:dyDescent="0.25">
      <c r="A39" s="65" t="s">
        <v>156</v>
      </c>
      <c r="B39" s="77" t="s">
        <v>1</v>
      </c>
      <c r="C39" s="17" t="s">
        <v>1</v>
      </c>
      <c r="D39" s="17" t="s">
        <v>1</v>
      </c>
      <c r="E39" s="102">
        <f>E40+E41+E42+E43+E44+E45+E46+E47+E48</f>
        <v>0.69134449541284404</v>
      </c>
      <c r="F39" s="288"/>
    </row>
    <row r="40" spans="1:6" ht="26.4" outlineLevel="4" x14ac:dyDescent="0.25">
      <c r="A40" s="64" t="s">
        <v>157</v>
      </c>
      <c r="B40" s="164">
        <f>'1.1.'!C44</f>
        <v>6.8807339449541291E-5</v>
      </c>
      <c r="C40" s="99" t="s">
        <v>81</v>
      </c>
      <c r="D40" s="31">
        <f>Базовый!H34</f>
        <v>1028.29</v>
      </c>
      <c r="E40" s="31">
        <f>B40*D40</f>
        <v>7.0753899082568808E-2</v>
      </c>
      <c r="F40" s="288"/>
    </row>
    <row r="41" spans="1:6" ht="26.4" outlineLevel="4" x14ac:dyDescent="0.25">
      <c r="A41" s="64" t="s">
        <v>158</v>
      </c>
      <c r="B41" s="164">
        <f>'1.1.'!C45</f>
        <v>5.7339449541284403E-6</v>
      </c>
      <c r="C41" s="99" t="s">
        <v>81</v>
      </c>
      <c r="D41" s="31">
        <f>Базовый!H35</f>
        <v>49878</v>
      </c>
      <c r="E41" s="31">
        <f t="shared" ref="E41:E48" si="1">B41*D41</f>
        <v>0.28599770642201833</v>
      </c>
      <c r="F41" s="288"/>
    </row>
    <row r="42" spans="1:6" ht="39.6" outlineLevel="4" x14ac:dyDescent="0.25">
      <c r="A42" s="64" t="s">
        <v>160</v>
      </c>
      <c r="B42" s="164">
        <f>'1.1.'!C46</f>
        <v>5.7339449541284403E-6</v>
      </c>
      <c r="C42" s="99" t="s">
        <v>81</v>
      </c>
      <c r="D42" s="31">
        <f>Базовый!H36</f>
        <v>4256</v>
      </c>
      <c r="E42" s="31">
        <f t="shared" si="1"/>
        <v>2.4403669724770642E-2</v>
      </c>
      <c r="F42" s="288"/>
    </row>
    <row r="43" spans="1:6" ht="39.6" outlineLevel="4" x14ac:dyDescent="0.25">
      <c r="A43" s="64" t="s">
        <v>161</v>
      </c>
      <c r="B43" s="164">
        <f>'1.1.'!C47</f>
        <v>5.7339449541284403E-6</v>
      </c>
      <c r="C43" s="99" t="s">
        <v>81</v>
      </c>
      <c r="D43" s="31">
        <f>Базовый!H37</f>
        <v>456</v>
      </c>
      <c r="E43" s="31">
        <f t="shared" si="1"/>
        <v>2.6146788990825689E-3</v>
      </c>
      <c r="F43" s="288"/>
    </row>
    <row r="44" spans="1:6" ht="30" customHeight="1" outlineLevel="4" x14ac:dyDescent="0.25">
      <c r="A44" s="64" t="s">
        <v>162</v>
      </c>
      <c r="B44" s="164">
        <f>'1.1.'!C48</f>
        <v>2.8669724770642203E-4</v>
      </c>
      <c r="C44" s="99" t="s">
        <v>81</v>
      </c>
      <c r="D44" s="31">
        <f>Базовый!H38</f>
        <v>546.6</v>
      </c>
      <c r="E44" s="31">
        <f t="shared" si="1"/>
        <v>0.15670871559633029</v>
      </c>
      <c r="F44" s="288"/>
    </row>
    <row r="45" spans="1:6" ht="39.6" outlineLevel="4" x14ac:dyDescent="0.25">
      <c r="A45" s="64" t="s">
        <v>163</v>
      </c>
      <c r="B45" s="164">
        <f>'1.1.'!C49</f>
        <v>5.7339449541284403E-6</v>
      </c>
      <c r="C45" s="99" t="s">
        <v>81</v>
      </c>
      <c r="D45" s="31">
        <f>Базовый!H39</f>
        <v>10340</v>
      </c>
      <c r="E45" s="31">
        <f t="shared" si="1"/>
        <v>5.9288990825688073E-2</v>
      </c>
      <c r="F45" s="288"/>
    </row>
    <row r="46" spans="1:6" ht="25.2" customHeight="1" outlineLevel="4" x14ac:dyDescent="0.25">
      <c r="A46" s="64" t="s">
        <v>164</v>
      </c>
      <c r="B46" s="164">
        <f>'1.1.'!C50</f>
        <v>5.1605504587155965E-5</v>
      </c>
      <c r="C46" s="99" t="s">
        <v>81</v>
      </c>
      <c r="D46" s="31">
        <f>Базовый!H40</f>
        <v>345</v>
      </c>
      <c r="E46" s="31">
        <f t="shared" si="1"/>
        <v>1.7803899082568807E-2</v>
      </c>
      <c r="F46" s="288"/>
    </row>
    <row r="47" spans="1:6" ht="39.6" outlineLevel="4" x14ac:dyDescent="0.25">
      <c r="A47" s="64" t="s">
        <v>165</v>
      </c>
      <c r="B47" s="164">
        <f>'1.1.'!C51</f>
        <v>2.8669724770642203E-5</v>
      </c>
      <c r="C47" s="99" t="s">
        <v>81</v>
      </c>
      <c r="D47" s="31">
        <f>Базовый!H41</f>
        <v>2300</v>
      </c>
      <c r="E47" s="31">
        <f t="shared" si="1"/>
        <v>6.5940366972477071E-2</v>
      </c>
      <c r="F47" s="288"/>
    </row>
    <row r="48" spans="1:6" ht="26.4" outlineLevel="3" x14ac:dyDescent="0.25">
      <c r="A48" s="64" t="s">
        <v>166</v>
      </c>
      <c r="B48" s="164">
        <f>'1.1.'!C52</f>
        <v>1.1467889908256881E-5</v>
      </c>
      <c r="C48" s="99" t="s">
        <v>81</v>
      </c>
      <c r="D48" s="31">
        <f>Базовый!H42</f>
        <v>683</v>
      </c>
      <c r="E48" s="31">
        <f t="shared" si="1"/>
        <v>7.8325688073394503E-3</v>
      </c>
      <c r="F48" s="288"/>
    </row>
    <row r="49" spans="1:6" x14ac:dyDescent="0.25">
      <c r="A49" s="275" t="s">
        <v>31</v>
      </c>
      <c r="B49" s="276"/>
      <c r="C49" s="276"/>
      <c r="D49" s="277"/>
      <c r="E49" s="102">
        <f>E50+E59+E78+E80+E86+E88+E91</f>
        <v>39.753211146597856</v>
      </c>
      <c r="F49" s="288"/>
    </row>
    <row r="50" spans="1:6" outlineLevel="1" x14ac:dyDescent="0.25">
      <c r="A50" s="281" t="s">
        <v>32</v>
      </c>
      <c r="B50" s="282"/>
      <c r="C50" s="282"/>
      <c r="D50" s="283"/>
      <c r="E50" s="165">
        <f>SUM(E51:E58)</f>
        <v>9.8545623239678903</v>
      </c>
      <c r="F50" s="288"/>
    </row>
    <row r="51" spans="1:6" outlineLevel="2" x14ac:dyDescent="0.25">
      <c r="A51" s="14" t="s">
        <v>192</v>
      </c>
      <c r="B51" s="51">
        <f>'1.1.'!C55</f>
        <v>2.0470183486238532E-3</v>
      </c>
      <c r="C51" s="100" t="s">
        <v>81</v>
      </c>
      <c r="D51" s="31">
        <f>Базовый!H45</f>
        <v>1.6</v>
      </c>
      <c r="E51" s="165">
        <f>B51*D51</f>
        <v>3.2752293577981654E-3</v>
      </c>
      <c r="F51" s="288"/>
    </row>
    <row r="52" spans="1:6" outlineLevel="2" x14ac:dyDescent="0.25">
      <c r="A52" s="14" t="s">
        <v>199</v>
      </c>
      <c r="B52" s="51">
        <f>'1.1.'!C56</f>
        <v>1.6115252293577983E-3</v>
      </c>
      <c r="C52" s="100" t="s">
        <v>81</v>
      </c>
      <c r="D52" s="31">
        <f>Базовый!H46</f>
        <v>19.55</v>
      </c>
      <c r="E52" s="165">
        <f t="shared" ref="E52:E57" si="2">B52*D52</f>
        <v>3.1505318233944958E-2</v>
      </c>
      <c r="F52" s="288"/>
    </row>
    <row r="53" spans="1:6" outlineLevel="2" x14ac:dyDescent="0.25">
      <c r="A53" s="14" t="s">
        <v>200</v>
      </c>
      <c r="B53" s="51">
        <f>'1.1.'!C57</f>
        <v>2.7166857798165138E-3</v>
      </c>
      <c r="C53" s="100" t="s">
        <v>81</v>
      </c>
      <c r="D53" s="31">
        <f>Базовый!H47</f>
        <v>22.64</v>
      </c>
      <c r="E53" s="165">
        <f t="shared" si="2"/>
        <v>6.1505766055045874E-2</v>
      </c>
      <c r="F53" s="288"/>
    </row>
    <row r="54" spans="1:6" outlineLevel="2" x14ac:dyDescent="0.25">
      <c r="A54" s="14" t="s">
        <v>193</v>
      </c>
      <c r="B54" s="51">
        <f>'1.1.'!C58</f>
        <v>9.8686926605504586E-4</v>
      </c>
      <c r="C54" s="100" t="s">
        <v>81</v>
      </c>
      <c r="D54" s="31">
        <f>Базовый!H48</f>
        <v>19.36</v>
      </c>
      <c r="E54" s="165">
        <f t="shared" si="2"/>
        <v>1.9105788990825687E-2</v>
      </c>
      <c r="F54" s="288"/>
    </row>
    <row r="55" spans="1:6" outlineLevel="2" x14ac:dyDescent="0.25">
      <c r="A55" s="14" t="s">
        <v>195</v>
      </c>
      <c r="B55" s="51">
        <f>'1.1.'!C59</f>
        <v>2.1139908256880735E-3</v>
      </c>
      <c r="C55" s="100" t="s">
        <v>81</v>
      </c>
      <c r="D55" s="31">
        <f>Базовый!H49</f>
        <v>3101.77</v>
      </c>
      <c r="E55" s="165">
        <f t="shared" si="2"/>
        <v>6.5571133233944954</v>
      </c>
      <c r="F55" s="288"/>
    </row>
    <row r="56" spans="1:6" outlineLevel="2" x14ac:dyDescent="0.25">
      <c r="A56" s="14" t="s">
        <v>196</v>
      </c>
      <c r="B56" s="51">
        <f>'1.1.'!C60</f>
        <v>4.1456422018348621E-4</v>
      </c>
      <c r="C56" s="100" t="s">
        <v>81</v>
      </c>
      <c r="D56" s="31">
        <f>Базовый!H50</f>
        <v>3901.41</v>
      </c>
      <c r="E56" s="165">
        <f t="shared" si="2"/>
        <v>1.617384994266055</v>
      </c>
      <c r="F56" s="288"/>
    </row>
    <row r="57" spans="1:6" outlineLevel="2" x14ac:dyDescent="0.25">
      <c r="A57" s="14" t="s">
        <v>197</v>
      </c>
      <c r="B57" s="51">
        <f>'1.1.'!C61</f>
        <v>0.26470756880733948</v>
      </c>
      <c r="C57" s="100" t="s">
        <v>81</v>
      </c>
      <c r="D57" s="31">
        <f>Базовый!H51</f>
        <v>5.23</v>
      </c>
      <c r="E57" s="165">
        <f t="shared" si="2"/>
        <v>1.3844205848623856</v>
      </c>
      <c r="F57" s="288"/>
    </row>
    <row r="58" spans="1:6" outlineLevel="2" x14ac:dyDescent="0.25">
      <c r="A58" s="14" t="s">
        <v>198</v>
      </c>
      <c r="B58" s="51">
        <f>'1.1.'!C62</f>
        <v>3.4730504587155965E-2</v>
      </c>
      <c r="C58" s="100" t="s">
        <v>81</v>
      </c>
      <c r="D58" s="31">
        <f>Базовый!H52</f>
        <v>5.19</v>
      </c>
      <c r="E58" s="165">
        <f>B58*D58</f>
        <v>0.18025131880733947</v>
      </c>
      <c r="F58" s="288"/>
    </row>
    <row r="59" spans="1:6" s="166" customFormat="1" outlineLevel="1" x14ac:dyDescent="0.25">
      <c r="A59" s="281" t="s">
        <v>33</v>
      </c>
      <c r="B59" s="282"/>
      <c r="C59" s="282"/>
      <c r="D59" s="283"/>
      <c r="E59" s="165">
        <f>E60+E74+E76+E68+E72</f>
        <v>4.8724048623853209</v>
      </c>
      <c r="F59" s="288"/>
    </row>
    <row r="60" spans="1:6" outlineLevel="2" x14ac:dyDescent="0.25">
      <c r="A60" s="58" t="s">
        <v>170</v>
      </c>
      <c r="B60" s="77" t="s">
        <v>1</v>
      </c>
      <c r="C60" s="77" t="s">
        <v>1</v>
      </c>
      <c r="D60" s="77" t="s">
        <v>1</v>
      </c>
      <c r="E60" s="165">
        <f>E61+E62+E63+E64+E65+E67+E66</f>
        <v>2.9885473623853209</v>
      </c>
      <c r="F60" s="288"/>
    </row>
    <row r="61" spans="1:6" ht="26.4" outlineLevel="3" x14ac:dyDescent="0.25">
      <c r="A61" s="64" t="s">
        <v>178</v>
      </c>
      <c r="B61" s="167">
        <f>'1.1.'!C65</f>
        <v>6.8807339449541291E-5</v>
      </c>
      <c r="C61" s="100" t="s">
        <v>81</v>
      </c>
      <c r="D61" s="31">
        <f>Базовый!H55</f>
        <v>3977.3599999999997</v>
      </c>
      <c r="E61" s="165">
        <f>B61*D61</f>
        <v>0.27367155963302753</v>
      </c>
      <c r="F61" s="288"/>
    </row>
    <row r="62" spans="1:6" ht="30" customHeight="1" outlineLevel="3" x14ac:dyDescent="0.25">
      <c r="A62" s="64" t="s">
        <v>176</v>
      </c>
      <c r="B62" s="167">
        <f>'1.1.'!C66</f>
        <v>6.8807339449541291E-5</v>
      </c>
      <c r="C62" s="100" t="s">
        <v>81</v>
      </c>
      <c r="D62" s="31">
        <f>Базовый!H56</f>
        <v>6900</v>
      </c>
      <c r="E62" s="165">
        <f t="shared" ref="E62:E67" si="3">B62*D62</f>
        <v>0.4747706422018349</v>
      </c>
      <c r="F62" s="288"/>
    </row>
    <row r="63" spans="1:6" ht="39.6" outlineLevel="3" x14ac:dyDescent="0.25">
      <c r="A63" s="64" t="s">
        <v>180</v>
      </c>
      <c r="B63" s="167">
        <f>'1.1.'!C67</f>
        <v>6.8807339449541291E-5</v>
      </c>
      <c r="C63" s="100" t="s">
        <v>81</v>
      </c>
      <c r="D63" s="31">
        <f>Базовый!H57</f>
        <v>10819.814999999999</v>
      </c>
      <c r="E63" s="165">
        <f t="shared" si="3"/>
        <v>0.74448268348623847</v>
      </c>
      <c r="F63" s="288"/>
    </row>
    <row r="64" spans="1:6" ht="26.4" outlineLevel="3" x14ac:dyDescent="0.25">
      <c r="A64" s="64" t="s">
        <v>179</v>
      </c>
      <c r="B64" s="167">
        <f>'1.1.'!C68</f>
        <v>6.8807339449541291E-5</v>
      </c>
      <c r="C64" s="100" t="s">
        <v>81</v>
      </c>
      <c r="D64" s="31">
        <f>Базовый!H58</f>
        <v>4700</v>
      </c>
      <c r="E64" s="165">
        <f t="shared" si="3"/>
        <v>0.32339449541284404</v>
      </c>
      <c r="F64" s="288"/>
    </row>
    <row r="65" spans="1:6" outlineLevel="3" x14ac:dyDescent="0.25">
      <c r="A65" s="64" t="s">
        <v>181</v>
      </c>
      <c r="B65" s="167">
        <f>'1.1.'!C69</f>
        <v>6.8807339449541291E-5</v>
      </c>
      <c r="C65" s="100" t="s">
        <v>81</v>
      </c>
      <c r="D65" s="31">
        <f>Базовый!H59</f>
        <v>5536.38</v>
      </c>
      <c r="E65" s="165">
        <f t="shared" si="3"/>
        <v>0.3809435779816514</v>
      </c>
      <c r="F65" s="288"/>
    </row>
    <row r="66" spans="1:6" outlineLevel="3" x14ac:dyDescent="0.25">
      <c r="A66" s="64" t="s">
        <v>182</v>
      </c>
      <c r="B66" s="167">
        <f>'1.1.'!C70</f>
        <v>6.8807339449541291E-5</v>
      </c>
      <c r="C66" s="100" t="s">
        <v>81</v>
      </c>
      <c r="D66" s="31">
        <f>Базовый!H60</f>
        <v>8900</v>
      </c>
      <c r="E66" s="165">
        <f t="shared" si="3"/>
        <v>0.61238532110091748</v>
      </c>
      <c r="F66" s="288"/>
    </row>
    <row r="67" spans="1:6" ht="39.6" outlineLevel="3" x14ac:dyDescent="0.25">
      <c r="A67" s="64" t="s">
        <v>177</v>
      </c>
      <c r="B67" s="167">
        <f>'1.1.'!C71</f>
        <v>6.8807339449541291E-5</v>
      </c>
      <c r="C67" s="100" t="s">
        <v>81</v>
      </c>
      <c r="D67" s="31">
        <f>Базовый!H61</f>
        <v>2600</v>
      </c>
      <c r="E67" s="165">
        <f t="shared" si="3"/>
        <v>0.17889908256880735</v>
      </c>
      <c r="F67" s="288"/>
    </row>
    <row r="68" spans="1:6" ht="26.4" outlineLevel="2" x14ac:dyDescent="0.25">
      <c r="A68" s="65" t="s">
        <v>260</v>
      </c>
      <c r="B68" s="77" t="s">
        <v>1</v>
      </c>
      <c r="C68" s="77" t="s">
        <v>1</v>
      </c>
      <c r="D68" s="77" t="s">
        <v>1</v>
      </c>
      <c r="E68" s="102">
        <f>E69+E70+E71</f>
        <v>1.5684948853211009</v>
      </c>
      <c r="F68" s="288"/>
    </row>
    <row r="69" spans="1:6" ht="26.4" outlineLevel="3" x14ac:dyDescent="0.25">
      <c r="A69" s="64" t="s">
        <v>261</v>
      </c>
      <c r="B69" s="167">
        <f>'1.1.'!C73</f>
        <v>1.2743119266055043E-2</v>
      </c>
      <c r="C69" s="201" t="s">
        <v>81</v>
      </c>
      <c r="D69" s="31">
        <f>Базовый!H63</f>
        <v>23.8</v>
      </c>
      <c r="E69" s="165">
        <f>B69*D69</f>
        <v>0.30328623853211006</v>
      </c>
      <c r="F69" s="288"/>
    </row>
    <row r="70" spans="1:6" ht="26.4" outlineLevel="3" x14ac:dyDescent="0.25">
      <c r="A70" s="64" t="s">
        <v>262</v>
      </c>
      <c r="B70" s="167">
        <f>'1.1.'!C74</f>
        <v>4.2268348623853209E-2</v>
      </c>
      <c r="C70" s="201" t="s">
        <v>81</v>
      </c>
      <c r="D70" s="31">
        <f>Базовый!H64</f>
        <v>20.23</v>
      </c>
      <c r="E70" s="165">
        <f>B70*D70</f>
        <v>0.85508869266055043</v>
      </c>
      <c r="F70" s="288"/>
    </row>
    <row r="71" spans="1:6" ht="26.4" outlineLevel="3" x14ac:dyDescent="0.25">
      <c r="A71" s="64" t="s">
        <v>263</v>
      </c>
      <c r="B71" s="167">
        <f>'1.1.'!C75</f>
        <v>1.9850917431192661E-2</v>
      </c>
      <c r="C71" s="201" t="s">
        <v>81</v>
      </c>
      <c r="D71" s="31">
        <f>Базовый!H65</f>
        <v>20.66</v>
      </c>
      <c r="E71" s="165">
        <f>B71*D71</f>
        <v>0.41011995412844038</v>
      </c>
      <c r="F71" s="288"/>
    </row>
    <row r="72" spans="1:6" outlineLevel="2" x14ac:dyDescent="0.25">
      <c r="A72" s="65" t="s">
        <v>264</v>
      </c>
      <c r="B72" s="77" t="s">
        <v>1</v>
      </c>
      <c r="C72" s="77" t="s">
        <v>1</v>
      </c>
      <c r="D72" s="77" t="s">
        <v>1</v>
      </c>
      <c r="E72" s="102">
        <f>E73</f>
        <v>3.9564220183486244E-2</v>
      </c>
      <c r="F72" s="288"/>
    </row>
    <row r="73" spans="1:6" outlineLevel="3" x14ac:dyDescent="0.25">
      <c r="A73" s="64" t="s">
        <v>264</v>
      </c>
      <c r="B73" s="167">
        <f>'1.1.'!C77</f>
        <v>6.8807339449541291E-5</v>
      </c>
      <c r="C73" s="201" t="s">
        <v>81</v>
      </c>
      <c r="D73" s="31">
        <f>Базовый!H67</f>
        <v>575</v>
      </c>
      <c r="E73" s="165">
        <f>B73*D73</f>
        <v>3.9564220183486244E-2</v>
      </c>
      <c r="F73" s="288"/>
    </row>
    <row r="74" spans="1:6" outlineLevel="2" x14ac:dyDescent="0.25">
      <c r="A74" s="16" t="s">
        <v>107</v>
      </c>
      <c r="B74" s="77" t="s">
        <v>1</v>
      </c>
      <c r="C74" s="77" t="s">
        <v>1</v>
      </c>
      <c r="D74" s="77" t="s">
        <v>1</v>
      </c>
      <c r="E74" s="102">
        <f>E75</f>
        <v>0.20157110091743119</v>
      </c>
      <c r="F74" s="288"/>
    </row>
    <row r="75" spans="1:6" ht="26.4" outlineLevel="3" x14ac:dyDescent="0.25">
      <c r="A75" s="14" t="s">
        <v>169</v>
      </c>
      <c r="B75" s="55">
        <f>'1.1.'!C79</f>
        <v>3.0963302752293578E-4</v>
      </c>
      <c r="C75" s="100"/>
      <c r="D75" s="31">
        <f>Базовый!H69</f>
        <v>651</v>
      </c>
      <c r="E75" s="165">
        <f>B75*D75</f>
        <v>0.20157110091743119</v>
      </c>
      <c r="F75" s="288"/>
    </row>
    <row r="76" spans="1:6" ht="26.4" outlineLevel="2" x14ac:dyDescent="0.25">
      <c r="A76" s="66" t="s">
        <v>105</v>
      </c>
      <c r="B76" s="77" t="s">
        <v>1</v>
      </c>
      <c r="C76" s="77" t="s">
        <v>1</v>
      </c>
      <c r="D76" s="77" t="s">
        <v>1</v>
      </c>
      <c r="E76" s="102">
        <f>E77</f>
        <v>7.4227293577981635E-2</v>
      </c>
      <c r="F76" s="288"/>
    </row>
    <row r="77" spans="1:6" outlineLevel="3" x14ac:dyDescent="0.25">
      <c r="A77" s="64" t="s">
        <v>171</v>
      </c>
      <c r="B77" s="55">
        <f>'1.1.'!C81</f>
        <v>4.498623853211009E-2</v>
      </c>
      <c r="C77" s="100" t="s">
        <v>81</v>
      </c>
      <c r="D77" s="31">
        <f>Базовый!H71</f>
        <v>1.6499999999999997</v>
      </c>
      <c r="E77" s="165">
        <f>B77*D77</f>
        <v>7.4227293577981635E-2</v>
      </c>
      <c r="F77" s="288"/>
    </row>
    <row r="78" spans="1:6" outlineLevel="1" x14ac:dyDescent="0.25">
      <c r="A78" s="281" t="s">
        <v>34</v>
      </c>
      <c r="B78" s="282"/>
      <c r="C78" s="282"/>
      <c r="D78" s="283"/>
      <c r="E78" s="165"/>
      <c r="F78" s="288"/>
    </row>
    <row r="79" spans="1:6" ht="16.5" customHeight="1" outlineLevel="2" x14ac:dyDescent="0.25">
      <c r="A79" s="21"/>
      <c r="B79" s="15"/>
      <c r="C79" s="28"/>
      <c r="D79" s="160"/>
      <c r="E79" s="165"/>
      <c r="F79" s="288"/>
    </row>
    <row r="80" spans="1:6" s="24" customFormat="1" outlineLevel="1" x14ac:dyDescent="0.25">
      <c r="A80" s="281" t="s">
        <v>35</v>
      </c>
      <c r="B80" s="282"/>
      <c r="C80" s="282"/>
      <c r="D80" s="283"/>
      <c r="E80" s="47">
        <f>E81+E82+E83+E84+E85</f>
        <v>1.2136369266055047</v>
      </c>
      <c r="F80" s="288"/>
    </row>
    <row r="81" spans="1:6" outlineLevel="2" x14ac:dyDescent="0.25">
      <c r="A81" s="197" t="s">
        <v>255</v>
      </c>
      <c r="B81" s="200">
        <f>'1.1.'!C85</f>
        <v>6.8807339449541291E-5</v>
      </c>
      <c r="C81" s="201" t="s">
        <v>81</v>
      </c>
      <c r="D81" s="202">
        <f>Базовый!H75</f>
        <v>5514.21</v>
      </c>
      <c r="E81" s="165">
        <f>B81*D81</f>
        <v>0.37941811926605506</v>
      </c>
      <c r="F81" s="288"/>
    </row>
    <row r="82" spans="1:6" outlineLevel="2" x14ac:dyDescent="0.25">
      <c r="A82" s="197" t="s">
        <v>256</v>
      </c>
      <c r="B82" s="200">
        <f>'1.1.'!C86</f>
        <v>6.8807339449541291E-5</v>
      </c>
      <c r="C82" s="201" t="s">
        <v>81</v>
      </c>
      <c r="D82" s="202">
        <f>Базовый!H76</f>
        <v>536.97</v>
      </c>
      <c r="E82" s="165">
        <f>B82*D82</f>
        <v>3.6947477064220191E-2</v>
      </c>
      <c r="F82" s="288"/>
    </row>
    <row r="83" spans="1:6" outlineLevel="2" x14ac:dyDescent="0.25">
      <c r="A83" s="197" t="s">
        <v>257</v>
      </c>
      <c r="B83" s="200">
        <f>'1.1.'!C87</f>
        <v>6.8807339449541291E-5</v>
      </c>
      <c r="C83" s="201" t="s">
        <v>81</v>
      </c>
      <c r="D83" s="202">
        <f>Базовый!H77</f>
        <v>2360</v>
      </c>
      <c r="E83" s="165">
        <f>B83*D83</f>
        <v>0.16238532110091744</v>
      </c>
      <c r="F83" s="288"/>
    </row>
    <row r="84" spans="1:6" outlineLevel="2" x14ac:dyDescent="0.25">
      <c r="A84" s="197" t="s">
        <v>258</v>
      </c>
      <c r="B84" s="200">
        <f>'1.1.'!C88</f>
        <v>6.8807339449541291E-5</v>
      </c>
      <c r="C84" s="201" t="s">
        <v>81</v>
      </c>
      <c r="D84" s="202">
        <f>Базовый!H78</f>
        <v>8778.61</v>
      </c>
      <c r="E84" s="165">
        <f>B84*D84</f>
        <v>0.60403279816513766</v>
      </c>
      <c r="F84" s="288"/>
    </row>
    <row r="85" spans="1:6" outlineLevel="2" x14ac:dyDescent="0.25">
      <c r="A85" s="64" t="s">
        <v>259</v>
      </c>
      <c r="B85" s="200">
        <f>'1.1.'!C89</f>
        <v>6.8807339449541291E-5</v>
      </c>
      <c r="C85" s="201" t="s">
        <v>81</v>
      </c>
      <c r="D85" s="202">
        <f>Базовый!H79</f>
        <v>448.4</v>
      </c>
      <c r="E85" s="165">
        <f>B85*D85</f>
        <v>3.0853211009174313E-2</v>
      </c>
      <c r="F85" s="288"/>
    </row>
    <row r="86" spans="1:6" outlineLevel="1" x14ac:dyDescent="0.25">
      <c r="A86" s="281" t="s">
        <v>36</v>
      </c>
      <c r="B86" s="282"/>
      <c r="C86" s="282"/>
      <c r="D86" s="283"/>
      <c r="E86" s="165"/>
      <c r="F86" s="288"/>
    </row>
    <row r="87" spans="1:6" ht="16.95" customHeight="1" outlineLevel="2" x14ac:dyDescent="0.25">
      <c r="A87" s="21"/>
      <c r="B87" s="21"/>
      <c r="C87" s="21"/>
      <c r="D87" s="21"/>
      <c r="E87" s="165"/>
      <c r="F87" s="288"/>
    </row>
    <row r="88" spans="1:6" s="24" customFormat="1" outlineLevel="1" x14ac:dyDescent="0.25">
      <c r="A88" s="281" t="s">
        <v>37</v>
      </c>
      <c r="B88" s="282"/>
      <c r="C88" s="282"/>
      <c r="D88" s="283"/>
      <c r="E88" s="165">
        <f>E89+E90</f>
        <v>23.445825688073395</v>
      </c>
      <c r="F88" s="288"/>
    </row>
    <row r="89" spans="1:6" ht="13.95" customHeight="1" outlineLevel="2" x14ac:dyDescent="0.25">
      <c r="A89" s="59" t="s">
        <v>205</v>
      </c>
      <c r="B89" s="164">
        <f>'1.1.'!C93</f>
        <v>5.1605504587155965E-5</v>
      </c>
      <c r="C89" s="101" t="s">
        <v>81</v>
      </c>
      <c r="D89" s="31">
        <f>Базовый!H83</f>
        <v>225692.22222222222</v>
      </c>
      <c r="E89" s="165">
        <f>B89*D89</f>
        <v>11.646961009174312</v>
      </c>
      <c r="F89" s="288"/>
    </row>
    <row r="90" spans="1:6" ht="26.4" outlineLevel="2" x14ac:dyDescent="0.25">
      <c r="A90" s="59" t="s">
        <v>208</v>
      </c>
      <c r="B90" s="164">
        <f>'1.1.'!C94</f>
        <v>1.8922018348623853E-4</v>
      </c>
      <c r="C90" s="101" t="s">
        <v>81</v>
      </c>
      <c r="D90" s="31">
        <f>Базовый!H86</f>
        <v>62355.21212121212</v>
      </c>
      <c r="E90" s="165">
        <f>B90*D90</f>
        <v>11.798864678899083</v>
      </c>
      <c r="F90" s="288"/>
    </row>
    <row r="91" spans="1:6" ht="18" customHeight="1" outlineLevel="1" x14ac:dyDescent="0.25">
      <c r="A91" s="281" t="s">
        <v>38</v>
      </c>
      <c r="B91" s="282"/>
      <c r="C91" s="282"/>
      <c r="D91" s="283"/>
      <c r="E91" s="165">
        <f>E92+E96+E99</f>
        <v>0.36678134556574926</v>
      </c>
      <c r="F91" s="288"/>
    </row>
    <row r="92" spans="1:6" outlineLevel="2" x14ac:dyDescent="0.25">
      <c r="A92" s="68" t="s">
        <v>150</v>
      </c>
      <c r="B92" s="77" t="s">
        <v>1</v>
      </c>
      <c r="C92" s="77" t="s">
        <v>1</v>
      </c>
      <c r="D92" s="77" t="s">
        <v>1</v>
      </c>
      <c r="E92" s="102">
        <f>E93+E94+E95</f>
        <v>0.14115061162079512</v>
      </c>
      <c r="F92" s="288"/>
    </row>
    <row r="93" spans="1:6" ht="26.4" outlineLevel="3" x14ac:dyDescent="0.25">
      <c r="A93" s="64" t="s">
        <v>172</v>
      </c>
      <c r="B93" s="167">
        <f>'1.1.'!C97</f>
        <v>5.7339449541284403E-6</v>
      </c>
      <c r="C93" s="99" t="s">
        <v>81</v>
      </c>
      <c r="D93" s="31">
        <f>Базовый!H91</f>
        <v>15200</v>
      </c>
      <c r="E93" s="31">
        <f>B93*D93</f>
        <v>8.7155963302752298E-2</v>
      </c>
      <c r="F93" s="288"/>
    </row>
    <row r="94" spans="1:6" outlineLevel="3" x14ac:dyDescent="0.25">
      <c r="A94" s="64" t="s">
        <v>174</v>
      </c>
      <c r="B94" s="167">
        <f>'1.1.'!C98</f>
        <v>5.7339449541284403E-6</v>
      </c>
      <c r="C94" s="99" t="s">
        <v>81</v>
      </c>
      <c r="D94" s="31">
        <f>Базовый!H92</f>
        <v>4950</v>
      </c>
      <c r="E94" s="31">
        <f>B94*D94</f>
        <v>2.838302752293578E-2</v>
      </c>
      <c r="F94" s="288"/>
    </row>
    <row r="95" spans="1:6" outlineLevel="3" x14ac:dyDescent="0.25">
      <c r="A95" s="64" t="s">
        <v>173</v>
      </c>
      <c r="B95" s="167">
        <f>'1.1.'!C99</f>
        <v>1.1467889908256881E-5</v>
      </c>
      <c r="C95" s="99" t="s">
        <v>81</v>
      </c>
      <c r="D95" s="31">
        <f>Базовый!H93</f>
        <v>2233.3333333333335</v>
      </c>
      <c r="E95" s="31">
        <f>B95*D95</f>
        <v>2.5611620795107034E-2</v>
      </c>
      <c r="F95" s="288"/>
    </row>
    <row r="96" spans="1:6" outlineLevel="2" x14ac:dyDescent="0.25">
      <c r="A96" s="58" t="s">
        <v>116</v>
      </c>
      <c r="B96" s="77" t="s">
        <v>1</v>
      </c>
      <c r="C96" s="77" t="s">
        <v>1</v>
      </c>
      <c r="D96" s="77" t="s">
        <v>1</v>
      </c>
      <c r="E96" s="102">
        <f>E97+E98</f>
        <v>0.22563073394495414</v>
      </c>
      <c r="F96" s="288"/>
    </row>
    <row r="97" spans="1:9" ht="26.4" outlineLevel="3" x14ac:dyDescent="0.25">
      <c r="A97" s="162" t="s">
        <v>168</v>
      </c>
      <c r="B97" s="79">
        <f>'1.1.'!C101</f>
        <v>4.1284403669724772E-4</v>
      </c>
      <c r="C97" s="99" t="s">
        <v>81</v>
      </c>
      <c r="D97" s="31">
        <f>Базовый!H95</f>
        <v>500</v>
      </c>
      <c r="E97" s="31">
        <f>B97*D97</f>
        <v>0.20642201834862386</v>
      </c>
      <c r="F97" s="288"/>
    </row>
    <row r="98" spans="1:9" ht="26.4" outlineLevel="3" x14ac:dyDescent="0.25">
      <c r="A98" s="162" t="s">
        <v>167</v>
      </c>
      <c r="B98" s="167">
        <f>'1.1.'!C102</f>
        <v>5.7339449541284403E-6</v>
      </c>
      <c r="C98" s="99" t="s">
        <v>81</v>
      </c>
      <c r="D98" s="31">
        <f>Базовый!H96</f>
        <v>3350</v>
      </c>
      <c r="E98" s="31">
        <f>B98*D98</f>
        <v>1.9208715596330275E-2</v>
      </c>
      <c r="F98" s="288"/>
    </row>
    <row r="99" spans="1:9" outlineLevel="2" x14ac:dyDescent="0.25">
      <c r="A99" s="16" t="s">
        <v>190</v>
      </c>
      <c r="B99" s="77" t="s">
        <v>1</v>
      </c>
      <c r="C99" s="77" t="s">
        <v>1</v>
      </c>
      <c r="D99" s="77" t="s">
        <v>1</v>
      </c>
      <c r="E99" s="102">
        <f>E100</f>
        <v>0</v>
      </c>
      <c r="F99" s="288"/>
      <c r="G99" s="168"/>
      <c r="H99" s="168"/>
      <c r="I99" s="168"/>
    </row>
    <row r="100" spans="1:9" outlineLevel="3" x14ac:dyDescent="0.25">
      <c r="A100" s="162"/>
      <c r="B100" s="167"/>
      <c r="C100" s="99" t="s">
        <v>81</v>
      </c>
      <c r="D100" s="31"/>
      <c r="E100" s="31">
        <f>B100*D100</f>
        <v>0</v>
      </c>
      <c r="F100" s="288"/>
    </row>
    <row r="101" spans="1:9" x14ac:dyDescent="0.25">
      <c r="A101" s="263" t="s">
        <v>49</v>
      </c>
      <c r="B101" s="263"/>
      <c r="C101" s="263"/>
      <c r="D101" s="263"/>
      <c r="E101" s="33">
        <f>E11+E49</f>
        <v>143.31527651357032</v>
      </c>
      <c r="F101" s="21"/>
    </row>
  </sheetData>
  <mergeCells count="18">
    <mergeCell ref="A101:D101"/>
    <mergeCell ref="A78:D78"/>
    <mergeCell ref="A80:D80"/>
    <mergeCell ref="A86:D86"/>
    <mergeCell ref="A88:D88"/>
    <mergeCell ref="A91:D91"/>
    <mergeCell ref="A50:D50"/>
    <mergeCell ref="A59:D59"/>
    <mergeCell ref="A4:F4"/>
    <mergeCell ref="A5:F5"/>
    <mergeCell ref="A9:F9"/>
    <mergeCell ref="A10:F10"/>
    <mergeCell ref="A11:D11"/>
    <mergeCell ref="F11:F100"/>
    <mergeCell ref="A12:D12"/>
    <mergeCell ref="A14:D14"/>
    <mergeCell ref="A27:D27"/>
    <mergeCell ref="A49:D49"/>
  </mergeCells>
  <phoneticPr fontId="16" type="noConversion"/>
  <pageMargins left="1.2598425196850394" right="0.70866141732283472" top="0.74803149606299213" bottom="0.74803149606299213" header="0.31496062992125984" footer="0.31496062992125984"/>
  <pageSetup paperSize="9" scale="77" fitToHeight="0" orientation="landscape" r:id="rId1"/>
  <rowBreaks count="3" manualBreakCount="3">
    <brk id="36" max="5" man="1"/>
    <brk id="58" max="5" man="1"/>
    <brk id="87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outlinePr summaryBelow="0" summaryRight="0"/>
    <pageSetUpPr fitToPage="1"/>
  </sheetPr>
  <dimension ref="A1:D40"/>
  <sheetViews>
    <sheetView view="pageBreakPreview" zoomScale="85" zoomScaleSheetLayoutView="85" workbookViewId="0">
      <selection activeCell="D2" sqref="D2"/>
    </sheetView>
  </sheetViews>
  <sheetFormatPr defaultColWidth="8.88671875" defaultRowHeight="13.2" outlineLevelRow="1" x14ac:dyDescent="0.25"/>
  <cols>
    <col min="1" max="1" width="35.109375" style="19" bestFit="1" customWidth="1"/>
    <col min="2" max="2" width="28.88671875" style="19" customWidth="1"/>
    <col min="3" max="4" width="30.6640625" style="19" customWidth="1"/>
    <col min="5" max="16384" width="8.88671875" style="19"/>
  </cols>
  <sheetData>
    <row r="1" spans="1:4" ht="14.4" customHeight="1" x14ac:dyDescent="0.25">
      <c r="D1" s="172" t="s">
        <v>297</v>
      </c>
    </row>
    <row r="2" spans="1:4" ht="52.2" customHeight="1" x14ac:dyDescent="0.25">
      <c r="D2" s="173" t="s">
        <v>290</v>
      </c>
    </row>
    <row r="4" spans="1:4" ht="13.8" x14ac:dyDescent="0.25">
      <c r="A4" s="294" t="s">
        <v>17</v>
      </c>
      <c r="B4" s="294"/>
      <c r="C4" s="294"/>
      <c r="D4" s="294"/>
    </row>
    <row r="5" spans="1:4" ht="13.8" x14ac:dyDescent="0.25">
      <c r="A5" s="294" t="s">
        <v>118</v>
      </c>
      <c r="B5" s="294"/>
      <c r="C5" s="294"/>
      <c r="D5" s="294"/>
    </row>
    <row r="6" spans="1:4" ht="13.8" x14ac:dyDescent="0.25">
      <c r="A6" s="294" t="s">
        <v>119</v>
      </c>
      <c r="B6" s="294"/>
      <c r="C6" s="294"/>
      <c r="D6" s="294"/>
    </row>
    <row r="7" spans="1:4" x14ac:dyDescent="0.25">
      <c r="A7" s="8"/>
    </row>
    <row r="8" spans="1:4" ht="16.5" customHeight="1" x14ac:dyDescent="0.25">
      <c r="A8" s="20" t="s">
        <v>21</v>
      </c>
      <c r="B8" s="20" t="s">
        <v>22</v>
      </c>
      <c r="C8" s="20" t="s">
        <v>23</v>
      </c>
      <c r="D8" s="20" t="s">
        <v>24</v>
      </c>
    </row>
    <row r="9" spans="1:4" x14ac:dyDescent="0.25">
      <c r="A9" s="20">
        <v>1</v>
      </c>
      <c r="B9" s="20">
        <v>2</v>
      </c>
      <c r="C9" s="20">
        <v>3</v>
      </c>
      <c r="D9" s="20">
        <v>4</v>
      </c>
    </row>
    <row r="10" spans="1:4" x14ac:dyDescent="0.25">
      <c r="A10" s="295" t="s">
        <v>215</v>
      </c>
      <c r="B10" s="262"/>
      <c r="C10" s="262"/>
      <c r="D10" s="262"/>
    </row>
    <row r="11" spans="1:4" x14ac:dyDescent="0.25">
      <c r="A11" s="295" t="s">
        <v>272</v>
      </c>
      <c r="B11" s="262"/>
      <c r="C11" s="262"/>
      <c r="D11" s="262"/>
    </row>
    <row r="12" spans="1:4" ht="12.75" customHeight="1" x14ac:dyDescent="0.25">
      <c r="A12" s="255" t="s">
        <v>216</v>
      </c>
      <c r="B12" s="256"/>
      <c r="C12" s="256"/>
      <c r="D12" s="257"/>
    </row>
    <row r="13" spans="1:4" ht="12.75" customHeight="1" outlineLevel="1" x14ac:dyDescent="0.25">
      <c r="A13" s="59" t="s">
        <v>203</v>
      </c>
      <c r="B13" s="53" t="s">
        <v>201</v>
      </c>
      <c r="C13" s="99">
        <f>Базовый!C6/5000</f>
        <v>1.4E-3</v>
      </c>
      <c r="D13" s="292" t="s">
        <v>80</v>
      </c>
    </row>
    <row r="14" spans="1:4" ht="12.75" customHeight="1" outlineLevel="1" x14ac:dyDescent="0.25">
      <c r="A14" s="59"/>
      <c r="B14" s="53"/>
      <c r="C14" s="99"/>
      <c r="D14" s="265"/>
    </row>
    <row r="15" spans="1:4" ht="15.6" customHeight="1" x14ac:dyDescent="0.25">
      <c r="A15" s="255" t="s">
        <v>217</v>
      </c>
      <c r="B15" s="256"/>
      <c r="C15" s="256"/>
      <c r="D15" s="257"/>
    </row>
    <row r="16" spans="1:4" s="24" customFormat="1" ht="12.75" customHeight="1" outlineLevel="1" x14ac:dyDescent="0.25">
      <c r="A16" s="16"/>
      <c r="B16" s="17"/>
      <c r="C16" s="17"/>
      <c r="D16" s="44"/>
    </row>
    <row r="17" spans="1:4" ht="12.75" customHeight="1" x14ac:dyDescent="0.25">
      <c r="A17" s="255" t="s">
        <v>218</v>
      </c>
      <c r="B17" s="256"/>
      <c r="C17" s="256"/>
      <c r="D17" s="257"/>
    </row>
    <row r="18" spans="1:4" s="24" customFormat="1" ht="14.4" customHeight="1" outlineLevel="1" x14ac:dyDescent="0.25">
      <c r="A18" s="16"/>
      <c r="B18" s="77"/>
      <c r="C18" s="23"/>
      <c r="D18" s="44"/>
    </row>
    <row r="19" spans="1:4" x14ac:dyDescent="0.25">
      <c r="A19" s="275" t="s">
        <v>219</v>
      </c>
      <c r="B19" s="276"/>
      <c r="C19" s="276"/>
      <c r="D19" s="277"/>
    </row>
    <row r="20" spans="1:4" ht="13.2" customHeight="1" outlineLevel="1" x14ac:dyDescent="0.25">
      <c r="A20" s="50"/>
      <c r="B20" s="51"/>
      <c r="C20" s="100"/>
      <c r="D20" s="44"/>
    </row>
    <row r="21" spans="1:4" ht="12.75" customHeight="1" x14ac:dyDescent="0.25">
      <c r="A21" s="275" t="s">
        <v>220</v>
      </c>
      <c r="B21" s="276"/>
      <c r="C21" s="276"/>
      <c r="D21" s="277"/>
    </row>
    <row r="22" spans="1:4" ht="13.5" customHeight="1" outlineLevel="1" x14ac:dyDescent="0.25">
      <c r="A22" s="58"/>
      <c r="B22" s="77"/>
      <c r="C22" s="77"/>
      <c r="D22" s="103"/>
    </row>
    <row r="23" spans="1:4" ht="12.75" customHeight="1" x14ac:dyDescent="0.25">
      <c r="A23" s="275" t="s">
        <v>221</v>
      </c>
      <c r="B23" s="276"/>
      <c r="C23" s="276"/>
      <c r="D23" s="277"/>
    </row>
    <row r="24" spans="1:4" ht="12.75" customHeight="1" outlineLevel="1" x14ac:dyDescent="0.25">
      <c r="A24" s="21"/>
      <c r="B24" s="15"/>
      <c r="C24" s="28"/>
      <c r="D24" s="44"/>
    </row>
    <row r="25" spans="1:4" x14ac:dyDescent="0.25">
      <c r="A25" s="275" t="s">
        <v>222</v>
      </c>
      <c r="B25" s="276"/>
      <c r="C25" s="276"/>
      <c r="D25" s="277"/>
    </row>
    <row r="26" spans="1:4" ht="12.6" customHeight="1" outlineLevel="1" x14ac:dyDescent="0.25">
      <c r="A26" s="67"/>
      <c r="B26" s="86"/>
      <c r="C26" s="100"/>
      <c r="D26" s="44"/>
    </row>
    <row r="27" spans="1:4" x14ac:dyDescent="0.25">
      <c r="A27" s="275" t="s">
        <v>223</v>
      </c>
      <c r="B27" s="276"/>
      <c r="C27" s="276"/>
      <c r="D27" s="277"/>
    </row>
    <row r="28" spans="1:4" ht="12.75" customHeight="1" outlineLevel="1" x14ac:dyDescent="0.25">
      <c r="A28" s="21"/>
      <c r="B28" s="21"/>
      <c r="C28" s="21"/>
      <c r="D28" s="21"/>
    </row>
    <row r="29" spans="1:4" ht="12.75" customHeight="1" x14ac:dyDescent="0.25">
      <c r="A29" s="275" t="s">
        <v>224</v>
      </c>
      <c r="B29" s="276"/>
      <c r="C29" s="276"/>
      <c r="D29" s="277"/>
    </row>
    <row r="30" spans="1:4" ht="13.5" customHeight="1" outlineLevel="1" x14ac:dyDescent="0.25">
      <c r="A30" s="59" t="s">
        <v>206</v>
      </c>
      <c r="B30" s="53" t="s">
        <v>201</v>
      </c>
      <c r="C30" s="101">
        <f>Базовый!C84/5000</f>
        <v>5.9999999999999995E-4</v>
      </c>
      <c r="D30" s="292" t="s">
        <v>80</v>
      </c>
    </row>
    <row r="31" spans="1:4" outlineLevel="1" x14ac:dyDescent="0.25">
      <c r="A31" s="59" t="s">
        <v>209</v>
      </c>
      <c r="B31" s="53" t="s">
        <v>201</v>
      </c>
      <c r="C31" s="101">
        <f>Базовый!C87/5000</f>
        <v>2.2000000000000001E-3</v>
      </c>
      <c r="D31" s="265"/>
    </row>
    <row r="32" spans="1:4" ht="13.5" customHeight="1" outlineLevel="1" x14ac:dyDescent="0.25">
      <c r="A32" s="59"/>
      <c r="B32" s="86"/>
      <c r="C32" s="101"/>
      <c r="D32" s="265"/>
    </row>
    <row r="33" spans="1:4" ht="12.75" customHeight="1" x14ac:dyDescent="0.25">
      <c r="A33" s="275" t="s">
        <v>225</v>
      </c>
      <c r="B33" s="276"/>
      <c r="C33" s="276"/>
      <c r="D33" s="277"/>
    </row>
    <row r="34" spans="1:4" s="24" customFormat="1" ht="13.2" customHeight="1" outlineLevel="1" x14ac:dyDescent="0.25">
      <c r="A34" s="68"/>
      <c r="B34" s="77"/>
      <c r="C34" s="18"/>
      <c r="D34" s="104"/>
    </row>
    <row r="35" spans="1:4" ht="37.5" customHeight="1" x14ac:dyDescent="0.25">
      <c r="A35" s="8" t="s">
        <v>39</v>
      </c>
      <c r="B35" s="22"/>
      <c r="C35" s="22"/>
    </row>
    <row r="36" spans="1:4" ht="13.8" x14ac:dyDescent="0.25">
      <c r="A36" s="293" t="s">
        <v>226</v>
      </c>
      <c r="B36" s="293"/>
      <c r="C36" s="293"/>
      <c r="D36" s="293"/>
    </row>
    <row r="37" spans="1:4" ht="44.25" customHeight="1" x14ac:dyDescent="0.25">
      <c r="A37" s="293" t="s">
        <v>227</v>
      </c>
      <c r="B37" s="293"/>
      <c r="C37" s="293"/>
      <c r="D37" s="293"/>
    </row>
    <row r="38" spans="1:4" ht="42.75" customHeight="1" x14ac:dyDescent="0.25">
      <c r="A38" s="293" t="s">
        <v>228</v>
      </c>
      <c r="B38" s="293"/>
      <c r="C38" s="293"/>
      <c r="D38" s="293"/>
    </row>
    <row r="39" spans="1:4" ht="19.95" customHeight="1" x14ac:dyDescent="0.25">
      <c r="A39" s="293" t="s">
        <v>229</v>
      </c>
      <c r="B39" s="293"/>
      <c r="C39" s="293"/>
      <c r="D39" s="293"/>
    </row>
    <row r="40" spans="1:4" ht="13.8" x14ac:dyDescent="0.25">
      <c r="A40" s="293" t="s">
        <v>230</v>
      </c>
      <c r="B40" s="293"/>
      <c r="C40" s="293"/>
      <c r="D40" s="293"/>
    </row>
  </sheetData>
  <mergeCells count="22">
    <mergeCell ref="A21:D21"/>
    <mergeCell ref="A12:D12"/>
    <mergeCell ref="A29:D29"/>
    <mergeCell ref="A17:D17"/>
    <mergeCell ref="A19:D19"/>
    <mergeCell ref="A15:D15"/>
    <mergeCell ref="A25:D25"/>
    <mergeCell ref="A27:D27"/>
    <mergeCell ref="A23:D23"/>
    <mergeCell ref="D13:D14"/>
    <mergeCell ref="A4:D4"/>
    <mergeCell ref="A5:D5"/>
    <mergeCell ref="A6:D6"/>
    <mergeCell ref="A10:D10"/>
    <mergeCell ref="A11:D11"/>
    <mergeCell ref="D30:D32"/>
    <mergeCell ref="A33:D33"/>
    <mergeCell ref="A40:D40"/>
    <mergeCell ref="A36:D36"/>
    <mergeCell ref="A37:D37"/>
    <mergeCell ref="A38:D38"/>
    <mergeCell ref="A39:D39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28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outlinePr summaryBelow="0" summaryRight="0"/>
    <pageSetUpPr fitToPage="1"/>
  </sheetPr>
  <dimension ref="A1:F41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D30" sqref="D30"/>
    </sheetView>
  </sheetViews>
  <sheetFormatPr defaultColWidth="9.109375" defaultRowHeight="13.2" outlineLevelRow="2" x14ac:dyDescent="0.25"/>
  <cols>
    <col min="1" max="1" width="28.6640625" style="19" bestFit="1" customWidth="1"/>
    <col min="2" max="6" width="25.6640625" style="19" customWidth="1"/>
    <col min="7" max="16384" width="9.109375" style="19"/>
  </cols>
  <sheetData>
    <row r="1" spans="1:6" x14ac:dyDescent="0.25">
      <c r="A1" s="34"/>
      <c r="F1" s="174" t="s">
        <v>44</v>
      </c>
    </row>
    <row r="2" spans="1:6" ht="14.4" customHeight="1" x14ac:dyDescent="0.25">
      <c r="A2" s="34"/>
      <c r="F2" s="175" t="s">
        <v>45</v>
      </c>
    </row>
    <row r="3" spans="1:6" x14ac:dyDescent="0.25">
      <c r="A3" s="8"/>
    </row>
    <row r="4" spans="1:6" ht="13.8" x14ac:dyDescent="0.25">
      <c r="A4" s="297" t="s">
        <v>120</v>
      </c>
      <c r="B4" s="297"/>
      <c r="C4" s="297"/>
      <c r="D4" s="297"/>
      <c r="E4" s="297"/>
      <c r="F4" s="297"/>
    </row>
    <row r="5" spans="1:6" x14ac:dyDescent="0.25">
      <c r="A5" s="8"/>
    </row>
    <row r="6" spans="1:6" ht="26.4" x14ac:dyDescent="0.25">
      <c r="A6" s="32" t="s">
        <v>0</v>
      </c>
      <c r="B6" s="32" t="s">
        <v>13</v>
      </c>
      <c r="C6" s="32" t="s">
        <v>14</v>
      </c>
      <c r="D6" s="32" t="s">
        <v>15</v>
      </c>
      <c r="E6" s="32" t="s">
        <v>16</v>
      </c>
      <c r="F6" s="32" t="s">
        <v>48</v>
      </c>
    </row>
    <row r="7" spans="1:6" x14ac:dyDescent="0.25">
      <c r="A7" s="32">
        <v>1</v>
      </c>
      <c r="B7" s="32">
        <v>2</v>
      </c>
      <c r="C7" s="32">
        <v>3</v>
      </c>
      <c r="D7" s="32">
        <v>4</v>
      </c>
      <c r="E7" s="32">
        <v>5</v>
      </c>
      <c r="F7" s="32">
        <v>6</v>
      </c>
    </row>
    <row r="8" spans="1:6" ht="28.95" customHeight="1" x14ac:dyDescent="0.25">
      <c r="A8" s="298" t="s">
        <v>231</v>
      </c>
      <c r="B8" s="284"/>
      <c r="C8" s="284"/>
      <c r="D8" s="284"/>
      <c r="E8" s="284"/>
      <c r="F8" s="284"/>
    </row>
    <row r="9" spans="1:6" ht="16.95" customHeight="1" x14ac:dyDescent="0.25">
      <c r="A9" s="285" t="s">
        <v>273</v>
      </c>
      <c r="B9" s="286"/>
      <c r="C9" s="286"/>
      <c r="D9" s="286"/>
      <c r="E9" s="286"/>
      <c r="F9" s="286"/>
    </row>
    <row r="10" spans="1:6" x14ac:dyDescent="0.25">
      <c r="A10" s="255" t="s">
        <v>216</v>
      </c>
      <c r="B10" s="256"/>
      <c r="C10" s="256"/>
      <c r="D10" s="257"/>
      <c r="E10" s="165">
        <f>SUM(E11:E14)</f>
        <v>780.36905999999988</v>
      </c>
      <c r="F10" s="292" t="s">
        <v>80</v>
      </c>
    </row>
    <row r="11" spans="1:6" ht="12.75" customHeight="1" outlineLevel="1" x14ac:dyDescent="0.25">
      <c r="A11" s="59" t="str">
        <f>'2.1.'!A13</f>
        <v>Основной персонал (Работа №1)</v>
      </c>
      <c r="B11" s="99">
        <f>'2.1.'!C13</f>
        <v>1.4E-3</v>
      </c>
      <c r="C11" s="169" t="s">
        <v>81</v>
      </c>
      <c r="D11" s="45">
        <f>Базовый!H6</f>
        <v>557406.47142857139</v>
      </c>
      <c r="E11" s="72">
        <f>B11*D11</f>
        <v>780.36905999999988</v>
      </c>
      <c r="F11" s="265"/>
    </row>
    <row r="12" spans="1:6" ht="12.75" customHeight="1" outlineLevel="1" x14ac:dyDescent="0.25">
      <c r="A12" s="59"/>
      <c r="B12" s="99"/>
      <c r="C12" s="20"/>
      <c r="D12" s="45"/>
      <c r="E12" s="72"/>
      <c r="F12" s="265"/>
    </row>
    <row r="13" spans="1:6" ht="12.75" customHeight="1" outlineLevel="1" x14ac:dyDescent="0.25">
      <c r="A13" s="59"/>
      <c r="B13" s="99"/>
      <c r="C13" s="20"/>
      <c r="D13" s="45"/>
      <c r="E13" s="72"/>
      <c r="F13" s="265"/>
    </row>
    <row r="14" spans="1:6" ht="12.75" customHeight="1" outlineLevel="1" x14ac:dyDescent="0.25">
      <c r="A14" s="59"/>
      <c r="B14" s="99"/>
      <c r="C14" s="20"/>
      <c r="D14" s="45"/>
      <c r="E14" s="72"/>
      <c r="F14" s="265"/>
    </row>
    <row r="15" spans="1:6" x14ac:dyDescent="0.25">
      <c r="A15" s="255" t="s">
        <v>217</v>
      </c>
      <c r="B15" s="256"/>
      <c r="C15" s="256"/>
      <c r="D15" s="257"/>
      <c r="E15" s="165">
        <f>E16</f>
        <v>0</v>
      </c>
      <c r="F15" s="265"/>
    </row>
    <row r="16" spans="1:6" s="35" customFormat="1" ht="12.75" customHeight="1" outlineLevel="1" x14ac:dyDescent="0.25">
      <c r="A16" s="16"/>
      <c r="B16" s="17"/>
      <c r="C16" s="17"/>
      <c r="D16" s="17"/>
      <c r="E16" s="72"/>
      <c r="F16" s="265"/>
    </row>
    <row r="17" spans="1:6" ht="15" customHeight="1" x14ac:dyDescent="0.25">
      <c r="A17" s="255" t="s">
        <v>218</v>
      </c>
      <c r="B17" s="256"/>
      <c r="C17" s="256"/>
      <c r="D17" s="257"/>
      <c r="E17" s="165">
        <f>E18</f>
        <v>0</v>
      </c>
      <c r="F17" s="265"/>
    </row>
    <row r="18" spans="1:6" s="24" customFormat="1" ht="14.4" customHeight="1" outlineLevel="1" x14ac:dyDescent="0.25">
      <c r="A18" s="16"/>
      <c r="B18" s="18"/>
      <c r="C18" s="18"/>
      <c r="D18" s="33"/>
      <c r="E18" s="46"/>
      <c r="F18" s="265"/>
    </row>
    <row r="19" spans="1:6" x14ac:dyDescent="0.25">
      <c r="A19" s="255" t="s">
        <v>219</v>
      </c>
      <c r="B19" s="256"/>
      <c r="C19" s="256"/>
      <c r="D19" s="257"/>
      <c r="E19" s="165">
        <f>SUM(E20:E20)</f>
        <v>0</v>
      </c>
      <c r="F19" s="265"/>
    </row>
    <row r="20" spans="1:6" ht="12.75" customHeight="1" outlineLevel="1" x14ac:dyDescent="0.25">
      <c r="A20" s="50"/>
      <c r="B20" s="28"/>
      <c r="C20" s="20"/>
      <c r="D20" s="31"/>
      <c r="E20" s="165"/>
      <c r="F20" s="265"/>
    </row>
    <row r="21" spans="1:6" x14ac:dyDescent="0.25">
      <c r="A21" s="255" t="s">
        <v>220</v>
      </c>
      <c r="B21" s="256"/>
      <c r="C21" s="256"/>
      <c r="D21" s="257"/>
      <c r="E21" s="165">
        <f>E22</f>
        <v>0</v>
      </c>
      <c r="F21" s="265"/>
    </row>
    <row r="22" spans="1:6" ht="12.75" customHeight="1" outlineLevel="2" x14ac:dyDescent="0.25">
      <c r="A22" s="58"/>
      <c r="B22" s="28"/>
      <c r="C22" s="20"/>
      <c r="D22" s="31"/>
      <c r="E22" s="165"/>
      <c r="F22" s="265"/>
    </row>
    <row r="23" spans="1:6" x14ac:dyDescent="0.25">
      <c r="A23" s="255" t="s">
        <v>221</v>
      </c>
      <c r="B23" s="256"/>
      <c r="C23" s="256"/>
      <c r="D23" s="257"/>
      <c r="E23" s="165">
        <f>SUM(E24:E24)</f>
        <v>0</v>
      </c>
      <c r="F23" s="265"/>
    </row>
    <row r="24" spans="1:6" ht="12.75" customHeight="1" outlineLevel="1" x14ac:dyDescent="0.25">
      <c r="A24" s="21"/>
      <c r="B24" s="28"/>
      <c r="C24" s="20"/>
      <c r="D24" s="31"/>
      <c r="E24" s="165"/>
      <c r="F24" s="265"/>
    </row>
    <row r="25" spans="1:6" x14ac:dyDescent="0.25">
      <c r="A25" s="255" t="s">
        <v>222</v>
      </c>
      <c r="B25" s="256"/>
      <c r="C25" s="256"/>
      <c r="D25" s="257"/>
      <c r="E25" s="165">
        <f>SUM(E26:E26)</f>
        <v>0</v>
      </c>
      <c r="F25" s="265"/>
    </row>
    <row r="26" spans="1:6" ht="12.75" customHeight="1" outlineLevel="1" x14ac:dyDescent="0.25">
      <c r="A26" s="67"/>
      <c r="B26" s="100"/>
      <c r="C26" s="20"/>
      <c r="D26" s="25"/>
      <c r="E26" s="165"/>
      <c r="F26" s="265"/>
    </row>
    <row r="27" spans="1:6" x14ac:dyDescent="0.25">
      <c r="A27" s="255" t="s">
        <v>223</v>
      </c>
      <c r="B27" s="256"/>
      <c r="C27" s="256"/>
      <c r="D27" s="257"/>
      <c r="E27" s="165">
        <v>0</v>
      </c>
      <c r="F27" s="265"/>
    </row>
    <row r="28" spans="1:6" ht="12.75" customHeight="1" outlineLevel="1" x14ac:dyDescent="0.25">
      <c r="A28" s="21"/>
      <c r="B28" s="21"/>
      <c r="C28" s="21"/>
      <c r="D28" s="21"/>
      <c r="E28" s="170"/>
      <c r="F28" s="265"/>
    </row>
    <row r="29" spans="1:6" x14ac:dyDescent="0.25">
      <c r="A29" s="255" t="s">
        <v>232</v>
      </c>
      <c r="B29" s="256"/>
      <c r="C29" s="256"/>
      <c r="D29" s="257"/>
      <c r="E29" s="165">
        <f>SUM(E30:E33)</f>
        <v>191.17179999999999</v>
      </c>
      <c r="F29" s="265"/>
    </row>
    <row r="30" spans="1:6" ht="12.75" customHeight="1" outlineLevel="1" x14ac:dyDescent="0.25">
      <c r="A30" s="59" t="str">
        <f>'2.1.'!A30</f>
        <v>АУП (Работа №1)</v>
      </c>
      <c r="B30" s="100">
        <f>'2.1.'!C30</f>
        <v>5.9999999999999995E-4</v>
      </c>
      <c r="C30" s="47" t="s">
        <v>81</v>
      </c>
      <c r="D30" s="47">
        <f>Базовый!H84</f>
        <v>158277.66666666666</v>
      </c>
      <c r="E30" s="165">
        <f>B30*D30</f>
        <v>94.966599999999985</v>
      </c>
      <c r="F30" s="265"/>
    </row>
    <row r="31" spans="1:6" ht="25.5" customHeight="1" outlineLevel="1" x14ac:dyDescent="0.25">
      <c r="A31" s="59" t="str">
        <f>'2.1.'!A31</f>
        <v>Обслуживающий персонал  (Работа №1)</v>
      </c>
      <c r="B31" s="100">
        <f>'2.1.'!C31</f>
        <v>2.2000000000000001E-3</v>
      </c>
      <c r="C31" s="47" t="s">
        <v>81</v>
      </c>
      <c r="D31" s="47">
        <f>Базовый!H87</f>
        <v>43729.63636363636</v>
      </c>
      <c r="E31" s="165">
        <f>B31*D31</f>
        <v>96.205200000000005</v>
      </c>
      <c r="F31" s="265"/>
    </row>
    <row r="32" spans="1:6" ht="12.75" customHeight="1" outlineLevel="1" x14ac:dyDescent="0.25">
      <c r="A32" s="59"/>
      <c r="B32" s="100"/>
      <c r="C32" s="47"/>
      <c r="D32" s="47"/>
      <c r="E32" s="165"/>
      <c r="F32" s="265"/>
    </row>
    <row r="33" spans="1:6" ht="12.75" customHeight="1" outlineLevel="1" x14ac:dyDescent="0.25">
      <c r="A33" s="59"/>
      <c r="B33" s="100"/>
      <c r="C33" s="47"/>
      <c r="D33" s="47"/>
      <c r="E33" s="165"/>
      <c r="F33" s="265"/>
    </row>
    <row r="34" spans="1:6" x14ac:dyDescent="0.25">
      <c r="A34" s="255" t="s">
        <v>225</v>
      </c>
      <c r="B34" s="256"/>
      <c r="C34" s="256"/>
      <c r="D34" s="257"/>
      <c r="E34" s="165">
        <f>E35</f>
        <v>0</v>
      </c>
      <c r="F34" s="265"/>
    </row>
    <row r="35" spans="1:6" s="24" customFormat="1" ht="12.75" customHeight="1" outlineLevel="1" x14ac:dyDescent="0.25">
      <c r="A35" s="68"/>
      <c r="B35" s="18"/>
      <c r="C35" s="48"/>
      <c r="D35" s="49"/>
      <c r="E35" s="49"/>
      <c r="F35" s="266"/>
    </row>
    <row r="36" spans="1:6" x14ac:dyDescent="0.25">
      <c r="A36" s="296" t="s">
        <v>233</v>
      </c>
      <c r="B36" s="263"/>
      <c r="C36" s="263"/>
      <c r="D36" s="263"/>
      <c r="E36" s="176">
        <f>E10+E15+E17+E19+E21+E23+E25+E27+E29+E34</f>
        <v>971.54085999999984</v>
      </c>
      <c r="F36" s="21"/>
    </row>
    <row r="40" spans="1:6" x14ac:dyDescent="0.25">
      <c r="E40" s="168"/>
    </row>
    <row r="41" spans="1:6" x14ac:dyDescent="0.25">
      <c r="E41" s="168"/>
    </row>
  </sheetData>
  <mergeCells count="15">
    <mergeCell ref="A36:D36"/>
    <mergeCell ref="A4:F4"/>
    <mergeCell ref="A8:F8"/>
    <mergeCell ref="A9:F9"/>
    <mergeCell ref="F10:F35"/>
    <mergeCell ref="A29:D29"/>
    <mergeCell ref="A34:D34"/>
    <mergeCell ref="A21:D21"/>
    <mergeCell ref="A23:D23"/>
    <mergeCell ref="A25:D25"/>
    <mergeCell ref="A27:D27"/>
    <mergeCell ref="A10:D10"/>
    <mergeCell ref="A15:D15"/>
    <mergeCell ref="A17:D17"/>
    <mergeCell ref="A19:D19"/>
  </mergeCells>
  <phoneticPr fontId="16" type="noConversion"/>
  <pageMargins left="1.2598425196850394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42"/>
  <sheetViews>
    <sheetView view="pageBreakPreview" zoomScale="85" zoomScaleSheetLayoutView="85" workbookViewId="0">
      <selection activeCell="D2" sqref="D2"/>
    </sheetView>
  </sheetViews>
  <sheetFormatPr defaultColWidth="8.88671875" defaultRowHeight="13.2" outlineLevelRow="1" x14ac:dyDescent="0.25"/>
  <cols>
    <col min="1" max="1" width="30.6640625" style="106" customWidth="1"/>
    <col min="2" max="2" width="28.88671875" style="106" customWidth="1"/>
    <col min="3" max="4" width="30.6640625" style="106" customWidth="1"/>
    <col min="5" max="16384" width="8.88671875" style="106"/>
  </cols>
  <sheetData>
    <row r="1" spans="1:4" ht="14.4" customHeight="1" x14ac:dyDescent="0.25">
      <c r="D1" s="172" t="s">
        <v>297</v>
      </c>
    </row>
    <row r="2" spans="1:4" ht="52.2" customHeight="1" x14ac:dyDescent="0.25">
      <c r="D2" s="173" t="s">
        <v>291</v>
      </c>
    </row>
    <row r="4" spans="1:4" ht="13.8" x14ac:dyDescent="0.25">
      <c r="A4" s="309" t="s">
        <v>17</v>
      </c>
      <c r="B4" s="309"/>
      <c r="C4" s="309"/>
      <c r="D4" s="309"/>
    </row>
    <row r="5" spans="1:4" ht="13.8" x14ac:dyDescent="0.25">
      <c r="A5" s="309" t="s">
        <v>118</v>
      </c>
      <c r="B5" s="309"/>
      <c r="C5" s="309"/>
      <c r="D5" s="309"/>
    </row>
    <row r="6" spans="1:4" ht="13.8" x14ac:dyDescent="0.25">
      <c r="A6" s="309" t="s">
        <v>119</v>
      </c>
      <c r="B6" s="309"/>
      <c r="C6" s="309"/>
      <c r="D6" s="309"/>
    </row>
    <row r="7" spans="1:4" x14ac:dyDescent="0.25">
      <c r="A7" s="107"/>
    </row>
    <row r="8" spans="1:4" ht="16.5" customHeight="1" x14ac:dyDescent="0.25">
      <c r="A8" s="108" t="s">
        <v>21</v>
      </c>
      <c r="B8" s="108" t="s">
        <v>22</v>
      </c>
      <c r="C8" s="108" t="s">
        <v>23</v>
      </c>
      <c r="D8" s="108" t="s">
        <v>24</v>
      </c>
    </row>
    <row r="9" spans="1:4" x14ac:dyDescent="0.25">
      <c r="A9" s="108">
        <v>1</v>
      </c>
      <c r="B9" s="108">
        <v>2</v>
      </c>
      <c r="C9" s="108">
        <v>3</v>
      </c>
      <c r="D9" s="108">
        <v>4</v>
      </c>
    </row>
    <row r="10" spans="1:4" x14ac:dyDescent="0.25">
      <c r="A10" s="308" t="s">
        <v>234</v>
      </c>
      <c r="B10" s="308"/>
      <c r="C10" s="308"/>
      <c r="D10" s="308"/>
    </row>
    <row r="11" spans="1:4" x14ac:dyDescent="0.25">
      <c r="A11" s="308" t="s">
        <v>274</v>
      </c>
      <c r="B11" s="308"/>
      <c r="C11" s="308"/>
      <c r="D11" s="308"/>
    </row>
    <row r="12" spans="1:4" ht="12.75" customHeight="1" x14ac:dyDescent="0.25">
      <c r="A12" s="305" t="s">
        <v>216</v>
      </c>
      <c r="B12" s="306"/>
      <c r="C12" s="306"/>
      <c r="D12" s="307"/>
    </row>
    <row r="13" spans="1:4" ht="12.75" customHeight="1" outlineLevel="1" x14ac:dyDescent="0.25">
      <c r="A13" s="59" t="str">
        <f>Базовый!A7</f>
        <v>Основной персонал (Работа №2)</v>
      </c>
      <c r="B13" s="53" t="str">
        <f>Базовый!B7</f>
        <v>штат. ед.</v>
      </c>
      <c r="C13" s="109">
        <f>Базовый!C7/200000</f>
        <v>1.0000000000000001E-5</v>
      </c>
      <c r="D13" s="110"/>
    </row>
    <row r="14" spans="1:4" ht="12.75" customHeight="1" outlineLevel="1" x14ac:dyDescent="0.25">
      <c r="A14" s="59"/>
      <c r="B14" s="53"/>
      <c r="C14" s="109"/>
      <c r="D14" s="110"/>
    </row>
    <row r="15" spans="1:4" ht="12.75" customHeight="1" outlineLevel="1" x14ac:dyDescent="0.25">
      <c r="A15" s="59"/>
      <c r="B15" s="53"/>
      <c r="C15" s="109"/>
      <c r="D15" s="110"/>
    </row>
    <row r="16" spans="1:4" ht="15.6" customHeight="1" x14ac:dyDescent="0.25">
      <c r="A16" s="305" t="s">
        <v>217</v>
      </c>
      <c r="B16" s="306"/>
      <c r="C16" s="306"/>
      <c r="D16" s="307"/>
    </row>
    <row r="17" spans="1:4" s="114" customFormat="1" ht="12.75" customHeight="1" outlineLevel="1" x14ac:dyDescent="0.25">
      <c r="A17" s="111"/>
      <c r="B17" s="112"/>
      <c r="C17" s="112"/>
      <c r="D17" s="113"/>
    </row>
    <row r="18" spans="1:4" x14ac:dyDescent="0.25">
      <c r="A18" s="305" t="s">
        <v>218</v>
      </c>
      <c r="B18" s="306"/>
      <c r="C18" s="306"/>
      <c r="D18" s="307"/>
    </row>
    <row r="19" spans="1:4" s="114" customFormat="1" ht="14.4" customHeight="1" outlineLevel="1" x14ac:dyDescent="0.25">
      <c r="A19" s="111"/>
      <c r="B19" s="115"/>
      <c r="C19" s="116"/>
      <c r="D19" s="113"/>
    </row>
    <row r="20" spans="1:4" x14ac:dyDescent="0.25">
      <c r="A20" s="299" t="s">
        <v>219</v>
      </c>
      <c r="B20" s="300"/>
      <c r="C20" s="300"/>
      <c r="D20" s="301"/>
    </row>
    <row r="21" spans="1:4" ht="13.2" customHeight="1" outlineLevel="1" x14ac:dyDescent="0.25">
      <c r="A21" s="117"/>
      <c r="B21" s="118"/>
      <c r="C21" s="119"/>
      <c r="D21" s="113"/>
    </row>
    <row r="22" spans="1:4" ht="12.75" customHeight="1" x14ac:dyDescent="0.25">
      <c r="A22" s="299" t="s">
        <v>220</v>
      </c>
      <c r="B22" s="300"/>
      <c r="C22" s="300"/>
      <c r="D22" s="301"/>
    </row>
    <row r="23" spans="1:4" ht="13.5" customHeight="1" outlineLevel="1" x14ac:dyDescent="0.25">
      <c r="A23" s="120"/>
      <c r="B23" s="115"/>
      <c r="C23" s="115"/>
      <c r="D23" s="121"/>
    </row>
    <row r="24" spans="1:4" ht="12.75" customHeight="1" x14ac:dyDescent="0.25">
      <c r="A24" s="299" t="s">
        <v>221</v>
      </c>
      <c r="B24" s="300"/>
      <c r="C24" s="300"/>
      <c r="D24" s="301"/>
    </row>
    <row r="25" spans="1:4" ht="12.75" customHeight="1" outlineLevel="1" x14ac:dyDescent="0.25">
      <c r="A25" s="110"/>
      <c r="B25" s="122"/>
      <c r="C25" s="123"/>
      <c r="D25" s="113"/>
    </row>
    <row r="26" spans="1:4" x14ac:dyDescent="0.25">
      <c r="A26" s="299" t="s">
        <v>222</v>
      </c>
      <c r="B26" s="300"/>
      <c r="C26" s="300"/>
      <c r="D26" s="301"/>
    </row>
    <row r="27" spans="1:4" ht="12.6" customHeight="1" outlineLevel="1" x14ac:dyDescent="0.25">
      <c r="A27" s="124"/>
      <c r="B27" s="125"/>
      <c r="C27" s="119"/>
      <c r="D27" s="113"/>
    </row>
    <row r="28" spans="1:4" x14ac:dyDescent="0.25">
      <c r="A28" s="299" t="s">
        <v>223</v>
      </c>
      <c r="B28" s="300"/>
      <c r="C28" s="300"/>
      <c r="D28" s="301"/>
    </row>
    <row r="29" spans="1:4" ht="12.75" customHeight="1" outlineLevel="1" x14ac:dyDescent="0.25">
      <c r="A29" s="110"/>
      <c r="B29" s="110"/>
      <c r="C29" s="110"/>
      <c r="D29" s="110"/>
    </row>
    <row r="30" spans="1:4" ht="12.75" customHeight="1" x14ac:dyDescent="0.25">
      <c r="A30" s="299" t="s">
        <v>224</v>
      </c>
      <c r="B30" s="300"/>
      <c r="C30" s="300"/>
      <c r="D30" s="301"/>
    </row>
    <row r="31" spans="1:4" ht="13.5" customHeight="1" outlineLevel="1" x14ac:dyDescent="0.25">
      <c r="A31" s="59" t="str">
        <f>Базовый!A85</f>
        <v>АУП (Работа №2)</v>
      </c>
      <c r="B31" s="125" t="str">
        <f>Базовый!B85</f>
        <v>штат. ед.</v>
      </c>
      <c r="C31" s="126">
        <f>Базовый!C85/200000</f>
        <v>1.5E-5</v>
      </c>
      <c r="D31" s="302" t="s">
        <v>80</v>
      </c>
    </row>
    <row r="32" spans="1:4" ht="26.4" outlineLevel="1" x14ac:dyDescent="0.25">
      <c r="A32" s="59" t="str">
        <f>Базовый!A88</f>
        <v>Обслуживающий персонал  (Работа №2)</v>
      </c>
      <c r="B32" s="125" t="str">
        <f>Базовый!B88</f>
        <v>штат. ед.</v>
      </c>
      <c r="C32" s="126">
        <f>Базовый!C88/200000</f>
        <v>5.5000000000000002E-5</v>
      </c>
      <c r="D32" s="303"/>
    </row>
    <row r="33" spans="1:4" ht="13.5" customHeight="1" outlineLevel="1" x14ac:dyDescent="0.25">
      <c r="A33" s="59"/>
      <c r="B33" s="125"/>
      <c r="C33" s="126"/>
      <c r="D33" s="303"/>
    </row>
    <row r="34" spans="1:4" ht="12.75" customHeight="1" outlineLevel="1" x14ac:dyDescent="0.25">
      <c r="A34" s="59"/>
      <c r="B34" s="125"/>
      <c r="C34" s="126"/>
      <c r="D34" s="304"/>
    </row>
    <row r="35" spans="1:4" ht="12.75" customHeight="1" x14ac:dyDescent="0.25">
      <c r="A35" s="299" t="s">
        <v>225</v>
      </c>
      <c r="B35" s="300"/>
      <c r="C35" s="300"/>
      <c r="D35" s="301"/>
    </row>
    <row r="36" spans="1:4" s="114" customFormat="1" ht="13.2" customHeight="1" outlineLevel="1" x14ac:dyDescent="0.25">
      <c r="A36" s="127"/>
      <c r="B36" s="115"/>
      <c r="C36" s="128"/>
      <c r="D36" s="129"/>
    </row>
    <row r="37" spans="1:4" ht="37.5" customHeight="1" x14ac:dyDescent="0.25">
      <c r="A37" s="107" t="s">
        <v>39</v>
      </c>
      <c r="B37" s="130"/>
      <c r="C37" s="130"/>
    </row>
    <row r="38" spans="1:4" ht="30.75" customHeight="1" x14ac:dyDescent="0.25">
      <c r="A38" s="293" t="s">
        <v>226</v>
      </c>
      <c r="B38" s="293"/>
      <c r="C38" s="293"/>
      <c r="D38" s="293"/>
    </row>
    <row r="39" spans="1:4" ht="44.25" customHeight="1" x14ac:dyDescent="0.25">
      <c r="A39" s="293" t="s">
        <v>227</v>
      </c>
      <c r="B39" s="293"/>
      <c r="C39" s="293"/>
      <c r="D39" s="293"/>
    </row>
    <row r="40" spans="1:4" ht="42.75" customHeight="1" x14ac:dyDescent="0.25">
      <c r="A40" s="293" t="s">
        <v>228</v>
      </c>
      <c r="B40" s="293"/>
      <c r="C40" s="293"/>
      <c r="D40" s="293"/>
    </row>
    <row r="41" spans="1:4" ht="19.95" customHeight="1" x14ac:dyDescent="0.25">
      <c r="A41" s="293" t="s">
        <v>229</v>
      </c>
      <c r="B41" s="293"/>
      <c r="C41" s="293"/>
      <c r="D41" s="293"/>
    </row>
    <row r="42" spans="1:4" ht="36.6" customHeight="1" x14ac:dyDescent="0.25">
      <c r="A42" s="293" t="s">
        <v>230</v>
      </c>
      <c r="B42" s="293"/>
      <c r="C42" s="293"/>
      <c r="D42" s="293"/>
    </row>
  </sheetData>
  <mergeCells count="21">
    <mergeCell ref="A12:D12"/>
    <mergeCell ref="A11:D11"/>
    <mergeCell ref="A4:D4"/>
    <mergeCell ref="A5:D5"/>
    <mergeCell ref="A6:D6"/>
    <mergeCell ref="A10:D10"/>
    <mergeCell ref="D31:D34"/>
    <mergeCell ref="A28:D28"/>
    <mergeCell ref="A16:D16"/>
    <mergeCell ref="A18:D18"/>
    <mergeCell ref="A22:D22"/>
    <mergeCell ref="A20:D20"/>
    <mergeCell ref="A24:D24"/>
    <mergeCell ref="A26:D26"/>
    <mergeCell ref="A30:D30"/>
    <mergeCell ref="A35:D35"/>
    <mergeCell ref="A42:D42"/>
    <mergeCell ref="A38:D38"/>
    <mergeCell ref="A39:D39"/>
    <mergeCell ref="A40:D40"/>
    <mergeCell ref="A41:D41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  <rowBreaks count="1" manualBreakCount="1">
    <brk id="2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38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D30" sqref="D30"/>
    </sheetView>
  </sheetViews>
  <sheetFormatPr defaultColWidth="9.109375" defaultRowHeight="13.2" outlineLevelRow="1" x14ac:dyDescent="0.25"/>
  <cols>
    <col min="1" max="6" width="25.6640625" style="106" customWidth="1"/>
    <col min="7" max="16384" width="9.109375" style="106"/>
  </cols>
  <sheetData>
    <row r="1" spans="1:6" x14ac:dyDescent="0.25">
      <c r="A1" s="131"/>
      <c r="F1" s="131" t="s">
        <v>44</v>
      </c>
    </row>
    <row r="2" spans="1:6" ht="14.4" customHeight="1" x14ac:dyDescent="0.25">
      <c r="A2" s="131"/>
      <c r="F2" s="193" t="s">
        <v>45</v>
      </c>
    </row>
    <row r="3" spans="1:6" x14ac:dyDescent="0.25">
      <c r="A3" s="107"/>
    </row>
    <row r="4" spans="1:6" ht="13.8" x14ac:dyDescent="0.25">
      <c r="A4" s="309" t="s">
        <v>242</v>
      </c>
      <c r="B4" s="309"/>
      <c r="C4" s="309"/>
      <c r="D4" s="309"/>
      <c r="E4" s="309"/>
      <c r="F4" s="309"/>
    </row>
    <row r="5" spans="1:6" x14ac:dyDescent="0.25">
      <c r="A5" s="107"/>
    </row>
    <row r="6" spans="1:6" ht="26.4" x14ac:dyDescent="0.25">
      <c r="A6" s="132" t="s">
        <v>0</v>
      </c>
      <c r="B6" s="132" t="s">
        <v>13</v>
      </c>
      <c r="C6" s="132" t="s">
        <v>14</v>
      </c>
      <c r="D6" s="132" t="s">
        <v>15</v>
      </c>
      <c r="E6" s="132" t="s">
        <v>16</v>
      </c>
      <c r="F6" s="132" t="s">
        <v>48</v>
      </c>
    </row>
    <row r="7" spans="1:6" x14ac:dyDescent="0.25">
      <c r="A7" s="132">
        <v>1</v>
      </c>
      <c r="B7" s="132">
        <v>2</v>
      </c>
      <c r="C7" s="132">
        <v>3</v>
      </c>
      <c r="D7" s="132">
        <v>4</v>
      </c>
      <c r="E7" s="132">
        <v>5</v>
      </c>
      <c r="F7" s="132">
        <v>6</v>
      </c>
    </row>
    <row r="8" spans="1:6" x14ac:dyDescent="0.25">
      <c r="A8" s="310" t="s">
        <v>235</v>
      </c>
      <c r="B8" s="310"/>
      <c r="C8" s="310"/>
      <c r="D8" s="310"/>
      <c r="E8" s="310"/>
      <c r="F8" s="310"/>
    </row>
    <row r="9" spans="1:6" ht="16.95" customHeight="1" x14ac:dyDescent="0.25">
      <c r="A9" s="311" t="s">
        <v>275</v>
      </c>
      <c r="B9" s="311"/>
      <c r="C9" s="311"/>
      <c r="D9" s="311"/>
      <c r="E9" s="311"/>
      <c r="F9" s="311"/>
    </row>
    <row r="10" spans="1:6" x14ac:dyDescent="0.25">
      <c r="A10" s="305" t="s">
        <v>216</v>
      </c>
      <c r="B10" s="306"/>
      <c r="C10" s="306"/>
      <c r="D10" s="307"/>
      <c r="E10" s="134">
        <f>SUM(E11:E13)</f>
        <v>5.3561828000000009</v>
      </c>
      <c r="F10" s="312"/>
    </row>
    <row r="11" spans="1:6" ht="26.4" outlineLevel="1" x14ac:dyDescent="0.25">
      <c r="A11" s="59" t="str">
        <f>'3.1.'!A13</f>
        <v>Основной персонал (Работа №2)</v>
      </c>
      <c r="B11" s="109">
        <f>'3.1.'!C13</f>
        <v>1.0000000000000001E-5</v>
      </c>
      <c r="C11" s="108" t="s">
        <v>81</v>
      </c>
      <c r="D11" s="135">
        <f>Базовый!H7</f>
        <v>535618.28</v>
      </c>
      <c r="E11" s="135">
        <f>B11*D11</f>
        <v>5.3561828000000009</v>
      </c>
      <c r="F11" s="312"/>
    </row>
    <row r="12" spans="1:6" ht="12.75" customHeight="1" outlineLevel="1" x14ac:dyDescent="0.25">
      <c r="A12" s="59"/>
      <c r="B12" s="109"/>
      <c r="C12" s="108"/>
      <c r="D12" s="135"/>
      <c r="E12" s="135">
        <f>B12*D12</f>
        <v>0</v>
      </c>
      <c r="F12" s="312"/>
    </row>
    <row r="13" spans="1:6" ht="12.75" customHeight="1" outlineLevel="1" x14ac:dyDescent="0.25">
      <c r="A13" s="59"/>
      <c r="B13" s="109"/>
      <c r="C13" s="108"/>
      <c r="D13" s="135"/>
      <c r="E13" s="135">
        <f>B13*D13</f>
        <v>0</v>
      </c>
      <c r="F13" s="312"/>
    </row>
    <row r="14" spans="1:6" x14ac:dyDescent="0.25">
      <c r="A14" s="305" t="s">
        <v>217</v>
      </c>
      <c r="B14" s="306"/>
      <c r="C14" s="306"/>
      <c r="D14" s="307"/>
      <c r="E14" s="134">
        <f>E15</f>
        <v>0</v>
      </c>
      <c r="F14" s="312"/>
    </row>
    <row r="15" spans="1:6" s="137" customFormat="1" ht="12.75" customHeight="1" outlineLevel="1" x14ac:dyDescent="0.25">
      <c r="A15" s="111"/>
      <c r="B15" s="112"/>
      <c r="C15" s="112"/>
      <c r="D15" s="112"/>
      <c r="E15" s="136"/>
      <c r="F15" s="312"/>
    </row>
    <row r="16" spans="1:6" x14ac:dyDescent="0.25">
      <c r="A16" s="305" t="s">
        <v>218</v>
      </c>
      <c r="B16" s="306"/>
      <c r="C16" s="306"/>
      <c r="D16" s="307"/>
      <c r="E16" s="134">
        <f>E17</f>
        <v>0</v>
      </c>
      <c r="F16" s="312"/>
    </row>
    <row r="17" spans="1:6" s="114" customFormat="1" ht="14.4" customHeight="1" outlineLevel="1" x14ac:dyDescent="0.25">
      <c r="A17" s="111"/>
      <c r="B17" s="128"/>
      <c r="C17" s="128"/>
      <c r="D17" s="133"/>
      <c r="E17" s="136"/>
      <c r="F17" s="312"/>
    </row>
    <row r="18" spans="1:6" x14ac:dyDescent="0.25">
      <c r="A18" s="305" t="s">
        <v>219</v>
      </c>
      <c r="B18" s="306"/>
      <c r="C18" s="306"/>
      <c r="D18" s="307"/>
      <c r="E18" s="134">
        <f>SUM(E19:E19)</f>
        <v>0</v>
      </c>
      <c r="F18" s="312"/>
    </row>
    <row r="19" spans="1:6" outlineLevel="1" x14ac:dyDescent="0.25">
      <c r="A19" s="117"/>
      <c r="B19" s="123"/>
      <c r="C19" s="108"/>
      <c r="D19" s="134"/>
      <c r="E19" s="134"/>
      <c r="F19" s="312"/>
    </row>
    <row r="20" spans="1:6" x14ac:dyDescent="0.25">
      <c r="A20" s="305" t="s">
        <v>220</v>
      </c>
      <c r="B20" s="306"/>
      <c r="C20" s="306"/>
      <c r="D20" s="307"/>
      <c r="E20" s="134">
        <f>E21</f>
        <v>0</v>
      </c>
      <c r="F20" s="312"/>
    </row>
    <row r="21" spans="1:6" outlineLevel="1" x14ac:dyDescent="0.25">
      <c r="A21" s="120"/>
      <c r="B21" s="123"/>
      <c r="C21" s="108"/>
      <c r="D21" s="134"/>
      <c r="E21" s="134"/>
      <c r="F21" s="312"/>
    </row>
    <row r="22" spans="1:6" x14ac:dyDescent="0.25">
      <c r="A22" s="305" t="s">
        <v>221</v>
      </c>
      <c r="B22" s="306"/>
      <c r="C22" s="306"/>
      <c r="D22" s="307"/>
      <c r="E22" s="134">
        <f>SUM(E23:E23)</f>
        <v>0</v>
      </c>
      <c r="F22" s="312"/>
    </row>
    <row r="23" spans="1:6" outlineLevel="1" x14ac:dyDescent="0.25">
      <c r="A23" s="110"/>
      <c r="B23" s="123"/>
      <c r="C23" s="108"/>
      <c r="D23" s="134"/>
      <c r="E23" s="134"/>
      <c r="F23" s="312"/>
    </row>
    <row r="24" spans="1:6" x14ac:dyDescent="0.25">
      <c r="A24" s="305" t="s">
        <v>222</v>
      </c>
      <c r="B24" s="306"/>
      <c r="C24" s="306"/>
      <c r="D24" s="307"/>
      <c r="E24" s="134">
        <f>SUM(E25:E25)</f>
        <v>0</v>
      </c>
      <c r="F24" s="312"/>
    </row>
    <row r="25" spans="1:6" outlineLevel="1" x14ac:dyDescent="0.25">
      <c r="A25" s="124"/>
      <c r="B25" s="119"/>
      <c r="C25" s="108"/>
      <c r="D25" s="138"/>
      <c r="E25" s="134"/>
      <c r="F25" s="312"/>
    </row>
    <row r="26" spans="1:6" x14ac:dyDescent="0.25">
      <c r="A26" s="305" t="s">
        <v>223</v>
      </c>
      <c r="B26" s="306"/>
      <c r="C26" s="306"/>
      <c r="D26" s="307"/>
      <c r="E26" s="134">
        <v>0</v>
      </c>
      <c r="F26" s="312"/>
    </row>
    <row r="27" spans="1:6" outlineLevel="1" x14ac:dyDescent="0.25">
      <c r="A27" s="110"/>
      <c r="B27" s="110"/>
      <c r="C27" s="110"/>
      <c r="D27" s="110"/>
      <c r="E27" s="110"/>
      <c r="F27" s="312"/>
    </row>
    <row r="28" spans="1:6" x14ac:dyDescent="0.25">
      <c r="A28" s="305" t="s">
        <v>224</v>
      </c>
      <c r="B28" s="306"/>
      <c r="C28" s="306"/>
      <c r="D28" s="307"/>
      <c r="E28" s="134">
        <f>SUM(E29:E32)</f>
        <v>1.3275800000000002</v>
      </c>
      <c r="F28" s="312"/>
    </row>
    <row r="29" spans="1:6" outlineLevel="1" x14ac:dyDescent="0.25">
      <c r="A29" s="59" t="str">
        <f>'3.1.'!A31</f>
        <v>АУП (Работа №2)</v>
      </c>
      <c r="B29" s="119">
        <f>'3.1.'!C31</f>
        <v>1.5E-5</v>
      </c>
      <c r="C29" s="139" t="s">
        <v>81</v>
      </c>
      <c r="D29" s="139">
        <f>Базовый!H85</f>
        <v>43966</v>
      </c>
      <c r="E29" s="134">
        <f>B29*D29</f>
        <v>0.65949000000000002</v>
      </c>
      <c r="F29" s="312"/>
    </row>
    <row r="30" spans="1:6" ht="26.4" outlineLevel="1" x14ac:dyDescent="0.25">
      <c r="A30" s="59" t="str">
        <f>'3.1.'!A32</f>
        <v>Обслуживающий персонал  (Работа №2)</v>
      </c>
      <c r="B30" s="119">
        <f>'3.1.'!C32</f>
        <v>5.5000000000000002E-5</v>
      </c>
      <c r="C30" s="139" t="s">
        <v>81</v>
      </c>
      <c r="D30" s="139">
        <f>Базовый!H88</f>
        <v>12147.09090909091</v>
      </c>
      <c r="E30" s="134">
        <f>B30*D30</f>
        <v>0.66809000000000007</v>
      </c>
      <c r="F30" s="312"/>
    </row>
    <row r="31" spans="1:6" outlineLevel="1" x14ac:dyDescent="0.25">
      <c r="A31" s="59"/>
      <c r="B31" s="119"/>
      <c r="C31" s="139"/>
      <c r="D31" s="139"/>
      <c r="E31" s="134">
        <f>B31*D31</f>
        <v>0</v>
      </c>
      <c r="F31" s="312"/>
    </row>
    <row r="32" spans="1:6" outlineLevel="1" x14ac:dyDescent="0.25">
      <c r="A32" s="59"/>
      <c r="B32" s="119"/>
      <c r="C32" s="139"/>
      <c r="D32" s="139"/>
      <c r="E32" s="134">
        <f>B32*D32</f>
        <v>0</v>
      </c>
      <c r="F32" s="312"/>
    </row>
    <row r="33" spans="1:6" x14ac:dyDescent="0.25">
      <c r="A33" s="305" t="s">
        <v>225</v>
      </c>
      <c r="B33" s="306"/>
      <c r="C33" s="306"/>
      <c r="D33" s="307"/>
      <c r="E33" s="134">
        <f>E34</f>
        <v>0</v>
      </c>
      <c r="F33" s="312"/>
    </row>
    <row r="34" spans="1:6" s="114" customFormat="1" outlineLevel="1" x14ac:dyDescent="0.25">
      <c r="A34" s="127"/>
      <c r="B34" s="128"/>
      <c r="C34" s="140"/>
      <c r="D34" s="141"/>
      <c r="E34" s="141"/>
      <c r="F34" s="312"/>
    </row>
    <row r="35" spans="1:6" x14ac:dyDescent="0.25">
      <c r="A35" s="296" t="s">
        <v>233</v>
      </c>
      <c r="B35" s="263"/>
      <c r="C35" s="263"/>
      <c r="D35" s="263"/>
      <c r="E35" s="133">
        <f>E10+E14+E16+E18+E20+E22+E24+E26+E28+E33</f>
        <v>6.6837628000000011</v>
      </c>
      <c r="F35" s="110"/>
    </row>
    <row r="38" spans="1:6" x14ac:dyDescent="0.25">
      <c r="E38" s="171"/>
    </row>
  </sheetData>
  <mergeCells count="15">
    <mergeCell ref="A35:D35"/>
    <mergeCell ref="A4:F4"/>
    <mergeCell ref="A8:F8"/>
    <mergeCell ref="A9:F9"/>
    <mergeCell ref="F10:F34"/>
    <mergeCell ref="A10:D10"/>
    <mergeCell ref="A14:D14"/>
    <mergeCell ref="A16:D16"/>
    <mergeCell ref="A18:D18"/>
    <mergeCell ref="A28:D28"/>
    <mergeCell ref="A33:D33"/>
    <mergeCell ref="A20:D20"/>
    <mergeCell ref="A22:D22"/>
    <mergeCell ref="A24:D24"/>
    <mergeCell ref="A26:D26"/>
  </mergeCells>
  <phoneticPr fontId="16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</sheetPr>
  <dimension ref="A1:H30"/>
  <sheetViews>
    <sheetView view="pageBreakPreview" zoomScale="67" zoomScaleNormal="81" zoomScaleSheetLayoutView="67" workbookViewId="0">
      <selection activeCell="H2" sqref="H2"/>
    </sheetView>
  </sheetViews>
  <sheetFormatPr defaultColWidth="9.109375" defaultRowHeight="14.4" x14ac:dyDescent="0.3"/>
  <cols>
    <col min="1" max="1" width="31.33203125" style="4" customWidth="1"/>
    <col min="2" max="2" width="28.88671875" style="4" customWidth="1"/>
    <col min="3" max="8" width="20.6640625" style="4" customWidth="1"/>
    <col min="9" max="16384" width="9.109375" style="4"/>
  </cols>
  <sheetData>
    <row r="1" spans="1:8" x14ac:dyDescent="0.3">
      <c r="A1" s="3"/>
      <c r="G1" s="6"/>
      <c r="H1" s="9" t="s">
        <v>292</v>
      </c>
    </row>
    <row r="2" spans="1:8" ht="58.2" customHeight="1" x14ac:dyDescent="0.3">
      <c r="A2" s="3"/>
      <c r="G2" s="7"/>
      <c r="H2" s="177" t="s">
        <v>291</v>
      </c>
    </row>
    <row r="3" spans="1:8" x14ac:dyDescent="0.3">
      <c r="A3" s="5"/>
    </row>
    <row r="4" spans="1:8" x14ac:dyDescent="0.3">
      <c r="B4" s="1"/>
      <c r="C4" s="1"/>
      <c r="D4" s="1"/>
      <c r="E4" s="1"/>
      <c r="F4" s="1"/>
      <c r="G4" s="323" t="s">
        <v>50</v>
      </c>
      <c r="H4" s="323"/>
    </row>
    <row r="5" spans="1:8" ht="25.2" customHeight="1" x14ac:dyDescent="0.3">
      <c r="B5" s="1"/>
      <c r="C5" s="1"/>
      <c r="D5" s="1"/>
      <c r="E5" s="1"/>
      <c r="F5" s="1"/>
      <c r="G5" s="324"/>
      <c r="H5" s="324"/>
    </row>
    <row r="6" spans="1:8" ht="25.2" customHeight="1" x14ac:dyDescent="0.3">
      <c r="B6" s="1"/>
      <c r="C6" s="1"/>
      <c r="D6" s="1"/>
      <c r="E6" s="1"/>
      <c r="F6" s="1"/>
      <c r="G6" s="327"/>
      <c r="H6" s="327"/>
    </row>
    <row r="7" spans="1:8" x14ac:dyDescent="0.3">
      <c r="B7" s="1"/>
      <c r="C7" s="1"/>
      <c r="D7" s="1"/>
      <c r="E7" s="1"/>
      <c r="F7" s="1"/>
      <c r="G7" s="325" t="s">
        <v>51</v>
      </c>
      <c r="H7" s="325"/>
    </row>
    <row r="8" spans="1:8" x14ac:dyDescent="0.3">
      <c r="B8" s="1"/>
      <c r="C8" s="1"/>
      <c r="D8" s="1"/>
      <c r="E8" s="1"/>
      <c r="F8" s="1"/>
      <c r="G8" s="326" t="s">
        <v>52</v>
      </c>
      <c r="H8" s="326"/>
    </row>
    <row r="9" spans="1:8" x14ac:dyDescent="0.3">
      <c r="B9" s="1"/>
      <c r="C9" s="1"/>
      <c r="D9" s="1"/>
      <c r="E9" s="1"/>
      <c r="F9" s="1"/>
      <c r="G9" s="326" t="s">
        <v>53</v>
      </c>
      <c r="H9" s="326"/>
    </row>
    <row r="10" spans="1:8" x14ac:dyDescent="0.3">
      <c r="B10" s="1"/>
      <c r="C10" s="1"/>
      <c r="D10" s="1"/>
      <c r="E10" s="1"/>
      <c r="F10" s="1"/>
      <c r="G10" s="1"/>
      <c r="H10" s="8"/>
    </row>
    <row r="11" spans="1:8" x14ac:dyDescent="0.3">
      <c r="B11" s="1"/>
      <c r="C11" s="1"/>
      <c r="D11" s="1"/>
      <c r="E11" s="1"/>
      <c r="F11" s="1"/>
      <c r="G11" s="1"/>
      <c r="H11" s="8" t="s">
        <v>54</v>
      </c>
    </row>
    <row r="12" spans="1:8" x14ac:dyDescent="0.3">
      <c r="A12" s="2"/>
      <c r="B12" s="1"/>
      <c r="C12" s="1"/>
      <c r="D12" s="1"/>
      <c r="E12" s="1"/>
      <c r="F12" s="1"/>
      <c r="G12" s="1"/>
      <c r="H12" s="1"/>
    </row>
    <row r="13" spans="1:8" x14ac:dyDescent="0.3">
      <c r="A13" s="322" t="s">
        <v>55</v>
      </c>
      <c r="B13" s="322"/>
      <c r="C13" s="322"/>
      <c r="D13" s="322"/>
      <c r="E13" s="322"/>
      <c r="F13" s="322"/>
      <c r="G13" s="322"/>
      <c r="H13" s="322"/>
    </row>
    <row r="14" spans="1:8" x14ac:dyDescent="0.3">
      <c r="A14" s="322" t="s">
        <v>285</v>
      </c>
      <c r="B14" s="322"/>
      <c r="C14" s="322"/>
      <c r="D14" s="322"/>
      <c r="E14" s="322"/>
      <c r="F14" s="322"/>
      <c r="G14" s="322"/>
      <c r="H14" s="322"/>
    </row>
    <row r="15" spans="1:8" x14ac:dyDescent="0.3">
      <c r="A15" s="2"/>
      <c r="B15" s="1"/>
      <c r="C15" s="1"/>
      <c r="D15" s="1"/>
      <c r="E15" s="1"/>
      <c r="F15" s="1"/>
      <c r="G15" s="1"/>
      <c r="H15" s="1"/>
    </row>
    <row r="16" spans="1:8" x14ac:dyDescent="0.3">
      <c r="B16" s="1"/>
      <c r="C16" s="1"/>
      <c r="D16" s="1"/>
      <c r="E16" s="1"/>
      <c r="F16" s="1"/>
      <c r="G16" s="1"/>
      <c r="H16" s="9" t="s">
        <v>56</v>
      </c>
    </row>
    <row r="17" spans="1:8" ht="22.2" customHeight="1" x14ac:dyDescent="0.3">
      <c r="A17" s="314" t="s">
        <v>57</v>
      </c>
      <c r="B17" s="314" t="s">
        <v>58</v>
      </c>
      <c r="C17" s="314" t="s">
        <v>59</v>
      </c>
      <c r="D17" s="314"/>
      <c r="E17" s="314"/>
      <c r="F17" s="314"/>
      <c r="G17" s="314"/>
      <c r="H17" s="314"/>
    </row>
    <row r="18" spans="1:8" x14ac:dyDescent="0.3">
      <c r="A18" s="314"/>
      <c r="B18" s="314"/>
      <c r="C18" s="314" t="s">
        <v>60</v>
      </c>
      <c r="D18" s="314" t="s">
        <v>61</v>
      </c>
      <c r="E18" s="314"/>
      <c r="F18" s="314"/>
      <c r="G18" s="314"/>
      <c r="H18" s="314"/>
    </row>
    <row r="19" spans="1:8" ht="50.4" customHeight="1" x14ac:dyDescent="0.3">
      <c r="A19" s="314"/>
      <c r="B19" s="314"/>
      <c r="C19" s="314"/>
      <c r="D19" s="314" t="s">
        <v>130</v>
      </c>
      <c r="E19" s="314"/>
      <c r="F19" s="314" t="s">
        <v>131</v>
      </c>
      <c r="G19" s="314"/>
      <c r="H19" s="314"/>
    </row>
    <row r="20" spans="1:8" ht="16.2" x14ac:dyDescent="0.3">
      <c r="A20" s="314"/>
      <c r="B20" s="314"/>
      <c r="C20" s="314"/>
      <c r="D20" s="11" t="s">
        <v>62</v>
      </c>
      <c r="E20" s="11" t="s">
        <v>63</v>
      </c>
      <c r="F20" s="11" t="s">
        <v>62</v>
      </c>
      <c r="G20" s="11" t="s">
        <v>64</v>
      </c>
      <c r="H20" s="11" t="s">
        <v>65</v>
      </c>
    </row>
    <row r="21" spans="1:8" x14ac:dyDescent="0.3">
      <c r="A21" s="11">
        <v>1</v>
      </c>
      <c r="B21" s="11">
        <v>2</v>
      </c>
      <c r="C21" s="11">
        <v>3</v>
      </c>
      <c r="D21" s="11">
        <v>4</v>
      </c>
      <c r="E21" s="11">
        <v>5</v>
      </c>
      <c r="F21" s="11">
        <v>6</v>
      </c>
      <c r="G21" s="11">
        <v>7</v>
      </c>
      <c r="H21" s="11">
        <v>8</v>
      </c>
    </row>
    <row r="22" spans="1:8" ht="18.600000000000001" customHeight="1" x14ac:dyDescent="0.3">
      <c r="A22" s="319" t="s">
        <v>211</v>
      </c>
      <c r="B22" s="142" t="s">
        <v>267</v>
      </c>
      <c r="C22" s="315">
        <f>D22+F22</f>
        <v>143.31527651357032</v>
      </c>
      <c r="D22" s="315">
        <f>'1.2.'!E11</f>
        <v>103.56206536697248</v>
      </c>
      <c r="E22" s="315">
        <f>'1.2.'!E12</f>
        <v>94.337352178899081</v>
      </c>
      <c r="F22" s="315">
        <f>'1.2.'!E49</f>
        <v>39.753211146597856</v>
      </c>
      <c r="G22" s="315">
        <f>'1.2.'!E50</f>
        <v>9.8545623239678903</v>
      </c>
      <c r="H22" s="315">
        <f>'1.2.'!E59</f>
        <v>4.8724048623853209</v>
      </c>
    </row>
    <row r="23" spans="1:8" ht="20.399999999999999" customHeight="1" x14ac:dyDescent="0.3">
      <c r="A23" s="320"/>
      <c r="B23" s="142" t="s">
        <v>268</v>
      </c>
      <c r="C23" s="316"/>
      <c r="D23" s="316"/>
      <c r="E23" s="316"/>
      <c r="F23" s="316"/>
      <c r="G23" s="316"/>
      <c r="H23" s="316"/>
    </row>
    <row r="24" spans="1:8" ht="20.399999999999999" customHeight="1" x14ac:dyDescent="0.3">
      <c r="A24" s="321"/>
      <c r="B24" s="142" t="s">
        <v>269</v>
      </c>
      <c r="C24" s="317"/>
      <c r="D24" s="317"/>
      <c r="E24" s="317"/>
      <c r="F24" s="317"/>
      <c r="G24" s="317"/>
      <c r="H24" s="317"/>
    </row>
    <row r="25" spans="1:8" x14ac:dyDescent="0.3">
      <c r="A25" s="2"/>
      <c r="B25" s="1"/>
      <c r="C25" s="1"/>
      <c r="D25" s="1"/>
      <c r="E25" s="1"/>
      <c r="F25" s="1"/>
      <c r="G25" s="1"/>
      <c r="H25" s="1"/>
    </row>
    <row r="26" spans="1:8" x14ac:dyDescent="0.3">
      <c r="A26" s="318" t="s">
        <v>39</v>
      </c>
      <c r="B26" s="318"/>
      <c r="C26" s="318"/>
      <c r="D26" s="318"/>
      <c r="E26" s="318"/>
      <c r="F26" s="318"/>
      <c r="G26" s="318"/>
      <c r="H26" s="318"/>
    </row>
    <row r="27" spans="1:8" ht="21.6" customHeight="1" x14ac:dyDescent="0.3">
      <c r="A27" s="313" t="s">
        <v>66</v>
      </c>
      <c r="B27" s="313"/>
      <c r="C27" s="313"/>
      <c r="D27" s="313"/>
      <c r="E27" s="313"/>
      <c r="F27" s="313"/>
      <c r="G27" s="313"/>
      <c r="H27" s="313"/>
    </row>
    <row r="28" spans="1:8" ht="19.2" customHeight="1" x14ac:dyDescent="0.3">
      <c r="A28" s="313" t="s">
        <v>67</v>
      </c>
      <c r="B28" s="313"/>
      <c r="C28" s="313"/>
      <c r="D28" s="313"/>
      <c r="E28" s="313"/>
      <c r="F28" s="313"/>
      <c r="G28" s="313"/>
      <c r="H28" s="313"/>
    </row>
    <row r="29" spans="1:8" ht="16.95" customHeight="1" x14ac:dyDescent="0.3">
      <c r="A29" s="313" t="s">
        <v>68</v>
      </c>
      <c r="B29" s="313"/>
      <c r="C29" s="313"/>
      <c r="D29" s="313"/>
      <c r="E29" s="313"/>
      <c r="F29" s="313"/>
      <c r="G29" s="313"/>
      <c r="H29" s="313"/>
    </row>
    <row r="30" spans="1:8" x14ac:dyDescent="0.3">
      <c r="A30" s="5"/>
    </row>
  </sheetData>
  <mergeCells count="26">
    <mergeCell ref="A13:H13"/>
    <mergeCell ref="G4:H4"/>
    <mergeCell ref="G5:H5"/>
    <mergeCell ref="G7:H7"/>
    <mergeCell ref="G8:H8"/>
    <mergeCell ref="G6:H6"/>
    <mergeCell ref="G9:H9"/>
    <mergeCell ref="A14:H14"/>
    <mergeCell ref="A17:A20"/>
    <mergeCell ref="B17:B20"/>
    <mergeCell ref="D18:H18"/>
    <mergeCell ref="C17:H17"/>
    <mergeCell ref="C18:C20"/>
    <mergeCell ref="F19:H19"/>
    <mergeCell ref="A28:H28"/>
    <mergeCell ref="A29:H29"/>
    <mergeCell ref="D19:E19"/>
    <mergeCell ref="F22:F24"/>
    <mergeCell ref="G22:G24"/>
    <mergeCell ref="H22:H24"/>
    <mergeCell ref="A27:H27"/>
    <mergeCell ref="C22:C24"/>
    <mergeCell ref="E22:E24"/>
    <mergeCell ref="A26:H26"/>
    <mergeCell ref="D22:D24"/>
    <mergeCell ref="A22:A24"/>
  </mergeCells>
  <phoneticPr fontId="16" type="noConversion"/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19</vt:i4>
      </vt:variant>
    </vt:vector>
  </HeadingPairs>
  <TitlesOfParts>
    <vt:vector size="32" baseType="lpstr">
      <vt:lpstr>Базовый</vt:lpstr>
      <vt:lpstr>Внимание!</vt:lpstr>
      <vt:lpstr>1.1.</vt:lpstr>
      <vt:lpstr>1.2.</vt:lpstr>
      <vt:lpstr>2.1.</vt:lpstr>
      <vt:lpstr>2.2.</vt:lpstr>
      <vt:lpstr>3.1.</vt:lpstr>
      <vt:lpstr>3.2.</vt:lpstr>
      <vt:lpstr>4.1</vt:lpstr>
      <vt:lpstr>4.2</vt:lpstr>
      <vt:lpstr>5.1</vt:lpstr>
      <vt:lpstr>5.2</vt:lpstr>
      <vt:lpstr>6.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'5.1'!Заголовки_для_печати</vt:lpstr>
      <vt:lpstr>Базовый!Заголовки_для_печати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'4.2'!Область_печати</vt:lpstr>
      <vt:lpstr>'5.1'!Область_печати</vt:lpstr>
      <vt:lpstr>'5.2'!Область_печати</vt:lpstr>
      <vt:lpstr>'6.'!Область_печати</vt:lpstr>
      <vt:lpstr>Базовый!Область_печати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Андаева А.Л.</cp:lastModifiedBy>
  <cp:lastPrinted>2017-01-25T15:35:40Z</cp:lastPrinted>
  <dcterms:created xsi:type="dcterms:W3CDTF">2016-09-21T07:32:32Z</dcterms:created>
  <dcterms:modified xsi:type="dcterms:W3CDTF">2017-03-02T08:53:43Z</dcterms:modified>
</cp:coreProperties>
</file>