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8-2019\на сайт\"/>
    </mc:Choice>
  </mc:AlternateContent>
  <bookViews>
    <workbookView xWindow="210" yWindow="560" windowWidth="15450" windowHeight="12390" firstSheet="2" activeTab="12"/>
  </bookViews>
  <sheets>
    <sheet name="Базовый" sheetId="19" state="hidden" r:id="rId1"/>
    <sheet name="Внимание!" sheetId="25" state="hidden" r:id="rId2"/>
    <sheet name="1.1." sheetId="37" r:id="rId3"/>
    <sheet name="1.2." sheetId="22" state="hidden" r:id="rId4"/>
    <sheet name="2.1." sheetId="44" r:id="rId5"/>
    <sheet name="2.2." sheetId="45" state="hidden" r:id="rId6"/>
    <sheet name="3.1." sheetId="40" r:id="rId7"/>
    <sheet name="3.2." sheetId="41" state="hidden" r:id="rId8"/>
    <sheet name="4.1." sheetId="46" r:id="rId9"/>
    <sheet name="4.2." sheetId="47" state="hidden" r:id="rId10"/>
    <sheet name="5." sheetId="16" r:id="rId11"/>
    <sheet name="6." sheetId="17" r:id="rId12"/>
    <sheet name="7." sheetId="20" r:id="rId13"/>
  </sheets>
  <definedNames>
    <definedName name="_xlnm._FilterDatabase" localSheetId="2" hidden="1">'1.1.'!$A$10:$D$242</definedName>
    <definedName name="_xlnm._FilterDatabase" localSheetId="3" hidden="1">'1.2.'!$A$8:$F$8</definedName>
    <definedName name="_xlnm._FilterDatabase" localSheetId="4" hidden="1">'2.1.'!$A$10:$D$242</definedName>
    <definedName name="_xlnm._FilterDatabase" localSheetId="5" hidden="1">'2.2.'!$A$8:$F$8</definedName>
    <definedName name="_xlnm._FilterDatabase" localSheetId="6" hidden="1">'3.1.'!$A$10:$D$278</definedName>
    <definedName name="_xlnm._FilterDatabase" localSheetId="7" hidden="1">'3.2.'!$A$8:$F$8</definedName>
    <definedName name="_xlnm._FilterDatabase" localSheetId="8" hidden="1">'4.1.'!$A$10:$D$278</definedName>
    <definedName name="_xlnm._FilterDatabase" localSheetId="9" hidden="1">'4.2.'!$A$8:$F$8</definedName>
    <definedName name="_xlnm._FilterDatabase" localSheetId="0" hidden="1">Базовый!$V$2:$X$272</definedName>
    <definedName name="_xlnm.Print_Titles" localSheetId="2">'1.1.'!$9:$10</definedName>
    <definedName name="_xlnm.Print_Titles" localSheetId="3">'1.2.'!$7:$8</definedName>
    <definedName name="_xlnm.Print_Titles" localSheetId="4">'2.1.'!$9:$10</definedName>
    <definedName name="_xlnm.Print_Titles" localSheetId="5">'2.2.'!$7:$8</definedName>
    <definedName name="_xlnm.Print_Titles" localSheetId="6">'3.1.'!$9:$10</definedName>
    <definedName name="_xlnm.Print_Titles" localSheetId="7">'3.2.'!$7:$8</definedName>
    <definedName name="_xlnm.Print_Titles" localSheetId="8">'4.1.'!$9:$10</definedName>
    <definedName name="_xlnm.Print_Titles" localSheetId="9">'4.2.'!$7:$8</definedName>
    <definedName name="_xlnm.Print_Titles" localSheetId="11">'6.'!$8:$11</definedName>
    <definedName name="_xlnm.Print_Titles" localSheetId="0">Базовый!$1:$2</definedName>
    <definedName name="_xlnm.Print_Area" localSheetId="2">'1.1.'!$A$1:$D$278</definedName>
    <definedName name="_xlnm.Print_Area" localSheetId="3">'1.2.'!$A$1:$F$275</definedName>
    <definedName name="_xlnm.Print_Area" localSheetId="4">'2.1.'!$A$1:$D$278</definedName>
    <definedName name="_xlnm.Print_Area" localSheetId="5">'2.2.'!$A$1:$F$275</definedName>
    <definedName name="_xlnm.Print_Area" localSheetId="6">'3.1.'!$A$1:$D$278</definedName>
    <definedName name="_xlnm.Print_Area" localSheetId="7">'3.2.'!$A$1:$F$275</definedName>
    <definedName name="_xlnm.Print_Area" localSheetId="8">'4.1.'!$A$1:$D$278</definedName>
    <definedName name="_xlnm.Print_Area" localSheetId="9">'4.2.'!$A$1:$F$275</definedName>
    <definedName name="_xlnm.Print_Area" localSheetId="11">'6.'!$A$1:$H$80</definedName>
    <definedName name="_xlnm.Print_Area" localSheetId="12">'7.'!$A$1:$G$49</definedName>
  </definedNames>
  <calcPr calcId="152511" calcMode="manual"/>
</workbook>
</file>

<file path=xl/calcChain.xml><?xml version="1.0" encoding="utf-8"?>
<calcChain xmlns="http://schemas.openxmlformats.org/spreadsheetml/2006/main">
  <c r="C13" i="22" l="1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9" i="22"/>
  <c r="C110" i="22"/>
  <c r="C111" i="22"/>
  <c r="C112" i="22"/>
  <c r="C113" i="22"/>
  <c r="C114" i="22"/>
  <c r="C115" i="22"/>
  <c r="C116" i="22"/>
  <c r="C117" i="22"/>
  <c r="C118" i="22"/>
  <c r="C120" i="22"/>
  <c r="C121" i="22"/>
  <c r="C122" i="22"/>
  <c r="C123" i="22"/>
  <c r="C124" i="22"/>
  <c r="D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202" i="22"/>
  <c r="C203" i="22"/>
  <c r="C204" i="22"/>
  <c r="C207" i="22"/>
  <c r="C208" i="22"/>
  <c r="C209" i="22"/>
  <c r="D209" i="22"/>
  <c r="C210" i="22"/>
  <c r="D210" i="22"/>
  <c r="C211" i="22"/>
  <c r="D211" i="22"/>
  <c r="C212" i="22"/>
  <c r="D212" i="22"/>
  <c r="C213" i="22"/>
  <c r="D213" i="22"/>
  <c r="C215" i="22"/>
  <c r="C216" i="22"/>
  <c r="C217" i="22"/>
  <c r="C218" i="22"/>
  <c r="C219" i="22"/>
  <c r="C220" i="22"/>
  <c r="C221" i="22"/>
  <c r="C222" i="22"/>
  <c r="C223" i="22"/>
  <c r="C224" i="22"/>
  <c r="C225" i="22"/>
  <c r="B226" i="22"/>
  <c r="C226" i="22"/>
  <c r="B227" i="22"/>
  <c r="C227" i="22"/>
  <c r="C228" i="22"/>
  <c r="B229" i="22"/>
  <c r="C229" i="22"/>
  <c r="C231" i="22"/>
  <c r="B232" i="22"/>
  <c r="C232" i="22"/>
  <c r="C234" i="22"/>
  <c r="C235" i="22"/>
  <c r="B245" i="22"/>
  <c r="C245" i="22"/>
  <c r="B246" i="22"/>
  <c r="C246" i="22"/>
  <c r="B247" i="22"/>
  <c r="C247" i="22"/>
  <c r="B248" i="22"/>
  <c r="C248" i="22"/>
  <c r="B249" i="22"/>
  <c r="C249" i="22"/>
  <c r="B250" i="22"/>
  <c r="C250" i="22"/>
  <c r="D250" i="22"/>
  <c r="E250" i="22"/>
  <c r="B251" i="22"/>
  <c r="C251" i="22"/>
  <c r="B252" i="22"/>
  <c r="C252" i="22"/>
  <c r="B253" i="22"/>
  <c r="C253" i="22"/>
  <c r="B254" i="22"/>
  <c r="C254" i="22"/>
  <c r="B255" i="22"/>
  <c r="C255" i="22"/>
  <c r="B256" i="22"/>
  <c r="C256" i="22"/>
  <c r="E256" i="22" s="1"/>
  <c r="D256" i="22"/>
  <c r="B257" i="22"/>
  <c r="C257" i="22"/>
  <c r="E257" i="22" s="1"/>
  <c r="D257" i="22"/>
  <c r="B258" i="22"/>
  <c r="C258" i="22"/>
  <c r="B259" i="22"/>
  <c r="C259" i="22"/>
  <c r="D259" i="22"/>
  <c r="E259" i="22"/>
  <c r="B260" i="22"/>
  <c r="C260" i="22"/>
  <c r="B261" i="22"/>
  <c r="C261" i="22"/>
  <c r="B262" i="22"/>
  <c r="C262" i="22"/>
  <c r="B263" i="22"/>
  <c r="C263" i="22"/>
  <c r="B264" i="22"/>
  <c r="C264" i="22"/>
  <c r="B265" i="22"/>
  <c r="C265" i="22"/>
  <c r="B266" i="22"/>
  <c r="C266" i="22"/>
  <c r="B267" i="22"/>
  <c r="C267" i="22"/>
  <c r="B268" i="22"/>
  <c r="C268" i="22"/>
  <c r="B269" i="22"/>
  <c r="C269" i="22"/>
  <c r="B270" i="22"/>
  <c r="C270" i="22"/>
  <c r="B271" i="22"/>
  <c r="C271" i="22"/>
  <c r="B272" i="22"/>
  <c r="C272" i="22"/>
  <c r="B273" i="22"/>
  <c r="C273" i="22"/>
  <c r="B274" i="22"/>
  <c r="C274" i="22"/>
  <c r="C13" i="45"/>
  <c r="C90" i="45"/>
  <c r="C91" i="45"/>
  <c r="C92" i="45"/>
  <c r="C93" i="45"/>
  <c r="C94" i="45"/>
  <c r="C95" i="45"/>
  <c r="C96" i="45"/>
  <c r="C97" i="45"/>
  <c r="C98" i="45"/>
  <c r="C99" i="45"/>
  <c r="C100" i="45"/>
  <c r="C101" i="45"/>
  <c r="C102" i="45"/>
  <c r="C103" i="45"/>
  <c r="C109" i="45"/>
  <c r="C110" i="45"/>
  <c r="C111" i="45"/>
  <c r="C112" i="45"/>
  <c r="C113" i="45"/>
  <c r="C114" i="45"/>
  <c r="C115" i="45"/>
  <c r="C116" i="45"/>
  <c r="C117" i="45"/>
  <c r="C118" i="45"/>
  <c r="C120" i="45"/>
  <c r="C121" i="45"/>
  <c r="C122" i="45"/>
  <c r="C123" i="45"/>
  <c r="C124" i="45"/>
  <c r="D124" i="45"/>
  <c r="C125" i="45"/>
  <c r="C126" i="45"/>
  <c r="C127" i="45"/>
  <c r="C128" i="45"/>
  <c r="C129" i="45"/>
  <c r="C130" i="45"/>
  <c r="C131" i="45"/>
  <c r="C132" i="45"/>
  <c r="C133" i="45"/>
  <c r="C134" i="45"/>
  <c r="C135" i="45"/>
  <c r="C136" i="45"/>
  <c r="C137" i="45"/>
  <c r="C138" i="45"/>
  <c r="C139" i="45"/>
  <c r="C140" i="45"/>
  <c r="C202" i="45"/>
  <c r="C203" i="45"/>
  <c r="C204" i="45"/>
  <c r="C207" i="45"/>
  <c r="C208" i="45"/>
  <c r="C209" i="45"/>
  <c r="D209" i="45"/>
  <c r="C210" i="45"/>
  <c r="D210" i="45"/>
  <c r="C211" i="45"/>
  <c r="D211" i="45"/>
  <c r="C212" i="45"/>
  <c r="D212" i="45"/>
  <c r="C213" i="45"/>
  <c r="D213" i="45"/>
  <c r="C215" i="45"/>
  <c r="C216" i="45"/>
  <c r="C217" i="45"/>
  <c r="C218" i="45"/>
  <c r="C219" i="45"/>
  <c r="C220" i="45"/>
  <c r="C221" i="45"/>
  <c r="C222" i="45"/>
  <c r="C223" i="45"/>
  <c r="C224" i="45"/>
  <c r="C225" i="45"/>
  <c r="B226" i="45"/>
  <c r="C226" i="45"/>
  <c r="B227" i="45"/>
  <c r="C227" i="45"/>
  <c r="C228" i="45"/>
  <c r="B229" i="45"/>
  <c r="C229" i="45"/>
  <c r="C231" i="45"/>
  <c r="B232" i="45"/>
  <c r="C232" i="45"/>
  <c r="C234" i="45"/>
  <c r="C235" i="45"/>
  <c r="B245" i="45"/>
  <c r="C245" i="45"/>
  <c r="B246" i="45"/>
  <c r="C246" i="45"/>
  <c r="B247" i="45"/>
  <c r="C247" i="45"/>
  <c r="B248" i="45"/>
  <c r="C248" i="45"/>
  <c r="B249" i="45"/>
  <c r="C249" i="45"/>
  <c r="B250" i="45"/>
  <c r="C250" i="45"/>
  <c r="D250" i="45"/>
  <c r="B251" i="45"/>
  <c r="C251" i="45"/>
  <c r="B252" i="45"/>
  <c r="C252" i="45"/>
  <c r="B253" i="45"/>
  <c r="C253" i="45"/>
  <c r="B254" i="45"/>
  <c r="C254" i="45"/>
  <c r="B255" i="45"/>
  <c r="C255" i="45"/>
  <c r="B256" i="45"/>
  <c r="C256" i="45"/>
  <c r="D256" i="45"/>
  <c r="B257" i="45"/>
  <c r="C257" i="45"/>
  <c r="D257" i="45"/>
  <c r="B258" i="45"/>
  <c r="C258" i="45"/>
  <c r="B259" i="45"/>
  <c r="C259" i="45"/>
  <c r="D259" i="45"/>
  <c r="B260" i="45"/>
  <c r="C260" i="45"/>
  <c r="B261" i="45"/>
  <c r="C261" i="45"/>
  <c r="B262" i="45"/>
  <c r="C262" i="45"/>
  <c r="B263" i="45"/>
  <c r="C263" i="45"/>
  <c r="B264" i="45"/>
  <c r="C264" i="45"/>
  <c r="B265" i="45"/>
  <c r="C265" i="45"/>
  <c r="B266" i="45"/>
  <c r="C266" i="45"/>
  <c r="B267" i="45"/>
  <c r="C267" i="45"/>
  <c r="B268" i="45"/>
  <c r="C268" i="45"/>
  <c r="B269" i="45"/>
  <c r="C269" i="45"/>
  <c r="B270" i="45"/>
  <c r="C270" i="45"/>
  <c r="B271" i="45"/>
  <c r="C271" i="45"/>
  <c r="B272" i="45"/>
  <c r="C272" i="45"/>
  <c r="B273" i="45"/>
  <c r="C273" i="45"/>
  <c r="B274" i="45"/>
  <c r="C274" i="45"/>
  <c r="C14" i="41"/>
  <c r="C15" i="41"/>
  <c r="C18" i="41"/>
  <c r="D18" i="41"/>
  <c r="B20" i="41"/>
  <c r="C20" i="41"/>
  <c r="B21" i="41"/>
  <c r="C21" i="41"/>
  <c r="B22" i="41"/>
  <c r="C22" i="41"/>
  <c r="B23" i="41"/>
  <c r="C23" i="41"/>
  <c r="B24" i="41"/>
  <c r="C24" i="41"/>
  <c r="B25" i="41"/>
  <c r="C25" i="41"/>
  <c r="B26" i="41"/>
  <c r="C26" i="41"/>
  <c r="B28" i="41"/>
  <c r="C28" i="41"/>
  <c r="B29" i="41"/>
  <c r="C29" i="41"/>
  <c r="B30" i="41"/>
  <c r="C30" i="41"/>
  <c r="B31" i="41"/>
  <c r="C31" i="41"/>
  <c r="C32" i="41"/>
  <c r="C33" i="41"/>
  <c r="B34" i="41"/>
  <c r="C34" i="41"/>
  <c r="B35" i="41"/>
  <c r="C35" i="41"/>
  <c r="B36" i="41"/>
  <c r="C36" i="41"/>
  <c r="C37" i="41"/>
  <c r="C38" i="41"/>
  <c r="C39" i="41"/>
  <c r="C40" i="41"/>
  <c r="C41" i="41"/>
  <c r="C42" i="41"/>
  <c r="C43" i="41"/>
  <c r="C44" i="41"/>
  <c r="C45" i="41"/>
  <c r="C47" i="41"/>
  <c r="C48" i="41"/>
  <c r="C49" i="41"/>
  <c r="C50" i="41"/>
  <c r="C51" i="41"/>
  <c r="C52" i="41"/>
  <c r="C53" i="41"/>
  <c r="C54" i="41"/>
  <c r="C55" i="41"/>
  <c r="C56" i="41"/>
  <c r="C57" i="41"/>
  <c r="C58" i="41"/>
  <c r="C59" i="41"/>
  <c r="C60" i="41"/>
  <c r="C61" i="41"/>
  <c r="C62" i="41"/>
  <c r="C63" i="41"/>
  <c r="C64" i="41"/>
  <c r="C65" i="41"/>
  <c r="C66" i="41"/>
  <c r="C67" i="41"/>
  <c r="C68" i="41"/>
  <c r="C69" i="41"/>
  <c r="C70" i="41"/>
  <c r="C71" i="41"/>
  <c r="C72" i="41"/>
  <c r="C73" i="41"/>
  <c r="C74" i="41"/>
  <c r="C75" i="41"/>
  <c r="C76" i="41"/>
  <c r="C78" i="41"/>
  <c r="C79" i="41"/>
  <c r="C80" i="41"/>
  <c r="C81" i="41"/>
  <c r="C82" i="41"/>
  <c r="C83" i="41"/>
  <c r="C85" i="41"/>
  <c r="C86" i="41"/>
  <c r="C87" i="41"/>
  <c r="C88" i="41"/>
  <c r="C105" i="41"/>
  <c r="C106" i="41"/>
  <c r="C142" i="41"/>
  <c r="C143" i="41"/>
  <c r="C144" i="41"/>
  <c r="C145" i="41"/>
  <c r="C146" i="41"/>
  <c r="C147" i="41"/>
  <c r="C148" i="41"/>
  <c r="C149" i="41"/>
  <c r="C150" i="41"/>
  <c r="C151" i="41"/>
  <c r="C152" i="41"/>
  <c r="C153" i="41"/>
  <c r="C154" i="41"/>
  <c r="C155" i="41"/>
  <c r="C156" i="41"/>
  <c r="C157" i="41"/>
  <c r="C158" i="41"/>
  <c r="C159" i="41"/>
  <c r="C160" i="41"/>
  <c r="C161" i="41"/>
  <c r="C162" i="41"/>
  <c r="C163" i="41"/>
  <c r="C164" i="41"/>
  <c r="C165" i="41"/>
  <c r="C166" i="41"/>
  <c r="C167" i="41"/>
  <c r="C168" i="41"/>
  <c r="C169" i="41"/>
  <c r="C170" i="41"/>
  <c r="C171" i="41"/>
  <c r="C172" i="41"/>
  <c r="C173" i="41"/>
  <c r="C174" i="41"/>
  <c r="C175" i="41"/>
  <c r="C176" i="41"/>
  <c r="C177" i="41"/>
  <c r="C178" i="41"/>
  <c r="C179" i="41"/>
  <c r="C180" i="41"/>
  <c r="C182" i="41"/>
  <c r="C183" i="41"/>
  <c r="C184" i="41"/>
  <c r="C185" i="41"/>
  <c r="C186" i="41"/>
  <c r="D186" i="41"/>
  <c r="C187" i="41"/>
  <c r="C188" i="41"/>
  <c r="C189" i="41"/>
  <c r="C190" i="41"/>
  <c r="C191" i="41"/>
  <c r="B192" i="41"/>
  <c r="C192" i="41"/>
  <c r="C193" i="41"/>
  <c r="C194" i="41"/>
  <c r="C195" i="41"/>
  <c r="C196" i="41"/>
  <c r="C198" i="41"/>
  <c r="C199" i="41"/>
  <c r="C200" i="41"/>
  <c r="C239" i="41"/>
  <c r="B240" i="41"/>
  <c r="C240" i="41"/>
  <c r="C242" i="41"/>
  <c r="C243" i="41"/>
  <c r="B244" i="41"/>
  <c r="C244" i="41"/>
  <c r="C14" i="47"/>
  <c r="C15" i="47"/>
  <c r="C18" i="47"/>
  <c r="D18" i="47"/>
  <c r="B20" i="47"/>
  <c r="C20" i="47"/>
  <c r="B21" i="47"/>
  <c r="C21" i="47"/>
  <c r="B22" i="47"/>
  <c r="C22" i="47"/>
  <c r="B23" i="47"/>
  <c r="C23" i="47"/>
  <c r="B24" i="47"/>
  <c r="C24" i="47"/>
  <c r="B25" i="47"/>
  <c r="C25" i="47"/>
  <c r="B26" i="47"/>
  <c r="C26" i="47"/>
  <c r="B28" i="47"/>
  <c r="C28" i="47"/>
  <c r="B29" i="47"/>
  <c r="C29" i="47"/>
  <c r="B30" i="47"/>
  <c r="C30" i="47"/>
  <c r="B31" i="47"/>
  <c r="C31" i="47"/>
  <c r="C32" i="47"/>
  <c r="C33" i="47"/>
  <c r="B34" i="47"/>
  <c r="C34" i="47"/>
  <c r="B35" i="47"/>
  <c r="C35" i="47"/>
  <c r="B36" i="47"/>
  <c r="C36" i="47"/>
  <c r="C37" i="47"/>
  <c r="C38" i="47"/>
  <c r="C39" i="47"/>
  <c r="C40" i="47"/>
  <c r="C41" i="47"/>
  <c r="C42" i="47"/>
  <c r="C43" i="47"/>
  <c r="C44" i="47"/>
  <c r="C45" i="47"/>
  <c r="C47" i="47"/>
  <c r="C48" i="47"/>
  <c r="C49" i="47"/>
  <c r="C50" i="47"/>
  <c r="C51" i="47"/>
  <c r="C52" i="47"/>
  <c r="C53" i="47"/>
  <c r="C54" i="47"/>
  <c r="C55" i="47"/>
  <c r="C56" i="47"/>
  <c r="C57" i="47"/>
  <c r="C58" i="47"/>
  <c r="C59" i="47"/>
  <c r="C60" i="47"/>
  <c r="C61" i="47"/>
  <c r="C62" i="47"/>
  <c r="C63" i="47"/>
  <c r="C64" i="47"/>
  <c r="C65" i="47"/>
  <c r="C66" i="47"/>
  <c r="C67" i="47"/>
  <c r="C68" i="47"/>
  <c r="C69" i="47"/>
  <c r="C70" i="47"/>
  <c r="C71" i="47"/>
  <c r="C72" i="47"/>
  <c r="C73" i="47"/>
  <c r="C74" i="47"/>
  <c r="C75" i="47"/>
  <c r="C76" i="47"/>
  <c r="C78" i="47"/>
  <c r="C79" i="47"/>
  <c r="C80" i="47"/>
  <c r="C81" i="47"/>
  <c r="C82" i="47"/>
  <c r="C83" i="47"/>
  <c r="C85" i="47"/>
  <c r="C86" i="47"/>
  <c r="C87" i="47"/>
  <c r="C88" i="47"/>
  <c r="C105" i="47"/>
  <c r="C106" i="47"/>
  <c r="C142" i="47"/>
  <c r="C143" i="47"/>
  <c r="C144" i="47"/>
  <c r="C145" i="47"/>
  <c r="C146" i="47"/>
  <c r="C147" i="47"/>
  <c r="C148" i="47"/>
  <c r="C149" i="47"/>
  <c r="C150" i="47"/>
  <c r="C151" i="47"/>
  <c r="C152" i="47"/>
  <c r="C153" i="47"/>
  <c r="C154" i="47"/>
  <c r="C155" i="47"/>
  <c r="C156" i="47"/>
  <c r="C157" i="47"/>
  <c r="C158" i="47"/>
  <c r="C159" i="47"/>
  <c r="C160" i="47"/>
  <c r="C161" i="47"/>
  <c r="C162" i="47"/>
  <c r="C163" i="47"/>
  <c r="C164" i="47"/>
  <c r="C165" i="47"/>
  <c r="C166" i="47"/>
  <c r="C167" i="47"/>
  <c r="C168" i="47"/>
  <c r="C169" i="47"/>
  <c r="C170" i="47"/>
  <c r="C171" i="47"/>
  <c r="C172" i="47"/>
  <c r="C173" i="47"/>
  <c r="C174" i="47"/>
  <c r="C175" i="47"/>
  <c r="C176" i="47"/>
  <c r="C177" i="47"/>
  <c r="C178" i="47"/>
  <c r="C179" i="47"/>
  <c r="C180" i="47"/>
  <c r="C182" i="47"/>
  <c r="C183" i="47"/>
  <c r="C184" i="47"/>
  <c r="C185" i="47"/>
  <c r="C186" i="47"/>
  <c r="D186" i="47"/>
  <c r="C187" i="47"/>
  <c r="C188" i="47"/>
  <c r="C189" i="47"/>
  <c r="C190" i="47"/>
  <c r="C191" i="47"/>
  <c r="B192" i="47"/>
  <c r="C192" i="47"/>
  <c r="C193" i="47"/>
  <c r="C194" i="47"/>
  <c r="C195" i="47"/>
  <c r="C196" i="47"/>
  <c r="C198" i="47"/>
  <c r="C199" i="47"/>
  <c r="C200" i="47"/>
  <c r="C239" i="47"/>
  <c r="B240" i="47"/>
  <c r="C240" i="47"/>
  <c r="C242" i="47"/>
  <c r="C243" i="47"/>
  <c r="B244" i="47"/>
  <c r="C244" i="47"/>
  <c r="B46" i="20"/>
  <c r="U82" i="19"/>
  <c r="U83" i="19"/>
  <c r="U84" i="19"/>
  <c r="U85" i="19"/>
  <c r="U86" i="19"/>
  <c r="U87" i="19"/>
  <c r="U88" i="19"/>
  <c r="U89" i="19"/>
  <c r="U90" i="19"/>
  <c r="U91" i="19"/>
  <c r="U92" i="19"/>
  <c r="U93" i="19"/>
  <c r="U94" i="19"/>
  <c r="U95" i="19"/>
  <c r="U207" i="19"/>
  <c r="U208" i="19"/>
  <c r="U209" i="19"/>
  <c r="U210" i="19"/>
  <c r="U211" i="19"/>
  <c r="U212" i="19"/>
  <c r="U213" i="19"/>
  <c r="U214" i="19"/>
  <c r="U215" i="19"/>
  <c r="U216" i="19"/>
  <c r="U217" i="19"/>
  <c r="U218" i="19"/>
  <c r="U219" i="19"/>
  <c r="U220" i="19"/>
  <c r="U221" i="19"/>
  <c r="U223" i="19"/>
  <c r="U224" i="19"/>
  <c r="U237" i="19"/>
  <c r="U238" i="19"/>
  <c r="U239" i="19"/>
  <c r="U240" i="19"/>
  <c r="U241" i="19"/>
  <c r="U243" i="19"/>
  <c r="U244" i="19"/>
  <c r="U245" i="19"/>
  <c r="U246" i="19"/>
  <c r="U247" i="19"/>
  <c r="U250" i="19"/>
  <c r="U252" i="19"/>
  <c r="U253" i="19"/>
  <c r="U254" i="19"/>
  <c r="U255" i="19"/>
  <c r="U256" i="19"/>
  <c r="U257" i="19"/>
  <c r="U258" i="19"/>
  <c r="U259" i="19"/>
  <c r="U260" i="19"/>
  <c r="U261" i="19"/>
  <c r="U262" i="19"/>
  <c r="U263" i="19"/>
  <c r="U264" i="19"/>
  <c r="U265" i="19"/>
  <c r="U266" i="19"/>
  <c r="E238" i="22"/>
  <c r="AR230" i="19"/>
  <c r="AR4" i="19"/>
  <c r="AR295" i="19" s="1"/>
  <c r="AR296" i="19"/>
  <c r="AQ230" i="19"/>
  <c r="AQ4" i="19"/>
  <c r="AQ296" i="19"/>
  <c r="AP230" i="19"/>
  <c r="AP4" i="19"/>
  <c r="AP295" i="19" s="1"/>
  <c r="AP296" i="19"/>
  <c r="AO230" i="19"/>
  <c r="AO4" i="19"/>
  <c r="AO296" i="19"/>
  <c r="AN230" i="19"/>
  <c r="AN4" i="19"/>
  <c r="AN295" i="19" s="1"/>
  <c r="AN296" i="19"/>
  <c r="AM230" i="19"/>
  <c r="AM4" i="19"/>
  <c r="AM296" i="19"/>
  <c r="AL230" i="19"/>
  <c r="AL4" i="19"/>
  <c r="AL295" i="19" s="1"/>
  <c r="AL296" i="19"/>
  <c r="AK230" i="19"/>
  <c r="AK4" i="19"/>
  <c r="AK296" i="19"/>
  <c r="AJ230" i="19"/>
  <c r="AJ4" i="19"/>
  <c r="AJ295" i="19" s="1"/>
  <c r="AJ296" i="19"/>
  <c r="AI230" i="19"/>
  <c r="AI4" i="19"/>
  <c r="AI296" i="19"/>
  <c r="AH230" i="19"/>
  <c r="AH4" i="19"/>
  <c r="AH295" i="19" s="1"/>
  <c r="AH296" i="19"/>
  <c r="AG230" i="19"/>
  <c r="AG4" i="19"/>
  <c r="AG296" i="19"/>
  <c r="AF230" i="19"/>
  <c r="AF4" i="19"/>
  <c r="AF295" i="19" s="1"/>
  <c r="AF296" i="19"/>
  <c r="AE230" i="19"/>
  <c r="AE4" i="19"/>
  <c r="AE296" i="19"/>
  <c r="AD230" i="19"/>
  <c r="AD4" i="19"/>
  <c r="AD295" i="19" s="1"/>
  <c r="AD296" i="19"/>
  <c r="AC230" i="19"/>
  <c r="AC4" i="19"/>
  <c r="AC296" i="19"/>
  <c r="AR289" i="19"/>
  <c r="AQ289" i="19"/>
  <c r="AP289" i="19"/>
  <c r="AO289" i="19"/>
  <c r="AN289" i="19"/>
  <c r="AM289" i="19"/>
  <c r="AL289" i="19"/>
  <c r="AK289" i="19"/>
  <c r="AJ289" i="19"/>
  <c r="AI289" i="19"/>
  <c r="AH289" i="19"/>
  <c r="AG289" i="19"/>
  <c r="AF289" i="19"/>
  <c r="AE289" i="19"/>
  <c r="AD289" i="19"/>
  <c r="AC289" i="19"/>
  <c r="AR283" i="19"/>
  <c r="AR284" i="19"/>
  <c r="AQ283" i="19"/>
  <c r="AQ284" i="19"/>
  <c r="AP283" i="19"/>
  <c r="AP284" i="19"/>
  <c r="AO283" i="19"/>
  <c r="AO284" i="19"/>
  <c r="AN283" i="19"/>
  <c r="AN284" i="19"/>
  <c r="AM283" i="19"/>
  <c r="AM284" i="19"/>
  <c r="AL283" i="19"/>
  <c r="AL284" i="19"/>
  <c r="AK283" i="19"/>
  <c r="AK284" i="19"/>
  <c r="AJ283" i="19"/>
  <c r="AJ284" i="19"/>
  <c r="AI283" i="19"/>
  <c r="AI284" i="19"/>
  <c r="AH283" i="19"/>
  <c r="AH284" i="19"/>
  <c r="AG283" i="19"/>
  <c r="AG284" i="19"/>
  <c r="AF283" i="19"/>
  <c r="AF284" i="19"/>
  <c r="AE283" i="19"/>
  <c r="AE284" i="19"/>
  <c r="AD283" i="19"/>
  <c r="AD284" i="19"/>
  <c r="AC283" i="19"/>
  <c r="AC284" i="19"/>
  <c r="U232" i="19"/>
  <c r="D240" i="41" s="1"/>
  <c r="U231" i="19"/>
  <c r="U6" i="19"/>
  <c r="U5" i="19"/>
  <c r="Z5" i="19" s="1"/>
  <c r="C5" i="19"/>
  <c r="G19" i="16"/>
  <c r="A244" i="47"/>
  <c r="A243" i="47"/>
  <c r="A242" i="47"/>
  <c r="A240" i="47"/>
  <c r="A239" i="47"/>
  <c r="E233" i="47"/>
  <c r="E230" i="47"/>
  <c r="E214" i="47"/>
  <c r="H19" i="16" s="1"/>
  <c r="E206" i="47"/>
  <c r="A200" i="47"/>
  <c r="A199" i="47"/>
  <c r="A198" i="47"/>
  <c r="D197" i="47"/>
  <c r="C197" i="47"/>
  <c r="B197" i="47"/>
  <c r="A197" i="47"/>
  <c r="A196" i="47"/>
  <c r="A195" i="47"/>
  <c r="A194" i="47"/>
  <c r="A193" i="47"/>
  <c r="A192" i="47"/>
  <c r="A191" i="47"/>
  <c r="A190" i="47"/>
  <c r="A189" i="47"/>
  <c r="A188" i="47"/>
  <c r="A187" i="47"/>
  <c r="A186" i="47"/>
  <c r="A185" i="47"/>
  <c r="A184" i="47"/>
  <c r="A183" i="47"/>
  <c r="A182" i="47"/>
  <c r="D181" i="47"/>
  <c r="C181" i="47"/>
  <c r="B181" i="47"/>
  <c r="A181" i="47"/>
  <c r="A180" i="47"/>
  <c r="A179" i="47"/>
  <c r="A178" i="47"/>
  <c r="A177" i="47"/>
  <c r="A176" i="47"/>
  <c r="A175" i="47"/>
  <c r="A174" i="47"/>
  <c r="A173" i="47"/>
  <c r="A172" i="47"/>
  <c r="A171" i="47"/>
  <c r="A170" i="47"/>
  <c r="A169" i="47"/>
  <c r="A168" i="47"/>
  <c r="A167" i="47"/>
  <c r="A166" i="47"/>
  <c r="A165" i="47"/>
  <c r="A164" i="47"/>
  <c r="A163" i="47"/>
  <c r="A162" i="47"/>
  <c r="A161" i="47"/>
  <c r="A160" i="47"/>
  <c r="A159" i="47"/>
  <c r="A158" i="47"/>
  <c r="A157" i="47"/>
  <c r="A156" i="47"/>
  <c r="A155" i="47"/>
  <c r="A154" i="47"/>
  <c r="A153" i="47"/>
  <c r="A152" i="47"/>
  <c r="A151" i="47"/>
  <c r="A150" i="47"/>
  <c r="A149" i="47"/>
  <c r="A148" i="47"/>
  <c r="A147" i="47"/>
  <c r="A146" i="47"/>
  <c r="A145" i="47"/>
  <c r="A144" i="47"/>
  <c r="A143" i="47"/>
  <c r="A142" i="47"/>
  <c r="D141" i="47"/>
  <c r="C141" i="47"/>
  <c r="B141" i="47"/>
  <c r="A141" i="47"/>
  <c r="A106" i="47"/>
  <c r="A105" i="47"/>
  <c r="D104" i="47"/>
  <c r="C104" i="47"/>
  <c r="B104" i="47"/>
  <c r="A104" i="47"/>
  <c r="A88" i="47"/>
  <c r="A87" i="47"/>
  <c r="A86" i="47"/>
  <c r="A85" i="47"/>
  <c r="D84" i="47"/>
  <c r="C84" i="47"/>
  <c r="B84" i="47"/>
  <c r="A84" i="47"/>
  <c r="A83" i="47"/>
  <c r="A82" i="47"/>
  <c r="A81" i="47"/>
  <c r="A80" i="47"/>
  <c r="A79" i="47"/>
  <c r="A78" i="47"/>
  <c r="D77" i="47"/>
  <c r="C77" i="47"/>
  <c r="B77" i="47"/>
  <c r="A77" i="47"/>
  <c r="A76" i="47"/>
  <c r="A75" i="47"/>
  <c r="A74" i="47"/>
  <c r="A73" i="47"/>
  <c r="A72" i="47"/>
  <c r="A71" i="47"/>
  <c r="A70" i="47"/>
  <c r="A69" i="47"/>
  <c r="A68" i="47"/>
  <c r="A67" i="47"/>
  <c r="A66" i="47"/>
  <c r="A65" i="47"/>
  <c r="A64" i="47"/>
  <c r="A63" i="47"/>
  <c r="A62" i="47"/>
  <c r="A61" i="47"/>
  <c r="A60" i="47"/>
  <c r="A59" i="47"/>
  <c r="A58" i="47"/>
  <c r="A57" i="47"/>
  <c r="A56" i="47"/>
  <c r="A55" i="47"/>
  <c r="A54" i="47"/>
  <c r="A53" i="47"/>
  <c r="A52" i="47"/>
  <c r="A51" i="47"/>
  <c r="A50" i="47"/>
  <c r="A49" i="47"/>
  <c r="A48" i="47"/>
  <c r="A47" i="47"/>
  <c r="D46" i="47"/>
  <c r="C46" i="47"/>
  <c r="B46" i="47"/>
  <c r="A46" i="47"/>
  <c r="A45" i="47"/>
  <c r="A44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D27" i="47"/>
  <c r="C27" i="47"/>
  <c r="B27" i="47"/>
  <c r="A27" i="47"/>
  <c r="A26" i="47"/>
  <c r="A25" i="47"/>
  <c r="A24" i="47"/>
  <c r="A23" i="47"/>
  <c r="A22" i="47"/>
  <c r="A21" i="47"/>
  <c r="A20" i="47"/>
  <c r="D19" i="47"/>
  <c r="C19" i="47"/>
  <c r="B19" i="47"/>
  <c r="A19" i="47"/>
  <c r="A18" i="47"/>
  <c r="D17" i="47"/>
  <c r="C17" i="47"/>
  <c r="B17" i="47"/>
  <c r="A17" i="47"/>
  <c r="A15" i="47"/>
  <c r="A14" i="47"/>
  <c r="C248" i="46"/>
  <c r="B248" i="46"/>
  <c r="A248" i="46"/>
  <c r="B247" i="46"/>
  <c r="A247" i="46"/>
  <c r="B246" i="46"/>
  <c r="A246" i="46"/>
  <c r="C244" i="46"/>
  <c r="B244" i="46"/>
  <c r="A244" i="46"/>
  <c r="B243" i="46"/>
  <c r="A243" i="46"/>
  <c r="B204" i="46"/>
  <c r="A204" i="46"/>
  <c r="B203" i="46"/>
  <c r="A203" i="46"/>
  <c r="B202" i="46"/>
  <c r="A202" i="46"/>
  <c r="C201" i="46"/>
  <c r="B201" i="46"/>
  <c r="A201" i="46"/>
  <c r="B200" i="46"/>
  <c r="A200" i="46"/>
  <c r="B199" i="46"/>
  <c r="A199" i="46"/>
  <c r="B198" i="46"/>
  <c r="A198" i="46"/>
  <c r="B197" i="46"/>
  <c r="A197" i="46"/>
  <c r="C196" i="46"/>
  <c r="B196" i="46"/>
  <c r="A196" i="46"/>
  <c r="B195" i="46"/>
  <c r="A195" i="46"/>
  <c r="B194" i="46"/>
  <c r="A194" i="46"/>
  <c r="B193" i="46"/>
  <c r="A193" i="46"/>
  <c r="B192" i="46"/>
  <c r="A192" i="46"/>
  <c r="B191" i="46"/>
  <c r="A191" i="46"/>
  <c r="B190" i="46"/>
  <c r="A190" i="46"/>
  <c r="B189" i="46"/>
  <c r="A189" i="46"/>
  <c r="B188" i="46"/>
  <c r="A188" i="46"/>
  <c r="B187" i="46"/>
  <c r="A187" i="46"/>
  <c r="B186" i="46"/>
  <c r="A186" i="46"/>
  <c r="C185" i="46"/>
  <c r="B185" i="46"/>
  <c r="A185" i="46"/>
  <c r="B184" i="46"/>
  <c r="A184" i="46"/>
  <c r="B183" i="46"/>
  <c r="A183" i="46"/>
  <c r="B182" i="46"/>
  <c r="A182" i="46"/>
  <c r="B181" i="46"/>
  <c r="A181" i="46"/>
  <c r="B180" i="46"/>
  <c r="A180" i="46"/>
  <c r="B179" i="46"/>
  <c r="A179" i="46"/>
  <c r="B178" i="46"/>
  <c r="A178" i="46"/>
  <c r="B177" i="46"/>
  <c r="A177" i="46"/>
  <c r="B176" i="46"/>
  <c r="A176" i="46"/>
  <c r="B175" i="46"/>
  <c r="A175" i="46"/>
  <c r="B174" i="46"/>
  <c r="A174" i="46"/>
  <c r="B173" i="46"/>
  <c r="A173" i="46"/>
  <c r="B172" i="46"/>
  <c r="A172" i="46"/>
  <c r="B171" i="46"/>
  <c r="A171" i="46"/>
  <c r="B170" i="46"/>
  <c r="A170" i="46"/>
  <c r="B169" i="46"/>
  <c r="A169" i="46"/>
  <c r="B168" i="46"/>
  <c r="A168" i="46"/>
  <c r="B167" i="46"/>
  <c r="A167" i="46"/>
  <c r="B166" i="46"/>
  <c r="A166" i="46"/>
  <c r="B165" i="46"/>
  <c r="A165" i="46"/>
  <c r="B164" i="46"/>
  <c r="A164" i="46"/>
  <c r="B163" i="46"/>
  <c r="A163" i="46"/>
  <c r="B162" i="46"/>
  <c r="A162" i="46"/>
  <c r="B161" i="46"/>
  <c r="A161" i="46"/>
  <c r="B160" i="46"/>
  <c r="A160" i="46"/>
  <c r="B159" i="46"/>
  <c r="A159" i="46"/>
  <c r="B158" i="46"/>
  <c r="A158" i="46"/>
  <c r="B157" i="46"/>
  <c r="A157" i="46"/>
  <c r="B156" i="46"/>
  <c r="A156" i="46"/>
  <c r="B155" i="46"/>
  <c r="A155" i="46"/>
  <c r="B154" i="46"/>
  <c r="A154" i="46"/>
  <c r="B153" i="46"/>
  <c r="A153" i="46"/>
  <c r="B152" i="46"/>
  <c r="A152" i="46"/>
  <c r="B151" i="46"/>
  <c r="A151" i="46"/>
  <c r="B150" i="46"/>
  <c r="A150" i="46"/>
  <c r="B149" i="46"/>
  <c r="A149" i="46"/>
  <c r="B148" i="46"/>
  <c r="A148" i="46"/>
  <c r="B147" i="46"/>
  <c r="A147" i="46"/>
  <c r="B146" i="46"/>
  <c r="A146" i="46"/>
  <c r="C145" i="46"/>
  <c r="B145" i="46"/>
  <c r="A145" i="46"/>
  <c r="B110" i="46"/>
  <c r="A110" i="46"/>
  <c r="B109" i="46"/>
  <c r="A109" i="46"/>
  <c r="C108" i="46"/>
  <c r="B108" i="46"/>
  <c r="A108" i="46"/>
  <c r="B92" i="46"/>
  <c r="A92" i="46"/>
  <c r="B91" i="46"/>
  <c r="A91" i="46"/>
  <c r="B90" i="46"/>
  <c r="A90" i="46"/>
  <c r="B89" i="46"/>
  <c r="A89" i="46"/>
  <c r="C88" i="46"/>
  <c r="B88" i="46"/>
  <c r="A88" i="46"/>
  <c r="B87" i="46"/>
  <c r="A87" i="46"/>
  <c r="B86" i="46"/>
  <c r="A86" i="46"/>
  <c r="B85" i="46"/>
  <c r="A85" i="46"/>
  <c r="B84" i="46"/>
  <c r="A84" i="46"/>
  <c r="B83" i="46"/>
  <c r="A83" i="46"/>
  <c r="B82" i="46"/>
  <c r="A82" i="46"/>
  <c r="C81" i="46"/>
  <c r="B81" i="46"/>
  <c r="A81" i="46"/>
  <c r="B80" i="46"/>
  <c r="A80" i="46"/>
  <c r="B79" i="46"/>
  <c r="A79" i="46"/>
  <c r="B78" i="46"/>
  <c r="A78" i="46"/>
  <c r="B77" i="46"/>
  <c r="A77" i="46"/>
  <c r="B76" i="46"/>
  <c r="A76" i="46"/>
  <c r="B75" i="46"/>
  <c r="A75" i="46"/>
  <c r="B74" i="46"/>
  <c r="A74" i="46"/>
  <c r="B73" i="46"/>
  <c r="A73" i="46"/>
  <c r="B72" i="46"/>
  <c r="A72" i="46"/>
  <c r="B71" i="46"/>
  <c r="A71" i="46"/>
  <c r="B70" i="46"/>
  <c r="A70" i="46"/>
  <c r="B69" i="46"/>
  <c r="A69" i="46"/>
  <c r="B68" i="46"/>
  <c r="A68" i="46"/>
  <c r="B67" i="46"/>
  <c r="A67" i="46"/>
  <c r="B66" i="46"/>
  <c r="A66" i="46"/>
  <c r="B65" i="46"/>
  <c r="A65" i="46"/>
  <c r="B64" i="46"/>
  <c r="A64" i="46"/>
  <c r="B63" i="46"/>
  <c r="A63" i="46"/>
  <c r="B62" i="46"/>
  <c r="A62" i="46"/>
  <c r="B61" i="46"/>
  <c r="A61" i="46"/>
  <c r="B60" i="46"/>
  <c r="A60" i="46"/>
  <c r="B59" i="46"/>
  <c r="A59" i="46"/>
  <c r="B58" i="46"/>
  <c r="A58" i="46"/>
  <c r="B57" i="46"/>
  <c r="A57" i="46"/>
  <c r="B56" i="46"/>
  <c r="A56" i="46"/>
  <c r="B55" i="46"/>
  <c r="A55" i="46"/>
  <c r="B54" i="46"/>
  <c r="A54" i="46"/>
  <c r="B53" i="46"/>
  <c r="A53" i="46"/>
  <c r="B52" i="46"/>
  <c r="A52" i="46"/>
  <c r="B51" i="46"/>
  <c r="A51" i="46"/>
  <c r="C50" i="46"/>
  <c r="B50" i="46"/>
  <c r="A50" i="46"/>
  <c r="B49" i="46"/>
  <c r="A49" i="46"/>
  <c r="B48" i="46"/>
  <c r="A48" i="46"/>
  <c r="B47" i="46"/>
  <c r="A47" i="46"/>
  <c r="B46" i="46"/>
  <c r="A46" i="46"/>
  <c r="B45" i="46"/>
  <c r="A45" i="46"/>
  <c r="B44" i="46"/>
  <c r="A44" i="46"/>
  <c r="B43" i="46"/>
  <c r="A43" i="46"/>
  <c r="B42" i="46"/>
  <c r="A42" i="46"/>
  <c r="B41" i="46"/>
  <c r="A41" i="46"/>
  <c r="C40" i="46"/>
  <c r="B40" i="46"/>
  <c r="A40" i="46"/>
  <c r="C39" i="46"/>
  <c r="B39" i="46"/>
  <c r="A39" i="46"/>
  <c r="C38" i="46"/>
  <c r="B38" i="46"/>
  <c r="A38" i="46"/>
  <c r="B37" i="46"/>
  <c r="A37" i="46"/>
  <c r="B36" i="46"/>
  <c r="A36" i="46"/>
  <c r="C35" i="46"/>
  <c r="B35" i="46"/>
  <c r="A35" i="46"/>
  <c r="C34" i="46"/>
  <c r="B34" i="46"/>
  <c r="A34" i="46"/>
  <c r="C33" i="46"/>
  <c r="B33" i="46"/>
  <c r="A33" i="46"/>
  <c r="C32" i="46"/>
  <c r="B32" i="46"/>
  <c r="A32" i="46"/>
  <c r="C31" i="46"/>
  <c r="B31" i="46"/>
  <c r="A31" i="46"/>
  <c r="C30" i="46"/>
  <c r="B30" i="46"/>
  <c r="A30" i="46"/>
  <c r="C29" i="46"/>
  <c r="B29" i="46"/>
  <c r="A29" i="46"/>
  <c r="C28" i="46"/>
  <c r="B28" i="46"/>
  <c r="A28" i="46"/>
  <c r="C27" i="46"/>
  <c r="B27" i="46"/>
  <c r="A27" i="46"/>
  <c r="C26" i="46"/>
  <c r="B26" i="46"/>
  <c r="A26" i="46"/>
  <c r="C25" i="46"/>
  <c r="B25" i="46"/>
  <c r="A25" i="46"/>
  <c r="C24" i="46"/>
  <c r="B24" i="46"/>
  <c r="A24" i="46"/>
  <c r="C23" i="46"/>
  <c r="B23" i="46"/>
  <c r="A23" i="46"/>
  <c r="B22" i="46"/>
  <c r="A22" i="46"/>
  <c r="C21" i="46"/>
  <c r="B21" i="46"/>
  <c r="A21" i="46"/>
  <c r="B19" i="46"/>
  <c r="A19" i="46"/>
  <c r="B18" i="46"/>
  <c r="A18" i="46"/>
  <c r="A274" i="45"/>
  <c r="A273" i="45"/>
  <c r="A272" i="45"/>
  <c r="A271" i="45"/>
  <c r="A270" i="45"/>
  <c r="A269" i="45"/>
  <c r="A268" i="45"/>
  <c r="A267" i="45"/>
  <c r="A266" i="45"/>
  <c r="A265" i="45"/>
  <c r="A264" i="45"/>
  <c r="A263" i="45"/>
  <c r="A262" i="45"/>
  <c r="A261" i="45"/>
  <c r="A260" i="45"/>
  <c r="A259" i="45"/>
  <c r="A258" i="45"/>
  <c r="A257" i="45"/>
  <c r="A256" i="45"/>
  <c r="A255" i="45"/>
  <c r="A254" i="45"/>
  <c r="A253" i="45"/>
  <c r="A252" i="45"/>
  <c r="A251" i="45"/>
  <c r="A250" i="45"/>
  <c r="A249" i="45"/>
  <c r="A248" i="45"/>
  <c r="A247" i="45"/>
  <c r="A246" i="45"/>
  <c r="A245" i="45"/>
  <c r="E238" i="45"/>
  <c r="A235" i="45"/>
  <c r="A234" i="45"/>
  <c r="A232" i="45"/>
  <c r="A231" i="45"/>
  <c r="A229" i="45"/>
  <c r="A228" i="45"/>
  <c r="A227" i="45"/>
  <c r="A226" i="45"/>
  <c r="A225" i="45"/>
  <c r="A224" i="45"/>
  <c r="A223" i="45"/>
  <c r="A222" i="45"/>
  <c r="A221" i="45"/>
  <c r="A220" i="45"/>
  <c r="A219" i="45"/>
  <c r="A218" i="45"/>
  <c r="A217" i="45"/>
  <c r="A216" i="45"/>
  <c r="A215" i="45"/>
  <c r="A213" i="45"/>
  <c r="A212" i="45"/>
  <c r="A211" i="45"/>
  <c r="A210" i="45"/>
  <c r="A209" i="45"/>
  <c r="A208" i="45"/>
  <c r="A207" i="45"/>
  <c r="A204" i="45"/>
  <c r="A203" i="45"/>
  <c r="A202" i="45"/>
  <c r="D201" i="45"/>
  <c r="C201" i="45"/>
  <c r="B201" i="45"/>
  <c r="A201" i="45"/>
  <c r="A140" i="45"/>
  <c r="A139" i="45"/>
  <c r="A138" i="45"/>
  <c r="A137" i="45"/>
  <c r="A136" i="45"/>
  <c r="A135" i="45"/>
  <c r="A134" i="45"/>
  <c r="A133" i="45"/>
  <c r="A132" i="45"/>
  <c r="A131" i="45"/>
  <c r="A130" i="45"/>
  <c r="A129" i="45"/>
  <c r="A128" i="45"/>
  <c r="A127" i="45"/>
  <c r="A126" i="45"/>
  <c r="A125" i="45"/>
  <c r="A124" i="45"/>
  <c r="A123" i="45"/>
  <c r="A122" i="45"/>
  <c r="A121" i="45"/>
  <c r="A120" i="45"/>
  <c r="D119" i="45"/>
  <c r="C119" i="45"/>
  <c r="B119" i="45"/>
  <c r="A119" i="45"/>
  <c r="A118" i="45"/>
  <c r="A117" i="45"/>
  <c r="A116" i="45"/>
  <c r="A115" i="45"/>
  <c r="A114" i="45"/>
  <c r="A113" i="45"/>
  <c r="A112" i="45"/>
  <c r="A111" i="45"/>
  <c r="A110" i="45"/>
  <c r="A109" i="45"/>
  <c r="D108" i="45"/>
  <c r="C108" i="45"/>
  <c r="B108" i="45"/>
  <c r="A108" i="45"/>
  <c r="A103" i="45"/>
  <c r="A102" i="45"/>
  <c r="A101" i="45"/>
  <c r="A100" i="45"/>
  <c r="A99" i="45"/>
  <c r="A98" i="45"/>
  <c r="A97" i="45"/>
  <c r="A96" i="45"/>
  <c r="A95" i="45"/>
  <c r="A94" i="45"/>
  <c r="A93" i="45"/>
  <c r="A92" i="45"/>
  <c r="A91" i="45"/>
  <c r="A90" i="45"/>
  <c r="D89" i="45"/>
  <c r="C89" i="45"/>
  <c r="B89" i="45"/>
  <c r="A89" i="45"/>
  <c r="A13" i="45"/>
  <c r="C278" i="44"/>
  <c r="B278" i="44"/>
  <c r="A278" i="44"/>
  <c r="C277" i="44"/>
  <c r="B277" i="44"/>
  <c r="A277" i="44"/>
  <c r="C276" i="44"/>
  <c r="B276" i="44"/>
  <c r="A276" i="44"/>
  <c r="C275" i="44"/>
  <c r="B275" i="44"/>
  <c r="A275" i="44"/>
  <c r="C274" i="44"/>
  <c r="B274" i="44"/>
  <c r="A274" i="44"/>
  <c r="C273" i="44"/>
  <c r="B273" i="44"/>
  <c r="A273" i="44"/>
  <c r="C272" i="44"/>
  <c r="B272" i="44"/>
  <c r="A272" i="44"/>
  <c r="C271" i="44"/>
  <c r="B271" i="44"/>
  <c r="A271" i="44"/>
  <c r="C270" i="44"/>
  <c r="B270" i="44"/>
  <c r="A270" i="44"/>
  <c r="C269" i="44"/>
  <c r="B269" i="44"/>
  <c r="A269" i="44"/>
  <c r="C268" i="44"/>
  <c r="B268" i="44"/>
  <c r="A268" i="44"/>
  <c r="C267" i="44"/>
  <c r="B267" i="44"/>
  <c r="A267" i="44"/>
  <c r="C266" i="44"/>
  <c r="B266" i="44"/>
  <c r="A266" i="44"/>
  <c r="C265" i="44"/>
  <c r="B265" i="44"/>
  <c r="A265" i="44"/>
  <c r="C264" i="44"/>
  <c r="B264" i="44"/>
  <c r="A264" i="44"/>
  <c r="C263" i="44"/>
  <c r="B263" i="44"/>
  <c r="A263" i="44"/>
  <c r="C262" i="44"/>
  <c r="B262" i="44"/>
  <c r="A262" i="44"/>
  <c r="C261" i="44"/>
  <c r="B261" i="44"/>
  <c r="A261" i="44"/>
  <c r="C260" i="44"/>
  <c r="B260" i="44"/>
  <c r="A260" i="44"/>
  <c r="C259" i="44"/>
  <c r="B259" i="44"/>
  <c r="A259" i="44"/>
  <c r="C258" i="44"/>
  <c r="B258" i="44"/>
  <c r="A258" i="44"/>
  <c r="C257" i="44"/>
  <c r="B257" i="44"/>
  <c r="A257" i="44"/>
  <c r="C256" i="44"/>
  <c r="B256" i="44"/>
  <c r="A256" i="44"/>
  <c r="C255" i="44"/>
  <c r="B255" i="44"/>
  <c r="A255" i="44"/>
  <c r="C254" i="44"/>
  <c r="B254" i="44"/>
  <c r="A254" i="44"/>
  <c r="C253" i="44"/>
  <c r="B253" i="44"/>
  <c r="A253" i="44"/>
  <c r="C252" i="44"/>
  <c r="B252" i="44"/>
  <c r="A252" i="44"/>
  <c r="C251" i="44"/>
  <c r="B251" i="44"/>
  <c r="A251" i="44"/>
  <c r="C250" i="44"/>
  <c r="B250" i="44"/>
  <c r="A250" i="44"/>
  <c r="C249" i="44"/>
  <c r="B249" i="44"/>
  <c r="A249" i="44"/>
  <c r="B239" i="44"/>
  <c r="A239" i="44"/>
  <c r="B238" i="44"/>
  <c r="A238" i="44"/>
  <c r="C236" i="44"/>
  <c r="B236" i="44"/>
  <c r="A236" i="44"/>
  <c r="B235" i="44"/>
  <c r="A235" i="44"/>
  <c r="C233" i="44"/>
  <c r="B233" i="44"/>
  <c r="A233" i="44"/>
  <c r="B232" i="44"/>
  <c r="A232" i="44"/>
  <c r="C231" i="44"/>
  <c r="B231" i="44"/>
  <c r="A231" i="44"/>
  <c r="C230" i="44"/>
  <c r="B230" i="44"/>
  <c r="A230" i="44"/>
  <c r="B229" i="44"/>
  <c r="A229" i="44"/>
  <c r="B228" i="44"/>
  <c r="A228" i="44"/>
  <c r="B227" i="44"/>
  <c r="A227" i="44"/>
  <c r="B226" i="44"/>
  <c r="A226" i="44"/>
  <c r="B225" i="44"/>
  <c r="A225" i="44"/>
  <c r="B224" i="44"/>
  <c r="A224" i="44"/>
  <c r="B223" i="44"/>
  <c r="A223" i="44"/>
  <c r="B222" i="44"/>
  <c r="A222" i="44"/>
  <c r="B221" i="44"/>
  <c r="A221" i="44"/>
  <c r="B220" i="44"/>
  <c r="A220" i="44"/>
  <c r="B219" i="44"/>
  <c r="A219" i="44"/>
  <c r="B217" i="44"/>
  <c r="A217" i="44"/>
  <c r="B216" i="44"/>
  <c r="A216" i="44"/>
  <c r="B215" i="44"/>
  <c r="A215" i="44"/>
  <c r="B214" i="44"/>
  <c r="A214" i="44"/>
  <c r="B213" i="44"/>
  <c r="A213" i="44"/>
  <c r="B212" i="44"/>
  <c r="A212" i="44"/>
  <c r="B211" i="44"/>
  <c r="A211" i="44"/>
  <c r="B208" i="44"/>
  <c r="A208" i="44"/>
  <c r="B207" i="44"/>
  <c r="A207" i="44"/>
  <c r="B206" i="44"/>
  <c r="A206" i="44"/>
  <c r="C205" i="44"/>
  <c r="B205" i="44"/>
  <c r="A205" i="44"/>
  <c r="B144" i="44"/>
  <c r="A144" i="44"/>
  <c r="B143" i="44"/>
  <c r="A143" i="44"/>
  <c r="B142" i="44"/>
  <c r="A142" i="44"/>
  <c r="B141" i="44"/>
  <c r="A141" i="44"/>
  <c r="B140" i="44"/>
  <c r="A140" i="44"/>
  <c r="B139" i="44"/>
  <c r="A139" i="44"/>
  <c r="B138" i="44"/>
  <c r="A138" i="44"/>
  <c r="B137" i="44"/>
  <c r="A137" i="44"/>
  <c r="B136" i="44"/>
  <c r="A136" i="44"/>
  <c r="B135" i="44"/>
  <c r="A135" i="44"/>
  <c r="B134" i="44"/>
  <c r="A134" i="44"/>
  <c r="B133" i="44"/>
  <c r="A133" i="44"/>
  <c r="B132" i="44"/>
  <c r="A132" i="44"/>
  <c r="B131" i="44"/>
  <c r="A131" i="44"/>
  <c r="B130" i="44"/>
  <c r="A130" i="44"/>
  <c r="B129" i="44"/>
  <c r="A129" i="44"/>
  <c r="B128" i="44"/>
  <c r="A128" i="44"/>
  <c r="B127" i="44"/>
  <c r="A127" i="44"/>
  <c r="B126" i="44"/>
  <c r="A126" i="44"/>
  <c r="B125" i="44"/>
  <c r="A125" i="44"/>
  <c r="B124" i="44"/>
  <c r="A124" i="44"/>
  <c r="C123" i="44"/>
  <c r="B123" i="44"/>
  <c r="A123" i="44"/>
  <c r="B122" i="44"/>
  <c r="A122" i="44"/>
  <c r="B121" i="44"/>
  <c r="A121" i="44"/>
  <c r="B120" i="44"/>
  <c r="A120" i="44"/>
  <c r="B119" i="44"/>
  <c r="A119" i="44"/>
  <c r="B118" i="44"/>
  <c r="A118" i="44"/>
  <c r="B117" i="44"/>
  <c r="A117" i="44"/>
  <c r="B116" i="44"/>
  <c r="A116" i="44"/>
  <c r="B115" i="44"/>
  <c r="A115" i="44"/>
  <c r="B114" i="44"/>
  <c r="A114" i="44"/>
  <c r="B113" i="44"/>
  <c r="A113" i="44"/>
  <c r="C112" i="44"/>
  <c r="B112" i="44"/>
  <c r="A112" i="44"/>
  <c r="B107" i="44"/>
  <c r="A107" i="44"/>
  <c r="B106" i="44"/>
  <c r="A106" i="44"/>
  <c r="B105" i="44"/>
  <c r="A105" i="44"/>
  <c r="B104" i="44"/>
  <c r="A104" i="44"/>
  <c r="B103" i="44"/>
  <c r="A103" i="44"/>
  <c r="B102" i="44"/>
  <c r="A102" i="44"/>
  <c r="B101" i="44"/>
  <c r="A101" i="44"/>
  <c r="B100" i="44"/>
  <c r="A100" i="44"/>
  <c r="B99" i="44"/>
  <c r="A99" i="44"/>
  <c r="B98" i="44"/>
  <c r="A98" i="44"/>
  <c r="B97" i="44"/>
  <c r="A97" i="44"/>
  <c r="B96" i="44"/>
  <c r="A96" i="44"/>
  <c r="B95" i="44"/>
  <c r="A95" i="44"/>
  <c r="B94" i="44"/>
  <c r="A94" i="44"/>
  <c r="C93" i="44"/>
  <c r="B93" i="44"/>
  <c r="A93" i="44"/>
  <c r="C17" i="44"/>
  <c r="B17" i="44"/>
  <c r="A17" i="44"/>
  <c r="A244" i="41"/>
  <c r="A243" i="41"/>
  <c r="A242" i="41"/>
  <c r="A240" i="41"/>
  <c r="A239" i="41"/>
  <c r="A200" i="41"/>
  <c r="A199" i="41"/>
  <c r="A198" i="41"/>
  <c r="D197" i="41"/>
  <c r="C197" i="41"/>
  <c r="B197" i="41"/>
  <c r="A197" i="41"/>
  <c r="A196" i="41"/>
  <c r="A195" i="41"/>
  <c r="A194" i="41"/>
  <c r="A193" i="41"/>
  <c r="A192" i="41"/>
  <c r="A191" i="41"/>
  <c r="A190" i="41"/>
  <c r="A189" i="41"/>
  <c r="A188" i="41"/>
  <c r="A187" i="41"/>
  <c r="A186" i="41"/>
  <c r="A185" i="41"/>
  <c r="A184" i="41"/>
  <c r="A183" i="41"/>
  <c r="A182" i="41"/>
  <c r="D181" i="41"/>
  <c r="C181" i="41"/>
  <c r="B181" i="41"/>
  <c r="A181" i="41"/>
  <c r="A180" i="41"/>
  <c r="A179" i="41"/>
  <c r="A178" i="41"/>
  <c r="A177" i="41"/>
  <c r="A176" i="41"/>
  <c r="A175" i="41"/>
  <c r="A174" i="41"/>
  <c r="A173" i="41"/>
  <c r="A172" i="41"/>
  <c r="A171" i="41"/>
  <c r="A170" i="41"/>
  <c r="A169" i="41"/>
  <c r="A168" i="41"/>
  <c r="A167" i="41"/>
  <c r="A166" i="41"/>
  <c r="A165" i="41"/>
  <c r="A164" i="41"/>
  <c r="A163" i="41"/>
  <c r="A162" i="41"/>
  <c r="A161" i="41"/>
  <c r="A160" i="41"/>
  <c r="A159" i="41"/>
  <c r="A158" i="41"/>
  <c r="A157" i="41"/>
  <c r="A156" i="41"/>
  <c r="A155" i="41"/>
  <c r="A154" i="41"/>
  <c r="A153" i="41"/>
  <c r="A152" i="41"/>
  <c r="A151" i="41"/>
  <c r="A150" i="41"/>
  <c r="A149" i="41"/>
  <c r="A148" i="41"/>
  <c r="A147" i="41"/>
  <c r="A146" i="41"/>
  <c r="A145" i="41"/>
  <c r="A144" i="41"/>
  <c r="A143" i="41"/>
  <c r="A142" i="41"/>
  <c r="D141" i="41"/>
  <c r="C141" i="41"/>
  <c r="B141" i="41"/>
  <c r="A141" i="41"/>
  <c r="A106" i="41"/>
  <c r="A105" i="41"/>
  <c r="D104" i="41"/>
  <c r="C104" i="41"/>
  <c r="B104" i="41"/>
  <c r="A104" i="41"/>
  <c r="A88" i="41"/>
  <c r="A87" i="41"/>
  <c r="A86" i="41"/>
  <c r="A85" i="41"/>
  <c r="D84" i="41"/>
  <c r="C84" i="41"/>
  <c r="B84" i="41"/>
  <c r="A84" i="41"/>
  <c r="A83" i="41"/>
  <c r="A82" i="41"/>
  <c r="A81" i="41"/>
  <c r="A80" i="41"/>
  <c r="A79" i="41"/>
  <c r="A78" i="41"/>
  <c r="D77" i="41"/>
  <c r="C77" i="41"/>
  <c r="B77" i="41"/>
  <c r="A77" i="41"/>
  <c r="A76" i="41"/>
  <c r="A75" i="41"/>
  <c r="A74" i="41"/>
  <c r="A73" i="41"/>
  <c r="A72" i="41"/>
  <c r="A71" i="41"/>
  <c r="A70" i="41"/>
  <c r="A69" i="41"/>
  <c r="A68" i="41"/>
  <c r="A67" i="41"/>
  <c r="A66" i="41"/>
  <c r="A65" i="41"/>
  <c r="A64" i="41"/>
  <c r="A63" i="41"/>
  <c r="A62" i="41"/>
  <c r="A61" i="41"/>
  <c r="A60" i="41"/>
  <c r="A59" i="41"/>
  <c r="A58" i="41"/>
  <c r="A57" i="41"/>
  <c r="A56" i="41"/>
  <c r="A55" i="41"/>
  <c r="A54" i="41"/>
  <c r="A53" i="41"/>
  <c r="A52" i="41"/>
  <c r="A51" i="41"/>
  <c r="A50" i="41"/>
  <c r="A49" i="41"/>
  <c r="A48" i="41"/>
  <c r="A47" i="41"/>
  <c r="D46" i="41"/>
  <c r="C46" i="41"/>
  <c r="B46" i="41"/>
  <c r="A46" i="41"/>
  <c r="A45" i="41"/>
  <c r="A44" i="41"/>
  <c r="A43" i="41"/>
  <c r="A42" i="41"/>
  <c r="A41" i="41"/>
  <c r="A40" i="41"/>
  <c r="A39" i="41"/>
  <c r="A38" i="41"/>
  <c r="A37" i="41"/>
  <c r="A36" i="41"/>
  <c r="A35" i="41"/>
  <c r="A34" i="41"/>
  <c r="A33" i="41"/>
  <c r="A32" i="41"/>
  <c r="A31" i="41"/>
  <c r="A30" i="41"/>
  <c r="A29" i="41"/>
  <c r="A28" i="41"/>
  <c r="D27" i="41"/>
  <c r="C27" i="41"/>
  <c r="B27" i="41"/>
  <c r="A27" i="41"/>
  <c r="A26" i="41"/>
  <c r="A25" i="41"/>
  <c r="A24" i="41"/>
  <c r="A23" i="41"/>
  <c r="A22" i="41"/>
  <c r="A21" i="41"/>
  <c r="A20" i="41"/>
  <c r="D19" i="41"/>
  <c r="C19" i="41"/>
  <c r="B19" i="41"/>
  <c r="A19" i="41"/>
  <c r="A18" i="41"/>
  <c r="D17" i="41"/>
  <c r="C17" i="41"/>
  <c r="B17" i="41"/>
  <c r="A17" i="41"/>
  <c r="A15" i="41"/>
  <c r="A14" i="41"/>
  <c r="C248" i="40"/>
  <c r="B248" i="40"/>
  <c r="A248" i="40"/>
  <c r="B247" i="40"/>
  <c r="A247" i="40"/>
  <c r="B246" i="40"/>
  <c r="A246" i="40"/>
  <c r="C244" i="40"/>
  <c r="B244" i="40"/>
  <c r="A244" i="40"/>
  <c r="B243" i="40"/>
  <c r="A243" i="40"/>
  <c r="B204" i="40"/>
  <c r="A204" i="40"/>
  <c r="B203" i="40"/>
  <c r="A203" i="40"/>
  <c r="B202" i="40"/>
  <c r="A202" i="40"/>
  <c r="C201" i="40"/>
  <c r="B201" i="40"/>
  <c r="A201" i="40"/>
  <c r="B200" i="40"/>
  <c r="A200" i="40"/>
  <c r="B199" i="40"/>
  <c r="A199" i="40"/>
  <c r="B198" i="40"/>
  <c r="A198" i="40"/>
  <c r="B197" i="40"/>
  <c r="A197" i="40"/>
  <c r="C196" i="40"/>
  <c r="B196" i="40"/>
  <c r="A196" i="40"/>
  <c r="B195" i="40"/>
  <c r="A195" i="40"/>
  <c r="B194" i="40"/>
  <c r="A194" i="40"/>
  <c r="B193" i="40"/>
  <c r="A193" i="40"/>
  <c r="B192" i="40"/>
  <c r="A192" i="40"/>
  <c r="B191" i="40"/>
  <c r="A191" i="40"/>
  <c r="B190" i="40"/>
  <c r="A190" i="40"/>
  <c r="B189" i="40"/>
  <c r="A189" i="40"/>
  <c r="B188" i="40"/>
  <c r="A188" i="40"/>
  <c r="B187" i="40"/>
  <c r="A187" i="40"/>
  <c r="B186" i="40"/>
  <c r="A186" i="40"/>
  <c r="C185" i="40"/>
  <c r="B185" i="40"/>
  <c r="A185" i="40"/>
  <c r="B184" i="40"/>
  <c r="A184" i="40"/>
  <c r="B183" i="40"/>
  <c r="A183" i="40"/>
  <c r="B182" i="40"/>
  <c r="A182" i="40"/>
  <c r="B181" i="40"/>
  <c r="A181" i="40"/>
  <c r="B180" i="40"/>
  <c r="A180" i="40"/>
  <c r="B179" i="40"/>
  <c r="A179" i="40"/>
  <c r="B178" i="40"/>
  <c r="A178" i="40"/>
  <c r="B177" i="40"/>
  <c r="A177" i="40"/>
  <c r="B176" i="40"/>
  <c r="A176" i="40"/>
  <c r="B175" i="40"/>
  <c r="A175" i="40"/>
  <c r="B174" i="40"/>
  <c r="A174" i="40"/>
  <c r="B173" i="40"/>
  <c r="A173" i="40"/>
  <c r="B172" i="40"/>
  <c r="A172" i="40"/>
  <c r="B171" i="40"/>
  <c r="A171" i="40"/>
  <c r="B170" i="40"/>
  <c r="A170" i="40"/>
  <c r="B169" i="40"/>
  <c r="A169" i="40"/>
  <c r="B168" i="40"/>
  <c r="A168" i="40"/>
  <c r="B167" i="40"/>
  <c r="A167" i="40"/>
  <c r="B166" i="40"/>
  <c r="A166" i="40"/>
  <c r="B165" i="40"/>
  <c r="A165" i="40"/>
  <c r="B164" i="40"/>
  <c r="A164" i="40"/>
  <c r="B163" i="40"/>
  <c r="A163" i="40"/>
  <c r="B162" i="40"/>
  <c r="A162" i="40"/>
  <c r="B161" i="40"/>
  <c r="A161" i="40"/>
  <c r="B160" i="40"/>
  <c r="A160" i="40"/>
  <c r="B159" i="40"/>
  <c r="A159" i="40"/>
  <c r="B158" i="40"/>
  <c r="A158" i="40"/>
  <c r="B157" i="40"/>
  <c r="A157" i="40"/>
  <c r="B156" i="40"/>
  <c r="A156" i="40"/>
  <c r="B155" i="40"/>
  <c r="A155" i="40"/>
  <c r="B154" i="40"/>
  <c r="A154" i="40"/>
  <c r="B153" i="40"/>
  <c r="A153" i="40"/>
  <c r="B152" i="40"/>
  <c r="A152" i="40"/>
  <c r="B151" i="40"/>
  <c r="A151" i="40"/>
  <c r="B150" i="40"/>
  <c r="A150" i="40"/>
  <c r="B149" i="40"/>
  <c r="A149" i="40"/>
  <c r="B148" i="40"/>
  <c r="A148" i="40"/>
  <c r="B147" i="40"/>
  <c r="A147" i="40"/>
  <c r="B146" i="40"/>
  <c r="A146" i="40"/>
  <c r="C145" i="40"/>
  <c r="B145" i="40"/>
  <c r="A145" i="40"/>
  <c r="B110" i="40"/>
  <c r="A110" i="40"/>
  <c r="B109" i="40"/>
  <c r="A109" i="40"/>
  <c r="C108" i="40"/>
  <c r="B108" i="40"/>
  <c r="A108" i="40"/>
  <c r="B92" i="40"/>
  <c r="A92" i="40"/>
  <c r="B91" i="40"/>
  <c r="A91" i="40"/>
  <c r="B90" i="40"/>
  <c r="A90" i="40"/>
  <c r="B89" i="40"/>
  <c r="A89" i="40"/>
  <c r="C88" i="40"/>
  <c r="B88" i="40"/>
  <c r="A88" i="40"/>
  <c r="B87" i="40"/>
  <c r="A87" i="40"/>
  <c r="B86" i="40"/>
  <c r="A86" i="40"/>
  <c r="B85" i="40"/>
  <c r="A85" i="40"/>
  <c r="B84" i="40"/>
  <c r="A84" i="40"/>
  <c r="B83" i="40"/>
  <c r="A83" i="40"/>
  <c r="B82" i="40"/>
  <c r="A82" i="40"/>
  <c r="C81" i="40"/>
  <c r="B81" i="40"/>
  <c r="A81" i="40"/>
  <c r="B80" i="40"/>
  <c r="A80" i="40"/>
  <c r="B79" i="40"/>
  <c r="A79" i="40"/>
  <c r="B78" i="40"/>
  <c r="A78" i="40"/>
  <c r="B77" i="40"/>
  <c r="A77" i="40"/>
  <c r="B76" i="40"/>
  <c r="A76" i="40"/>
  <c r="B75" i="40"/>
  <c r="A75" i="40"/>
  <c r="B74" i="40"/>
  <c r="A74" i="40"/>
  <c r="B73" i="40"/>
  <c r="A73" i="40"/>
  <c r="B72" i="40"/>
  <c r="A72" i="40"/>
  <c r="B71" i="40"/>
  <c r="A71" i="40"/>
  <c r="B70" i="40"/>
  <c r="A70" i="40"/>
  <c r="B69" i="40"/>
  <c r="A69" i="40"/>
  <c r="B68" i="40"/>
  <c r="A68" i="40"/>
  <c r="B67" i="40"/>
  <c r="A67" i="40"/>
  <c r="B66" i="40"/>
  <c r="A66" i="40"/>
  <c r="B65" i="40"/>
  <c r="A65" i="40"/>
  <c r="B64" i="40"/>
  <c r="A64" i="40"/>
  <c r="B63" i="40"/>
  <c r="A63" i="40"/>
  <c r="B62" i="40"/>
  <c r="A62" i="40"/>
  <c r="B61" i="40"/>
  <c r="A61" i="40"/>
  <c r="B60" i="40"/>
  <c r="A60" i="40"/>
  <c r="B59" i="40"/>
  <c r="A59" i="40"/>
  <c r="B58" i="40"/>
  <c r="A58" i="40"/>
  <c r="B57" i="40"/>
  <c r="A57" i="40"/>
  <c r="B56" i="40"/>
  <c r="A56" i="40"/>
  <c r="B55" i="40"/>
  <c r="A55" i="40"/>
  <c r="B54" i="40"/>
  <c r="A54" i="40"/>
  <c r="B53" i="40"/>
  <c r="A53" i="40"/>
  <c r="B52" i="40"/>
  <c r="A52" i="40"/>
  <c r="B51" i="40"/>
  <c r="A51" i="40"/>
  <c r="C50" i="40"/>
  <c r="B50" i="40"/>
  <c r="A50" i="40"/>
  <c r="B49" i="40"/>
  <c r="A49" i="40"/>
  <c r="B48" i="40"/>
  <c r="A48" i="40"/>
  <c r="B47" i="40"/>
  <c r="A47" i="40"/>
  <c r="B46" i="40"/>
  <c r="A46" i="40"/>
  <c r="B45" i="40"/>
  <c r="A45" i="40"/>
  <c r="B44" i="40"/>
  <c r="A44" i="40"/>
  <c r="B43" i="40"/>
  <c r="A43" i="40"/>
  <c r="B42" i="40"/>
  <c r="A42" i="40"/>
  <c r="B41" i="40"/>
  <c r="A41" i="40"/>
  <c r="C40" i="40"/>
  <c r="B40" i="40"/>
  <c r="A40" i="40"/>
  <c r="C39" i="40"/>
  <c r="B39" i="40"/>
  <c r="A39" i="40"/>
  <c r="C38" i="40"/>
  <c r="B38" i="40"/>
  <c r="A38" i="40"/>
  <c r="B37" i="40"/>
  <c r="A37" i="40"/>
  <c r="B36" i="40"/>
  <c r="A36" i="40"/>
  <c r="C35" i="40"/>
  <c r="B35" i="40"/>
  <c r="A35" i="40"/>
  <c r="C34" i="40"/>
  <c r="B34" i="40"/>
  <c r="A34" i="40"/>
  <c r="C33" i="40"/>
  <c r="B33" i="40"/>
  <c r="A33" i="40"/>
  <c r="C32" i="40"/>
  <c r="B32" i="40"/>
  <c r="A32" i="40"/>
  <c r="C31" i="40"/>
  <c r="B31" i="40"/>
  <c r="A31" i="40"/>
  <c r="C30" i="40"/>
  <c r="B30" i="40"/>
  <c r="A30" i="40"/>
  <c r="C29" i="40"/>
  <c r="B29" i="40"/>
  <c r="A29" i="40"/>
  <c r="C28" i="40"/>
  <c r="B28" i="40"/>
  <c r="A28" i="40"/>
  <c r="C27" i="40"/>
  <c r="B27" i="40"/>
  <c r="A27" i="40"/>
  <c r="C26" i="40"/>
  <c r="B26" i="40"/>
  <c r="A26" i="40"/>
  <c r="C25" i="40"/>
  <c r="B25" i="40"/>
  <c r="A25" i="40"/>
  <c r="C24" i="40"/>
  <c r="B24" i="40"/>
  <c r="A24" i="40"/>
  <c r="C23" i="40"/>
  <c r="B23" i="40"/>
  <c r="A23" i="40"/>
  <c r="B22" i="40"/>
  <c r="A22" i="40"/>
  <c r="C21" i="40"/>
  <c r="B21" i="40"/>
  <c r="A21" i="40"/>
  <c r="B19" i="40"/>
  <c r="A19" i="40"/>
  <c r="B18" i="40"/>
  <c r="A18" i="40"/>
  <c r="A274" i="22"/>
  <c r="A273" i="22"/>
  <c r="A272" i="22"/>
  <c r="A271" i="22"/>
  <c r="A270" i="22"/>
  <c r="A269" i="22"/>
  <c r="A268" i="22"/>
  <c r="A267" i="22"/>
  <c r="A266" i="22"/>
  <c r="A265" i="22"/>
  <c r="A264" i="22"/>
  <c r="A263" i="22"/>
  <c r="A262" i="22"/>
  <c r="A261" i="22"/>
  <c r="A260" i="22"/>
  <c r="A259" i="22"/>
  <c r="A258" i="22"/>
  <c r="A257" i="22"/>
  <c r="A256" i="22"/>
  <c r="A255" i="22"/>
  <c r="A254" i="22"/>
  <c r="A253" i="22"/>
  <c r="A252" i="22"/>
  <c r="A251" i="22"/>
  <c r="A250" i="22"/>
  <c r="A249" i="22"/>
  <c r="A248" i="22"/>
  <c r="A247" i="22"/>
  <c r="A246" i="22"/>
  <c r="A245" i="22"/>
  <c r="A235" i="22"/>
  <c r="A234" i="22"/>
  <c r="A232" i="22"/>
  <c r="A231" i="22"/>
  <c r="A229" i="22"/>
  <c r="A228" i="22"/>
  <c r="A227" i="22"/>
  <c r="A226" i="22"/>
  <c r="A225" i="22"/>
  <c r="A224" i="22"/>
  <c r="A223" i="22"/>
  <c r="A222" i="22"/>
  <c r="A221" i="22"/>
  <c r="A220" i="22"/>
  <c r="A219" i="22"/>
  <c r="A218" i="22"/>
  <c r="A217" i="22"/>
  <c r="A216" i="22"/>
  <c r="A215" i="22"/>
  <c r="A213" i="22"/>
  <c r="A212" i="22"/>
  <c r="A211" i="22"/>
  <c r="A210" i="22"/>
  <c r="A209" i="22"/>
  <c r="A208" i="22"/>
  <c r="A207" i="22"/>
  <c r="A204" i="22"/>
  <c r="A203" i="22"/>
  <c r="A202" i="22"/>
  <c r="D201" i="22"/>
  <c r="C201" i="22"/>
  <c r="B201" i="22"/>
  <c r="A201" i="22"/>
  <c r="A140" i="22"/>
  <c r="A139" i="22"/>
  <c r="A138" i="22"/>
  <c r="A137" i="22"/>
  <c r="A136" i="22"/>
  <c r="A135" i="22"/>
  <c r="A134" i="22"/>
  <c r="A133" i="22"/>
  <c r="A132" i="22"/>
  <c r="A131" i="22"/>
  <c r="A130" i="22"/>
  <c r="A129" i="22"/>
  <c r="A128" i="22"/>
  <c r="A127" i="22"/>
  <c r="A126" i="22"/>
  <c r="A125" i="22"/>
  <c r="A124" i="22"/>
  <c r="A123" i="22"/>
  <c r="A122" i="22"/>
  <c r="A121" i="22"/>
  <c r="A120" i="22"/>
  <c r="D119" i="22"/>
  <c r="C119" i="22"/>
  <c r="B119" i="22"/>
  <c r="A119" i="22"/>
  <c r="A118" i="22"/>
  <c r="A117" i="22"/>
  <c r="A116" i="22"/>
  <c r="A115" i="22"/>
  <c r="A114" i="22"/>
  <c r="A113" i="22"/>
  <c r="A112" i="22"/>
  <c r="A111" i="22"/>
  <c r="A110" i="22"/>
  <c r="A109" i="22"/>
  <c r="D108" i="22"/>
  <c r="C108" i="22"/>
  <c r="B108" i="22"/>
  <c r="A108" i="22"/>
  <c r="A103" i="22"/>
  <c r="A102" i="22"/>
  <c r="A101" i="22"/>
  <c r="A100" i="22"/>
  <c r="A99" i="22"/>
  <c r="A98" i="22"/>
  <c r="A97" i="22"/>
  <c r="A96" i="22"/>
  <c r="A95" i="22"/>
  <c r="A94" i="22"/>
  <c r="A93" i="22"/>
  <c r="A92" i="22"/>
  <c r="A91" i="22"/>
  <c r="A90" i="22"/>
  <c r="D89" i="22"/>
  <c r="C89" i="22"/>
  <c r="B89" i="22"/>
  <c r="A89" i="22"/>
  <c r="A13" i="22"/>
  <c r="C278" i="37"/>
  <c r="B278" i="37"/>
  <c r="A278" i="37"/>
  <c r="C277" i="37"/>
  <c r="B277" i="37"/>
  <c r="A277" i="37"/>
  <c r="C276" i="37"/>
  <c r="B276" i="37"/>
  <c r="A276" i="37"/>
  <c r="C275" i="37"/>
  <c r="B275" i="37"/>
  <c r="A275" i="37"/>
  <c r="C274" i="37"/>
  <c r="B274" i="37"/>
  <c r="A274" i="37"/>
  <c r="C273" i="37"/>
  <c r="B273" i="37"/>
  <c r="A273" i="37"/>
  <c r="C272" i="37"/>
  <c r="B272" i="37"/>
  <c r="A272" i="37"/>
  <c r="C271" i="37"/>
  <c r="B271" i="37"/>
  <c r="A271" i="37"/>
  <c r="C270" i="37"/>
  <c r="B270" i="37"/>
  <c r="A270" i="37"/>
  <c r="C269" i="37"/>
  <c r="B269" i="37"/>
  <c r="A269" i="37"/>
  <c r="C268" i="37"/>
  <c r="B268" i="37"/>
  <c r="A268" i="37"/>
  <c r="C267" i="37"/>
  <c r="B267" i="37"/>
  <c r="A267" i="37"/>
  <c r="C266" i="37"/>
  <c r="B266" i="37"/>
  <c r="A266" i="37"/>
  <c r="C265" i="37"/>
  <c r="B265" i="37"/>
  <c r="A265" i="37"/>
  <c r="C264" i="37"/>
  <c r="B264" i="37"/>
  <c r="A264" i="37"/>
  <c r="C263" i="37"/>
  <c r="B263" i="37"/>
  <c r="A263" i="37"/>
  <c r="C262" i="37"/>
  <c r="B262" i="37"/>
  <c r="A262" i="37"/>
  <c r="C261" i="37"/>
  <c r="B261" i="37"/>
  <c r="A261" i="37"/>
  <c r="C260" i="37"/>
  <c r="B260" i="37"/>
  <c r="A260" i="37"/>
  <c r="C259" i="37"/>
  <c r="B259" i="37"/>
  <c r="A259" i="37"/>
  <c r="C258" i="37"/>
  <c r="B258" i="37"/>
  <c r="A258" i="37"/>
  <c r="C257" i="37"/>
  <c r="B257" i="37"/>
  <c r="A257" i="37"/>
  <c r="C256" i="37"/>
  <c r="B256" i="37"/>
  <c r="A256" i="37"/>
  <c r="C255" i="37"/>
  <c r="B255" i="37"/>
  <c r="A255" i="37"/>
  <c r="C254" i="37"/>
  <c r="B254" i="37"/>
  <c r="A254" i="37"/>
  <c r="C253" i="37"/>
  <c r="B253" i="37"/>
  <c r="A253" i="37"/>
  <c r="C252" i="37"/>
  <c r="B252" i="37"/>
  <c r="A252" i="37"/>
  <c r="C251" i="37"/>
  <c r="B251" i="37"/>
  <c r="A251" i="37"/>
  <c r="C250" i="37"/>
  <c r="B250" i="37"/>
  <c r="A250" i="37"/>
  <c r="C249" i="37"/>
  <c r="B249" i="37"/>
  <c r="A249" i="37"/>
  <c r="B239" i="37"/>
  <c r="A239" i="37"/>
  <c r="B238" i="37"/>
  <c r="A238" i="37"/>
  <c r="C236" i="37"/>
  <c r="B236" i="37"/>
  <c r="A236" i="37"/>
  <c r="B235" i="37"/>
  <c r="A235" i="37"/>
  <c r="C233" i="37"/>
  <c r="B233" i="37"/>
  <c r="A233" i="37"/>
  <c r="B232" i="37"/>
  <c r="A232" i="37"/>
  <c r="C231" i="37"/>
  <c r="B231" i="37"/>
  <c r="A231" i="37"/>
  <c r="C230" i="37"/>
  <c r="B230" i="37"/>
  <c r="A230" i="37"/>
  <c r="B229" i="37"/>
  <c r="A229" i="37"/>
  <c r="B228" i="37"/>
  <c r="A228" i="37"/>
  <c r="B227" i="37"/>
  <c r="A227" i="37"/>
  <c r="B226" i="37"/>
  <c r="A226" i="37"/>
  <c r="B225" i="37"/>
  <c r="A225" i="37"/>
  <c r="B224" i="37"/>
  <c r="A224" i="37"/>
  <c r="B223" i="37"/>
  <c r="A223" i="37"/>
  <c r="B222" i="37"/>
  <c r="A222" i="37"/>
  <c r="B221" i="37"/>
  <c r="A221" i="37"/>
  <c r="B220" i="37"/>
  <c r="A220" i="37"/>
  <c r="B219" i="37"/>
  <c r="A219" i="37"/>
  <c r="B217" i="37"/>
  <c r="A217" i="37"/>
  <c r="B216" i="37"/>
  <c r="A216" i="37"/>
  <c r="B215" i="37"/>
  <c r="A215" i="37"/>
  <c r="B214" i="37"/>
  <c r="A214" i="37"/>
  <c r="B213" i="37"/>
  <c r="A213" i="37"/>
  <c r="B212" i="37"/>
  <c r="A212" i="37"/>
  <c r="B211" i="37"/>
  <c r="A211" i="37"/>
  <c r="B208" i="37"/>
  <c r="A208" i="37"/>
  <c r="B207" i="37"/>
  <c r="A207" i="37"/>
  <c r="B206" i="37"/>
  <c r="A206" i="37"/>
  <c r="C205" i="37"/>
  <c r="B205" i="37"/>
  <c r="A205" i="37"/>
  <c r="B144" i="37"/>
  <c r="A144" i="37"/>
  <c r="B143" i="37"/>
  <c r="A143" i="37"/>
  <c r="B142" i="37"/>
  <c r="A142" i="37"/>
  <c r="B141" i="37"/>
  <c r="A141" i="37"/>
  <c r="B140" i="37"/>
  <c r="A140" i="37"/>
  <c r="B139" i="37"/>
  <c r="A139" i="37"/>
  <c r="B138" i="37"/>
  <c r="A138" i="37"/>
  <c r="B137" i="37"/>
  <c r="A137" i="37"/>
  <c r="B136" i="37"/>
  <c r="A136" i="37"/>
  <c r="B135" i="37"/>
  <c r="A135" i="37"/>
  <c r="B134" i="37"/>
  <c r="A134" i="37"/>
  <c r="B133" i="37"/>
  <c r="A133" i="37"/>
  <c r="B132" i="37"/>
  <c r="A132" i="37"/>
  <c r="B131" i="37"/>
  <c r="A131" i="37"/>
  <c r="B130" i="37"/>
  <c r="A130" i="37"/>
  <c r="B129" i="37"/>
  <c r="A129" i="37"/>
  <c r="B128" i="37"/>
  <c r="A128" i="37"/>
  <c r="B127" i="37"/>
  <c r="A127" i="37"/>
  <c r="B126" i="37"/>
  <c r="A126" i="37"/>
  <c r="B125" i="37"/>
  <c r="A125" i="37"/>
  <c r="B124" i="37"/>
  <c r="A124" i="37"/>
  <c r="C123" i="37"/>
  <c r="B123" i="37"/>
  <c r="A123" i="37"/>
  <c r="B122" i="37"/>
  <c r="A122" i="37"/>
  <c r="B121" i="37"/>
  <c r="A121" i="37"/>
  <c r="B120" i="37"/>
  <c r="A120" i="37"/>
  <c r="B119" i="37"/>
  <c r="A119" i="37"/>
  <c r="B118" i="37"/>
  <c r="A118" i="37"/>
  <c r="B117" i="37"/>
  <c r="A117" i="37"/>
  <c r="B116" i="37"/>
  <c r="A116" i="37"/>
  <c r="B115" i="37"/>
  <c r="A115" i="37"/>
  <c r="B114" i="37"/>
  <c r="A114" i="37"/>
  <c r="B113" i="37"/>
  <c r="A113" i="37"/>
  <c r="C112" i="37"/>
  <c r="B112" i="37"/>
  <c r="A112" i="37"/>
  <c r="B107" i="37"/>
  <c r="A107" i="37"/>
  <c r="B106" i="37"/>
  <c r="A106" i="37"/>
  <c r="B105" i="37"/>
  <c r="A105" i="37"/>
  <c r="B104" i="37"/>
  <c r="A104" i="37"/>
  <c r="B103" i="37"/>
  <c r="A103" i="37"/>
  <c r="B102" i="37"/>
  <c r="A102" i="37"/>
  <c r="B101" i="37"/>
  <c r="A101" i="37"/>
  <c r="B100" i="37"/>
  <c r="A100" i="37"/>
  <c r="B99" i="37"/>
  <c r="A99" i="37"/>
  <c r="B98" i="37"/>
  <c r="A98" i="37"/>
  <c r="B97" i="37"/>
  <c r="A97" i="37"/>
  <c r="B96" i="37"/>
  <c r="A96" i="37"/>
  <c r="B95" i="37"/>
  <c r="A95" i="37"/>
  <c r="B94" i="37"/>
  <c r="A94" i="37"/>
  <c r="C93" i="37"/>
  <c r="B93" i="37"/>
  <c r="A93" i="37"/>
  <c r="C17" i="37"/>
  <c r="B17" i="37"/>
  <c r="A17" i="37"/>
  <c r="E233" i="41"/>
  <c r="U236" i="19"/>
  <c r="AM236" i="19" s="1"/>
  <c r="U235" i="19"/>
  <c r="AP235" i="19" s="1"/>
  <c r="U234" i="19"/>
  <c r="L216" i="19"/>
  <c r="AK216" i="19" s="1"/>
  <c r="C216" i="19"/>
  <c r="E230" i="41"/>
  <c r="U196" i="19"/>
  <c r="U195" i="19"/>
  <c r="U194" i="19"/>
  <c r="U192" i="19"/>
  <c r="D200" i="41" s="1"/>
  <c r="U191" i="19"/>
  <c r="D199" i="41" s="1"/>
  <c r="U190" i="19"/>
  <c r="U188" i="19"/>
  <c r="D196" i="41" s="1"/>
  <c r="U187" i="19"/>
  <c r="D195" i="41" s="1"/>
  <c r="U186" i="19"/>
  <c r="D194" i="41" s="1"/>
  <c r="U185" i="19"/>
  <c r="D193" i="41" s="1"/>
  <c r="U184" i="19"/>
  <c r="U183" i="19"/>
  <c r="D191" i="41" s="1"/>
  <c r="U182" i="19"/>
  <c r="D190" i="41" s="1"/>
  <c r="U181" i="19"/>
  <c r="D189" i="41" s="1"/>
  <c r="U180" i="19"/>
  <c r="D188" i="41" s="1"/>
  <c r="U179" i="19"/>
  <c r="D187" i="41" s="1"/>
  <c r="U177" i="19"/>
  <c r="D185" i="41" s="1"/>
  <c r="U176" i="19"/>
  <c r="D184" i="41" s="1"/>
  <c r="U175" i="19"/>
  <c r="D183" i="41" s="1"/>
  <c r="U174" i="19"/>
  <c r="U172" i="19"/>
  <c r="D180" i="41" s="1"/>
  <c r="U171" i="19"/>
  <c r="D179" i="41" s="1"/>
  <c r="U170" i="19"/>
  <c r="D178" i="41" s="1"/>
  <c r="U169" i="19"/>
  <c r="D177" i="41" s="1"/>
  <c r="U168" i="19"/>
  <c r="D176" i="41" s="1"/>
  <c r="U167" i="19"/>
  <c r="D175" i="41" s="1"/>
  <c r="U166" i="19"/>
  <c r="D174" i="41" s="1"/>
  <c r="U165" i="19"/>
  <c r="D173" i="41" s="1"/>
  <c r="U164" i="19"/>
  <c r="D172" i="41" s="1"/>
  <c r="U163" i="19"/>
  <c r="D171" i="41" s="1"/>
  <c r="U162" i="19"/>
  <c r="D170" i="41" s="1"/>
  <c r="U161" i="19"/>
  <c r="D169" i="41" s="1"/>
  <c r="U160" i="19"/>
  <c r="D168" i="41" s="1"/>
  <c r="U159" i="19"/>
  <c r="D167" i="41" s="1"/>
  <c r="U158" i="19"/>
  <c r="D166" i="41" s="1"/>
  <c r="U157" i="19"/>
  <c r="U156" i="19"/>
  <c r="D164" i="41" s="1"/>
  <c r="U155" i="19"/>
  <c r="D163" i="41" s="1"/>
  <c r="U154" i="19"/>
  <c r="D162" i="41" s="1"/>
  <c r="U153" i="19"/>
  <c r="D161" i="41" s="1"/>
  <c r="U152" i="19"/>
  <c r="D160" i="41" s="1"/>
  <c r="U151" i="19"/>
  <c r="D159" i="41" s="1"/>
  <c r="U150" i="19"/>
  <c r="D158" i="41" s="1"/>
  <c r="U149" i="19"/>
  <c r="D157" i="41" s="1"/>
  <c r="U148" i="19"/>
  <c r="D156" i="41" s="1"/>
  <c r="U147" i="19"/>
  <c r="D155" i="41" s="1"/>
  <c r="U146" i="19"/>
  <c r="D154" i="41" s="1"/>
  <c r="U145" i="19"/>
  <c r="D153" i="41" s="1"/>
  <c r="U144" i="19"/>
  <c r="D152" i="41" s="1"/>
  <c r="U142" i="19"/>
  <c r="D150" i="41" s="1"/>
  <c r="U141" i="19"/>
  <c r="D149" i="41" s="1"/>
  <c r="U140" i="19"/>
  <c r="U139" i="19"/>
  <c r="D147" i="41" s="1"/>
  <c r="U138" i="19"/>
  <c r="D146" i="41" s="1"/>
  <c r="U137" i="19"/>
  <c r="D145" i="41" s="1"/>
  <c r="U136" i="19"/>
  <c r="D144" i="41" s="1"/>
  <c r="U135" i="19"/>
  <c r="D143" i="41" s="1"/>
  <c r="U134" i="19"/>
  <c r="D142" i="41" s="1"/>
  <c r="U132" i="19"/>
  <c r="U131" i="19"/>
  <c r="U130" i="19"/>
  <c r="U129" i="19"/>
  <c r="U128" i="19"/>
  <c r="U127" i="19"/>
  <c r="U126" i="19"/>
  <c r="U125" i="19"/>
  <c r="U124" i="19"/>
  <c r="U123" i="19"/>
  <c r="Z123" i="19" s="1"/>
  <c r="U122" i="19"/>
  <c r="U121" i="19"/>
  <c r="U120" i="19"/>
  <c r="U119" i="19"/>
  <c r="U118" i="19"/>
  <c r="U117" i="19"/>
  <c r="U115" i="19"/>
  <c r="Z115" i="19" s="1"/>
  <c r="U114" i="19"/>
  <c r="U113" i="19"/>
  <c r="U112" i="19"/>
  <c r="U110" i="19"/>
  <c r="Z110" i="19" s="1"/>
  <c r="AD110" i="19" s="1"/>
  <c r="U109" i="19"/>
  <c r="U108" i="19"/>
  <c r="U107" i="19"/>
  <c r="U106" i="19"/>
  <c r="Z106" i="19" s="1"/>
  <c r="U105" i="19"/>
  <c r="U104" i="19"/>
  <c r="U103" i="19"/>
  <c r="U102" i="19"/>
  <c r="Z102" i="19" s="1"/>
  <c r="AE102" i="19" s="1"/>
  <c r="U101" i="19"/>
  <c r="Z101" i="19" s="1"/>
  <c r="AO101" i="19" s="1"/>
  <c r="U98" i="19"/>
  <c r="D106" i="41" s="1"/>
  <c r="U97" i="19"/>
  <c r="D105" i="41" s="1"/>
  <c r="U80" i="19"/>
  <c r="D88" i="41" s="1"/>
  <c r="U79" i="19"/>
  <c r="D87" i="41" s="1"/>
  <c r="U78" i="19"/>
  <c r="U77" i="19"/>
  <c r="D85" i="41" s="1"/>
  <c r="U75" i="19"/>
  <c r="U74" i="19"/>
  <c r="D82" i="41" s="1"/>
  <c r="U73" i="19"/>
  <c r="D81" i="41" s="1"/>
  <c r="U72" i="19"/>
  <c r="D80" i="41" s="1"/>
  <c r="U71" i="19"/>
  <c r="U70" i="19"/>
  <c r="D78" i="41" s="1"/>
  <c r="U68" i="19"/>
  <c r="U67" i="19"/>
  <c r="D75" i="41" s="1"/>
  <c r="U66" i="19"/>
  <c r="U65" i="19"/>
  <c r="D73" i="41" s="1"/>
  <c r="U64" i="19"/>
  <c r="D72" i="41" s="1"/>
  <c r="U63" i="19"/>
  <c r="U62" i="19"/>
  <c r="U61" i="19"/>
  <c r="D69" i="41" s="1"/>
  <c r="U60" i="19"/>
  <c r="U59" i="19"/>
  <c r="U58" i="19"/>
  <c r="U57" i="19"/>
  <c r="D65" i="41" s="1"/>
  <c r="U56" i="19"/>
  <c r="D64" i="41" s="1"/>
  <c r="U55" i="19"/>
  <c r="D63" i="41" s="1"/>
  <c r="U54" i="19"/>
  <c r="U53" i="19"/>
  <c r="D61" i="41" s="1"/>
  <c r="U52" i="19"/>
  <c r="U51" i="19"/>
  <c r="D59" i="41" s="1"/>
  <c r="U50" i="19"/>
  <c r="U49" i="19"/>
  <c r="D57" i="41" s="1"/>
  <c r="U48" i="19"/>
  <c r="D56" i="41" s="1"/>
  <c r="U47" i="19"/>
  <c r="D55" i="41" s="1"/>
  <c r="U46" i="19"/>
  <c r="D54" i="41" s="1"/>
  <c r="U45" i="19"/>
  <c r="D53" i="41" s="1"/>
  <c r="U44" i="19"/>
  <c r="U43" i="19"/>
  <c r="D51" i="41" s="1"/>
  <c r="U42" i="19"/>
  <c r="U41" i="19"/>
  <c r="D49" i="41" s="1"/>
  <c r="U40" i="19"/>
  <c r="D48" i="41" s="1"/>
  <c r="U39" i="19"/>
  <c r="D47" i="41" s="1"/>
  <c r="U30" i="19"/>
  <c r="D38" i="41" s="1"/>
  <c r="U29" i="19"/>
  <c r="D37" i="41" s="1"/>
  <c r="U28" i="19"/>
  <c r="D36" i="41" s="1"/>
  <c r="U27" i="19"/>
  <c r="D35" i="41" s="1"/>
  <c r="U37" i="19"/>
  <c r="D45" i="41" s="1"/>
  <c r="U36" i="19"/>
  <c r="D44" i="41" s="1"/>
  <c r="U35" i="19"/>
  <c r="U34" i="19"/>
  <c r="D42" i="41" s="1"/>
  <c r="U33" i="19"/>
  <c r="U32" i="19"/>
  <c r="D40" i="41" s="1"/>
  <c r="U31" i="19"/>
  <c r="D39" i="41" s="1"/>
  <c r="U26" i="19"/>
  <c r="D34" i="41" s="1"/>
  <c r="U25" i="19"/>
  <c r="D33" i="41" s="1"/>
  <c r="U24" i="19"/>
  <c r="D32" i="41" s="1"/>
  <c r="U23" i="19"/>
  <c r="U22" i="19"/>
  <c r="U21" i="19"/>
  <c r="U20" i="19"/>
  <c r="U18" i="19"/>
  <c r="U17" i="19"/>
  <c r="D25" i="41" s="1"/>
  <c r="U16" i="19"/>
  <c r="U15" i="19"/>
  <c r="D23" i="41" s="1"/>
  <c r="U14" i="19"/>
  <c r="U13" i="19"/>
  <c r="Z13" i="19" s="1"/>
  <c r="Z232" i="19"/>
  <c r="C231" i="19"/>
  <c r="B239" i="41" s="1"/>
  <c r="C7" i="19"/>
  <c r="C6" i="19"/>
  <c r="Z6" i="19" s="1"/>
  <c r="U7" i="19"/>
  <c r="C18" i="46"/>
  <c r="C10" i="19"/>
  <c r="C22" i="40" s="1"/>
  <c r="AB199" i="19"/>
  <c r="AB200" i="19"/>
  <c r="AB201" i="19"/>
  <c r="AB202" i="19"/>
  <c r="AB203" i="19"/>
  <c r="AB204" i="19"/>
  <c r="AB205" i="19"/>
  <c r="AR28" i="19"/>
  <c r="AQ28" i="19"/>
  <c r="AP28" i="19"/>
  <c r="AO28" i="19"/>
  <c r="AN28" i="19"/>
  <c r="AM28" i="19"/>
  <c r="AL28" i="19"/>
  <c r="AK28" i="19"/>
  <c r="AJ28" i="19"/>
  <c r="AI28" i="19"/>
  <c r="AH28" i="19"/>
  <c r="AG28" i="19"/>
  <c r="AF28" i="19"/>
  <c r="AE28" i="19"/>
  <c r="AD28" i="19"/>
  <c r="AB28" i="19" s="1"/>
  <c r="AC28" i="19"/>
  <c r="AR27" i="19"/>
  <c r="AQ27" i="19"/>
  <c r="AP27" i="19"/>
  <c r="AO27" i="19"/>
  <c r="AN27" i="19"/>
  <c r="AM27" i="19"/>
  <c r="AL27" i="19"/>
  <c r="AK27" i="19"/>
  <c r="AJ27" i="19"/>
  <c r="AI27" i="19"/>
  <c r="AH27" i="19"/>
  <c r="AG27" i="19"/>
  <c r="AF27" i="19"/>
  <c r="AE27" i="19"/>
  <c r="AD27" i="19"/>
  <c r="AB27" i="19" s="1"/>
  <c r="AC27" i="19"/>
  <c r="AR26" i="19"/>
  <c r="AQ26" i="19"/>
  <c r="AP26" i="19"/>
  <c r="AO26" i="19"/>
  <c r="AN26" i="19"/>
  <c r="AM26" i="19"/>
  <c r="AL26" i="19"/>
  <c r="AK26" i="19"/>
  <c r="AJ26" i="19"/>
  <c r="AI26" i="19"/>
  <c r="AH26" i="19"/>
  <c r="AG26" i="19"/>
  <c r="AF26" i="19"/>
  <c r="AE26" i="19"/>
  <c r="AD26" i="19"/>
  <c r="AC26" i="19"/>
  <c r="AD224" i="19"/>
  <c r="C22" i="46"/>
  <c r="E214" i="41"/>
  <c r="H18" i="16" s="1"/>
  <c r="U12" i="19"/>
  <c r="Z12" i="19" s="1"/>
  <c r="X143" i="19"/>
  <c r="U143" i="19" s="1"/>
  <c r="D151" i="41" s="1"/>
  <c r="Y245" i="19"/>
  <c r="Y243" i="19"/>
  <c r="Y242" i="19"/>
  <c r="Y227" i="19"/>
  <c r="Y226" i="19"/>
  <c r="Y205" i="19"/>
  <c r="Y204" i="19"/>
  <c r="Y203" i="19"/>
  <c r="Y202" i="19"/>
  <c r="Y201" i="19"/>
  <c r="Y200" i="19"/>
  <c r="Y199" i="19"/>
  <c r="Y194" i="19"/>
  <c r="Y180" i="19"/>
  <c r="AB7" i="19"/>
  <c r="B62" i="17"/>
  <c r="B61" i="17"/>
  <c r="B60" i="17"/>
  <c r="B59" i="17"/>
  <c r="B58" i="17"/>
  <c r="B57" i="17"/>
  <c r="B56" i="17"/>
  <c r="B55" i="17"/>
  <c r="B54" i="17"/>
  <c r="B53" i="17"/>
  <c r="B52" i="17"/>
  <c r="B51" i="17"/>
  <c r="B50" i="17"/>
  <c r="B49" i="17"/>
  <c r="B48" i="17"/>
  <c r="B47" i="17"/>
  <c r="B46" i="17" s="1"/>
  <c r="B30" i="17"/>
  <c r="B31" i="17"/>
  <c r="B32" i="17"/>
  <c r="B33" i="17"/>
  <c r="B34" i="17"/>
  <c r="B17" i="17" s="1"/>
  <c r="B35" i="17"/>
  <c r="B40" i="17"/>
  <c r="B23" i="17"/>
  <c r="B28" i="17"/>
  <c r="B27" i="17"/>
  <c r="B26" i="17"/>
  <c r="B25" i="17"/>
  <c r="B24" i="17"/>
  <c r="B22" i="17"/>
  <c r="B21" i="17"/>
  <c r="B20" i="17"/>
  <c r="B19" i="17"/>
  <c r="B18" i="17"/>
  <c r="B16" i="17"/>
  <c r="B13" i="17"/>
  <c r="L205" i="19"/>
  <c r="C205" i="19" s="1"/>
  <c r="L204" i="19"/>
  <c r="C204" i="19"/>
  <c r="L203" i="19"/>
  <c r="C203" i="19" s="1"/>
  <c r="C215" i="44" s="1"/>
  <c r="L202" i="19"/>
  <c r="C202" i="19"/>
  <c r="C214" i="37" s="1"/>
  <c r="L201" i="19"/>
  <c r="C201" i="19" s="1"/>
  <c r="L200" i="19"/>
  <c r="C200" i="19" s="1"/>
  <c r="C212" i="44" s="1"/>
  <c r="L199" i="19"/>
  <c r="C199" i="19" s="1"/>
  <c r="E27" i="20"/>
  <c r="C27" i="20"/>
  <c r="D27" i="20"/>
  <c r="C180" i="19"/>
  <c r="C143" i="19"/>
  <c r="C155" i="46" s="1"/>
  <c r="C213" i="19"/>
  <c r="L213" i="19"/>
  <c r="C104" i="19"/>
  <c r="C116" i="44"/>
  <c r="B63" i="17"/>
  <c r="C116" i="37"/>
  <c r="U227" i="19"/>
  <c r="AR227" i="19" s="1"/>
  <c r="U226" i="19"/>
  <c r="C196" i="19"/>
  <c r="C195" i="19"/>
  <c r="C194" i="19"/>
  <c r="C206" i="37" s="1"/>
  <c r="C206" i="44"/>
  <c r="C208" i="44"/>
  <c r="C208" i="37"/>
  <c r="AR266" i="19"/>
  <c r="AQ266" i="19"/>
  <c r="AP266" i="19"/>
  <c r="AO266" i="19"/>
  <c r="AN266" i="19"/>
  <c r="AM266" i="19"/>
  <c r="AL266" i="19"/>
  <c r="AK266" i="19"/>
  <c r="AJ266" i="19"/>
  <c r="AI266" i="19"/>
  <c r="AH266" i="19"/>
  <c r="AG266" i="19"/>
  <c r="AF266" i="19"/>
  <c r="AE266" i="19"/>
  <c r="AD266" i="19"/>
  <c r="AC266" i="19"/>
  <c r="Z266" i="19"/>
  <c r="AR265" i="19"/>
  <c r="AP265" i="19"/>
  <c r="AN265" i="19"/>
  <c r="AL265" i="19"/>
  <c r="AJ265" i="19"/>
  <c r="AH265" i="19"/>
  <c r="AF265" i="19"/>
  <c r="AD265" i="19"/>
  <c r="Z265" i="19"/>
  <c r="AR264" i="19"/>
  <c r="AQ264" i="19"/>
  <c r="AP264" i="19"/>
  <c r="AO264" i="19"/>
  <c r="AN264" i="19"/>
  <c r="AM264" i="19"/>
  <c r="AL264" i="19"/>
  <c r="AK264" i="19"/>
  <c r="AJ264" i="19"/>
  <c r="AI264" i="19"/>
  <c r="AH264" i="19"/>
  <c r="AG264" i="19"/>
  <c r="AF264" i="19"/>
  <c r="AE264" i="19"/>
  <c r="AD264" i="19"/>
  <c r="AC264" i="19"/>
  <c r="Z264" i="19"/>
  <c r="AR263" i="19"/>
  <c r="AN263" i="19"/>
  <c r="AL263" i="19"/>
  <c r="AJ263" i="19"/>
  <c r="AF263" i="19"/>
  <c r="AD263" i="19"/>
  <c r="Z263" i="19"/>
  <c r="AR262" i="19"/>
  <c r="AQ262" i="19"/>
  <c r="AP262" i="19"/>
  <c r="AO262" i="19"/>
  <c r="AN262" i="19"/>
  <c r="AM262" i="19"/>
  <c r="AL262" i="19"/>
  <c r="AK262" i="19"/>
  <c r="AJ262" i="19"/>
  <c r="AI262" i="19"/>
  <c r="AH262" i="19"/>
  <c r="AG262" i="19"/>
  <c r="AF262" i="19"/>
  <c r="AE262" i="19"/>
  <c r="AD262" i="19"/>
  <c r="AC262" i="19"/>
  <c r="Z262" i="19"/>
  <c r="AR261" i="19"/>
  <c r="AP261" i="19"/>
  <c r="AN261" i="19"/>
  <c r="AL261" i="19"/>
  <c r="AJ261" i="19"/>
  <c r="AH261" i="19"/>
  <c r="AF261" i="19"/>
  <c r="AD261" i="19"/>
  <c r="Z261" i="19"/>
  <c r="AR260" i="19"/>
  <c r="AQ260" i="19"/>
  <c r="AP260" i="19"/>
  <c r="AO260" i="19"/>
  <c r="AN260" i="19"/>
  <c r="AM260" i="19"/>
  <c r="AL260" i="19"/>
  <c r="AK260" i="19"/>
  <c r="AJ260" i="19"/>
  <c r="AI260" i="19"/>
  <c r="AH260" i="19"/>
  <c r="AG260" i="19"/>
  <c r="AF260" i="19"/>
  <c r="AE260" i="19"/>
  <c r="AD260" i="19"/>
  <c r="AC260" i="19"/>
  <c r="AB260" i="19" s="1"/>
  <c r="Z260" i="19"/>
  <c r="AR259" i="19"/>
  <c r="AN259" i="19"/>
  <c r="AL259" i="19"/>
  <c r="AJ259" i="19"/>
  <c r="AF259" i="19"/>
  <c r="AD259" i="19"/>
  <c r="Z259" i="19"/>
  <c r="AR258" i="19"/>
  <c r="AQ258" i="19"/>
  <c r="AP258" i="19"/>
  <c r="AO258" i="19"/>
  <c r="AN258" i="19"/>
  <c r="AM258" i="19"/>
  <c r="AL258" i="19"/>
  <c r="AK258" i="19"/>
  <c r="AJ258" i="19"/>
  <c r="AI258" i="19"/>
  <c r="AH258" i="19"/>
  <c r="AG258" i="19"/>
  <c r="AF258" i="19"/>
  <c r="AE258" i="19"/>
  <c r="AD258" i="19"/>
  <c r="AB258" i="19" s="1"/>
  <c r="AC258" i="19"/>
  <c r="Z258" i="19"/>
  <c r="AR257" i="19"/>
  <c r="AP257" i="19"/>
  <c r="AN257" i="19"/>
  <c r="AL257" i="19"/>
  <c r="AJ257" i="19"/>
  <c r="AH257" i="19"/>
  <c r="AF257" i="19"/>
  <c r="AD257" i="19"/>
  <c r="Z257" i="19"/>
  <c r="AR256" i="19"/>
  <c r="AQ256" i="19"/>
  <c r="AP256" i="19"/>
  <c r="AO256" i="19"/>
  <c r="AN256" i="19"/>
  <c r="AM256" i="19"/>
  <c r="AL256" i="19"/>
  <c r="AK256" i="19"/>
  <c r="AJ256" i="19"/>
  <c r="AI256" i="19"/>
  <c r="AH256" i="19"/>
  <c r="AG256" i="19"/>
  <c r="AF256" i="19"/>
  <c r="AB256" i="19" s="1"/>
  <c r="AE256" i="19"/>
  <c r="AD256" i="19"/>
  <c r="AC256" i="19"/>
  <c r="Z256" i="19"/>
  <c r="AR255" i="19"/>
  <c r="AN255" i="19"/>
  <c r="AL255" i="19"/>
  <c r="AJ255" i="19"/>
  <c r="AF255" i="19"/>
  <c r="AD255" i="19"/>
  <c r="Z255" i="19"/>
  <c r="AR254" i="19"/>
  <c r="AQ254" i="19"/>
  <c r="AP254" i="19"/>
  <c r="AO254" i="19"/>
  <c r="AN254" i="19"/>
  <c r="AM254" i="19"/>
  <c r="AL254" i="19"/>
  <c r="AK254" i="19"/>
  <c r="AJ254" i="19"/>
  <c r="AI254" i="19"/>
  <c r="AH254" i="19"/>
  <c r="AG254" i="19"/>
  <c r="AF254" i="19"/>
  <c r="AE254" i="19"/>
  <c r="AB254" i="19" s="1"/>
  <c r="AD254" i="19"/>
  <c r="AC254" i="19"/>
  <c r="Z254" i="19"/>
  <c r="AR253" i="19"/>
  <c r="AP253" i="19"/>
  <c r="AN253" i="19"/>
  <c r="AL253" i="19"/>
  <c r="AJ253" i="19"/>
  <c r="AH253" i="19"/>
  <c r="AF253" i="19"/>
  <c r="AD253" i="19"/>
  <c r="AC253" i="19"/>
  <c r="Z253" i="19"/>
  <c r="AR252" i="19"/>
  <c r="AQ252" i="19"/>
  <c r="AP252" i="19"/>
  <c r="AO252" i="19"/>
  <c r="AN252" i="19"/>
  <c r="AM252" i="19"/>
  <c r="AL252" i="19"/>
  <c r="AK252" i="19"/>
  <c r="AJ252" i="19"/>
  <c r="AI252" i="19"/>
  <c r="AH252" i="19"/>
  <c r="AG252" i="19"/>
  <c r="AF252" i="19"/>
  <c r="AE252" i="19"/>
  <c r="AD252" i="19"/>
  <c r="AC252" i="19"/>
  <c r="Z252" i="19"/>
  <c r="AR251" i="19"/>
  <c r="AQ251" i="19"/>
  <c r="AP251" i="19"/>
  <c r="AO251" i="19"/>
  <c r="AN251" i="19"/>
  <c r="AM251" i="19"/>
  <c r="AL251" i="19"/>
  <c r="AK251" i="19"/>
  <c r="AJ251" i="19"/>
  <c r="AI251" i="19"/>
  <c r="AH251" i="19"/>
  <c r="AG251" i="19"/>
  <c r="AF251" i="19"/>
  <c r="AE251" i="19"/>
  <c r="AD251" i="19"/>
  <c r="AC251" i="19"/>
  <c r="Z251" i="19"/>
  <c r="AR250" i="19"/>
  <c r="AQ250" i="19"/>
  <c r="AP250" i="19"/>
  <c r="AN250" i="19"/>
  <c r="AM250" i="19"/>
  <c r="AL250" i="19"/>
  <c r="AJ250" i="19"/>
  <c r="AI250" i="19"/>
  <c r="AH250" i="19"/>
  <c r="AF250" i="19"/>
  <c r="AE250" i="19"/>
  <c r="AD250" i="19"/>
  <c r="Z250" i="19"/>
  <c r="AR249" i="19"/>
  <c r="AQ249" i="19"/>
  <c r="AP249" i="19"/>
  <c r="AO249" i="19"/>
  <c r="AN249" i="19"/>
  <c r="AM249" i="19"/>
  <c r="AL249" i="19"/>
  <c r="AK249" i="19"/>
  <c r="AJ249" i="19"/>
  <c r="AI249" i="19"/>
  <c r="AH249" i="19"/>
  <c r="AG249" i="19"/>
  <c r="AF249" i="19"/>
  <c r="AE249" i="19"/>
  <c r="AD249" i="19"/>
  <c r="AC249" i="19"/>
  <c r="AB249" i="19" s="1"/>
  <c r="Z249" i="19"/>
  <c r="AR248" i="19"/>
  <c r="AQ248" i="19"/>
  <c r="AP248" i="19"/>
  <c r="AO248" i="19"/>
  <c r="AN248" i="19"/>
  <c r="AM248" i="19"/>
  <c r="AL248" i="19"/>
  <c r="AK248" i="19"/>
  <c r="AJ248" i="19"/>
  <c r="AI248" i="19"/>
  <c r="AH248" i="19"/>
  <c r="AG248" i="19"/>
  <c r="AF248" i="19"/>
  <c r="AE248" i="19"/>
  <c r="AD248" i="19"/>
  <c r="AB248" i="19" s="1"/>
  <c r="AC248" i="19"/>
  <c r="Z248" i="19"/>
  <c r="AR247" i="19"/>
  <c r="AQ247" i="19"/>
  <c r="AP247" i="19"/>
  <c r="AO247" i="19"/>
  <c r="AN247" i="19"/>
  <c r="AM247" i="19"/>
  <c r="AL247" i="19"/>
  <c r="AK247" i="19"/>
  <c r="AJ247" i="19"/>
  <c r="AI247" i="19"/>
  <c r="AH247" i="19"/>
  <c r="AG247" i="19"/>
  <c r="AF247" i="19"/>
  <c r="AE247" i="19"/>
  <c r="AD247" i="19"/>
  <c r="AC247" i="19"/>
  <c r="Z247" i="19"/>
  <c r="AR246" i="19"/>
  <c r="AQ246" i="19"/>
  <c r="AP246" i="19"/>
  <c r="AO246" i="19"/>
  <c r="AN246" i="19"/>
  <c r="AM246" i="19"/>
  <c r="AL246" i="19"/>
  <c r="AK246" i="19"/>
  <c r="AJ246" i="19"/>
  <c r="AI246" i="19"/>
  <c r="AH246" i="19"/>
  <c r="AG246" i="19"/>
  <c r="AF246" i="19"/>
  <c r="AE246" i="19"/>
  <c r="AD246" i="19"/>
  <c r="AC246" i="19"/>
  <c r="Z246" i="19"/>
  <c r="AR245" i="19"/>
  <c r="AQ245" i="19"/>
  <c r="AP245" i="19"/>
  <c r="AO245" i="19"/>
  <c r="AN245" i="19"/>
  <c r="AM245" i="19"/>
  <c r="AL245" i="19"/>
  <c r="AK245" i="19"/>
  <c r="AJ245" i="19"/>
  <c r="AI245" i="19"/>
  <c r="AH245" i="19"/>
  <c r="AG245" i="19"/>
  <c r="AF245" i="19"/>
  <c r="AE245" i="19"/>
  <c r="AD245" i="19"/>
  <c r="AC245" i="19"/>
  <c r="AB245" i="19" s="1"/>
  <c r="Z245" i="19"/>
  <c r="AR244" i="19"/>
  <c r="AP244" i="19"/>
  <c r="AO244" i="19"/>
  <c r="AN244" i="19"/>
  <c r="AL244" i="19"/>
  <c r="AK244" i="19"/>
  <c r="AJ244" i="19"/>
  <c r="AH244" i="19"/>
  <c r="AG244" i="19"/>
  <c r="AF244" i="19"/>
  <c r="AD244" i="19"/>
  <c r="AC244" i="19"/>
  <c r="Z244" i="19"/>
  <c r="AR243" i="19"/>
  <c r="AQ243" i="19"/>
  <c r="AP243" i="19"/>
  <c r="AO243" i="19"/>
  <c r="AN243" i="19"/>
  <c r="AM243" i="19"/>
  <c r="AL243" i="19"/>
  <c r="AK243" i="19"/>
  <c r="AJ243" i="19"/>
  <c r="AI243" i="19"/>
  <c r="AH243" i="19"/>
  <c r="AG243" i="19"/>
  <c r="AF243" i="19"/>
  <c r="AE243" i="19"/>
  <c r="AB243" i="19" s="1"/>
  <c r="AD243" i="19"/>
  <c r="AC243" i="19"/>
  <c r="Z243" i="19"/>
  <c r="AR242" i="19"/>
  <c r="AQ242" i="19"/>
  <c r="AP242" i="19"/>
  <c r="AO242" i="19"/>
  <c r="AN242" i="19"/>
  <c r="AM242" i="19"/>
  <c r="AL242" i="19"/>
  <c r="AK242" i="19"/>
  <c r="AJ242" i="19"/>
  <c r="AI242" i="19"/>
  <c r="AH242" i="19"/>
  <c r="AG242" i="19"/>
  <c r="AF242" i="19"/>
  <c r="AE242" i="19"/>
  <c r="AD242" i="19"/>
  <c r="AC242" i="19"/>
  <c r="Z242" i="19"/>
  <c r="AR241" i="19"/>
  <c r="AQ241" i="19"/>
  <c r="AP241" i="19"/>
  <c r="AO241" i="19"/>
  <c r="AN241" i="19"/>
  <c r="AM241" i="19"/>
  <c r="AL241" i="19"/>
  <c r="AK241" i="19"/>
  <c r="AJ241" i="19"/>
  <c r="AI241" i="19"/>
  <c r="AH241" i="19"/>
  <c r="AG241" i="19"/>
  <c r="AF241" i="19"/>
  <c r="AE241" i="19"/>
  <c r="AD241" i="19"/>
  <c r="AC241" i="19"/>
  <c r="Z241" i="19"/>
  <c r="AR240" i="19"/>
  <c r="AQ240" i="19"/>
  <c r="AP240" i="19"/>
  <c r="AO240" i="19"/>
  <c r="AN240" i="19"/>
  <c r="AM240" i="19"/>
  <c r="AL240" i="19"/>
  <c r="AK240" i="19"/>
  <c r="AJ240" i="19"/>
  <c r="AI240" i="19"/>
  <c r="AH240" i="19"/>
  <c r="AG240" i="19"/>
  <c r="AF240" i="19"/>
  <c r="AE240" i="19"/>
  <c r="AD240" i="19"/>
  <c r="AC240" i="19"/>
  <c r="Z240" i="19"/>
  <c r="AQ239" i="19"/>
  <c r="AP239" i="19"/>
  <c r="AO239" i="19"/>
  <c r="AM239" i="19"/>
  <c r="AL239" i="19"/>
  <c r="AK239" i="19"/>
  <c r="AI239" i="19"/>
  <c r="AH239" i="19"/>
  <c r="AG239" i="19"/>
  <c r="AE239" i="19"/>
  <c r="AD239" i="19"/>
  <c r="AC239" i="19"/>
  <c r="AR238" i="19"/>
  <c r="AQ238" i="19"/>
  <c r="AP238" i="19"/>
  <c r="AO238" i="19"/>
  <c r="AN238" i="19"/>
  <c r="AM238" i="19"/>
  <c r="AL238" i="19"/>
  <c r="AK238" i="19"/>
  <c r="AJ238" i="19"/>
  <c r="AI238" i="19"/>
  <c r="AH238" i="19"/>
  <c r="AG238" i="19"/>
  <c r="AF238" i="19"/>
  <c r="AE238" i="19"/>
  <c r="AD238" i="19"/>
  <c r="AC238" i="19"/>
  <c r="Z238" i="19"/>
  <c r="AR237" i="19"/>
  <c r="AQ237" i="19"/>
  <c r="AP237" i="19"/>
  <c r="AO237" i="19"/>
  <c r="AN237" i="19"/>
  <c r="AM237" i="19"/>
  <c r="AL237" i="19"/>
  <c r="AK237" i="19"/>
  <c r="AJ237" i="19"/>
  <c r="AI237" i="19"/>
  <c r="AH237" i="19"/>
  <c r="AG237" i="19"/>
  <c r="AF237" i="19"/>
  <c r="AE237" i="19"/>
  <c r="AD237" i="19"/>
  <c r="AC237" i="19"/>
  <c r="AB237" i="19" s="1"/>
  <c r="Z237" i="19"/>
  <c r="AQ236" i="19"/>
  <c r="AI236" i="19"/>
  <c r="AE236" i="19"/>
  <c r="AR235" i="19"/>
  <c r="AL235" i="19"/>
  <c r="AK235" i="19"/>
  <c r="AF235" i="19"/>
  <c r="AC235" i="19"/>
  <c r="C235" i="19"/>
  <c r="AO234" i="19"/>
  <c r="AK234" i="19"/>
  <c r="AG234" i="19"/>
  <c r="AC234" i="19"/>
  <c r="C234" i="19"/>
  <c r="B242" i="41" s="1"/>
  <c r="AR229" i="19"/>
  <c r="AQ229" i="19"/>
  <c r="AP229" i="19"/>
  <c r="AO229" i="19"/>
  <c r="AN229" i="19"/>
  <c r="AM229" i="19"/>
  <c r="AL229" i="19"/>
  <c r="AK229" i="19"/>
  <c r="AJ229" i="19"/>
  <c r="AI229" i="19"/>
  <c r="AH229" i="19"/>
  <c r="AG229" i="19"/>
  <c r="AF229" i="19"/>
  <c r="AE229" i="19"/>
  <c r="AD229" i="19"/>
  <c r="AC229" i="19"/>
  <c r="C229" i="19"/>
  <c r="AH227" i="19"/>
  <c r="AD227" i="19"/>
  <c r="C227" i="19"/>
  <c r="AP226" i="19"/>
  <c r="AN226" i="19"/>
  <c r="AH226" i="19"/>
  <c r="AG226" i="19"/>
  <c r="AF226" i="19"/>
  <c r="C226" i="19"/>
  <c r="AR224" i="19"/>
  <c r="AQ224" i="19"/>
  <c r="AP224" i="19"/>
  <c r="AO224" i="19"/>
  <c r="AN224" i="19"/>
  <c r="AM224" i="19"/>
  <c r="AL224" i="19"/>
  <c r="AK224" i="19"/>
  <c r="AJ224" i="19"/>
  <c r="AI224" i="19"/>
  <c r="AH224" i="19"/>
  <c r="AG224" i="19"/>
  <c r="AF224" i="19"/>
  <c r="AE224" i="19"/>
  <c r="AC224" i="19"/>
  <c r="Z224" i="19"/>
  <c r="AQ223" i="19"/>
  <c r="AP223" i="19"/>
  <c r="AO223" i="19"/>
  <c r="AM223" i="19"/>
  <c r="AL223" i="19"/>
  <c r="AK223" i="19"/>
  <c r="AI223" i="19"/>
  <c r="AH223" i="19"/>
  <c r="AG223" i="19"/>
  <c r="AE223" i="19"/>
  <c r="AD223" i="19"/>
  <c r="AC223" i="19"/>
  <c r="C223" i="19"/>
  <c r="AR221" i="19"/>
  <c r="AQ221" i="19"/>
  <c r="AP221" i="19"/>
  <c r="AO221" i="19"/>
  <c r="AN221" i="19"/>
  <c r="AM221" i="19"/>
  <c r="AL221" i="19"/>
  <c r="AK221" i="19"/>
  <c r="AJ221" i="19"/>
  <c r="AI221" i="19"/>
  <c r="AH221" i="19"/>
  <c r="AG221" i="19"/>
  <c r="AF221" i="19"/>
  <c r="AE221" i="19"/>
  <c r="AD221" i="19"/>
  <c r="AC221" i="19"/>
  <c r="Z221" i="19"/>
  <c r="AR220" i="19"/>
  <c r="AQ220" i="19"/>
  <c r="AP220" i="19"/>
  <c r="AO220" i="19"/>
  <c r="AN220" i="19"/>
  <c r="AM220" i="19"/>
  <c r="AL220" i="19"/>
  <c r="AK220" i="19"/>
  <c r="AJ220" i="19"/>
  <c r="AI220" i="19"/>
  <c r="AH220" i="19"/>
  <c r="AG220" i="19"/>
  <c r="AF220" i="19"/>
  <c r="AE220" i="19"/>
  <c r="AD220" i="19"/>
  <c r="AC220" i="19"/>
  <c r="C220" i="19"/>
  <c r="AR219" i="19"/>
  <c r="AQ219" i="19"/>
  <c r="AP219" i="19"/>
  <c r="AO219" i="19"/>
  <c r="AN219" i="19"/>
  <c r="AM219" i="19"/>
  <c r="AL219" i="19"/>
  <c r="AK219" i="19"/>
  <c r="AJ219" i="19"/>
  <c r="AI219" i="19"/>
  <c r="AH219" i="19"/>
  <c r="AG219" i="19"/>
  <c r="AF219" i="19"/>
  <c r="AE219" i="19"/>
  <c r="AD219" i="19"/>
  <c r="AC219" i="19"/>
  <c r="Z219" i="19"/>
  <c r="AQ218" i="19"/>
  <c r="AP218" i="19"/>
  <c r="AO218" i="19"/>
  <c r="AM218" i="19"/>
  <c r="AL218" i="19"/>
  <c r="AK218" i="19"/>
  <c r="AI218" i="19"/>
  <c r="AH218" i="19"/>
  <c r="AG218" i="19"/>
  <c r="AE218" i="19"/>
  <c r="AD218" i="19"/>
  <c r="AC218" i="19"/>
  <c r="AP217" i="19"/>
  <c r="C217" i="19"/>
  <c r="AR216" i="19"/>
  <c r="AQ216" i="19"/>
  <c r="AP216" i="19"/>
  <c r="AO216" i="19"/>
  <c r="AN216" i="19"/>
  <c r="AM216" i="19"/>
  <c r="AL216" i="19"/>
  <c r="AJ216" i="19"/>
  <c r="AI216" i="19"/>
  <c r="AH216" i="19"/>
  <c r="AG216" i="19"/>
  <c r="AF216" i="19"/>
  <c r="AE216" i="19"/>
  <c r="AD216" i="19"/>
  <c r="AC216" i="19"/>
  <c r="AB216" i="19" s="1"/>
  <c r="Z216" i="19"/>
  <c r="AP215" i="19"/>
  <c r="C215" i="19"/>
  <c r="C227" i="37" s="1"/>
  <c r="AQ214" i="19"/>
  <c r="C214" i="19"/>
  <c r="C226" i="44" s="1"/>
  <c r="AR213" i="19"/>
  <c r="AQ213" i="19"/>
  <c r="AP213" i="19"/>
  <c r="AO213" i="19"/>
  <c r="AN213" i="19"/>
  <c r="AM213" i="19"/>
  <c r="AL213" i="19"/>
  <c r="AJ213" i="19"/>
  <c r="AI213" i="19"/>
  <c r="AH213" i="19"/>
  <c r="AG213" i="19"/>
  <c r="AF213" i="19"/>
  <c r="AE213" i="19"/>
  <c r="AD213" i="19"/>
  <c r="AC213" i="19"/>
  <c r="AK213" i="19"/>
  <c r="AR212" i="19"/>
  <c r="AQ212" i="19"/>
  <c r="AP212" i="19"/>
  <c r="AO212" i="19"/>
  <c r="AN212" i="19"/>
  <c r="AM212" i="19"/>
  <c r="AL212" i="19"/>
  <c r="AK212" i="19"/>
  <c r="AJ212" i="19"/>
  <c r="AI212" i="19"/>
  <c r="AH212" i="19"/>
  <c r="AG212" i="19"/>
  <c r="AF212" i="19"/>
  <c r="AE212" i="19"/>
  <c r="AD212" i="19"/>
  <c r="AC212" i="19"/>
  <c r="C212" i="19"/>
  <c r="AR211" i="19"/>
  <c r="AQ211" i="19"/>
  <c r="AP211" i="19"/>
  <c r="AO211" i="19"/>
  <c r="AN211" i="19"/>
  <c r="AM211" i="19"/>
  <c r="AL211" i="19"/>
  <c r="AK211" i="19"/>
  <c r="AJ211" i="19"/>
  <c r="AI211" i="19"/>
  <c r="AH211" i="19"/>
  <c r="AG211" i="19"/>
  <c r="AF211" i="19"/>
  <c r="AE211" i="19"/>
  <c r="AD211" i="19"/>
  <c r="AC211" i="19"/>
  <c r="C211" i="19"/>
  <c r="AN210" i="19"/>
  <c r="C210" i="19"/>
  <c r="AR209" i="19"/>
  <c r="AQ209" i="19"/>
  <c r="AP209" i="19"/>
  <c r="AO209" i="19"/>
  <c r="AN209" i="19"/>
  <c r="AM209" i="19"/>
  <c r="AL209" i="19"/>
  <c r="AK209" i="19"/>
  <c r="AJ209" i="19"/>
  <c r="AI209" i="19"/>
  <c r="AH209" i="19"/>
  <c r="AG209" i="19"/>
  <c r="AF209" i="19"/>
  <c r="AE209" i="19"/>
  <c r="AD209" i="19"/>
  <c r="AC209" i="19"/>
  <c r="C209" i="19"/>
  <c r="AR208" i="19"/>
  <c r="AQ208" i="19"/>
  <c r="AP208" i="19"/>
  <c r="AO208" i="19"/>
  <c r="AN208" i="19"/>
  <c r="AM208" i="19"/>
  <c r="AL208" i="19"/>
  <c r="AK208" i="19"/>
  <c r="AJ208" i="19"/>
  <c r="AI208" i="19"/>
  <c r="AH208" i="19"/>
  <c r="AG208" i="19"/>
  <c r="AF208" i="19"/>
  <c r="AE208" i="19"/>
  <c r="AD208" i="19"/>
  <c r="AC208" i="19"/>
  <c r="C208" i="19"/>
  <c r="C220" i="37" s="1"/>
  <c r="AL207" i="19"/>
  <c r="S207" i="19"/>
  <c r="O207" i="19"/>
  <c r="O206" i="19" s="1"/>
  <c r="C207" i="19"/>
  <c r="C219" i="44" s="1"/>
  <c r="R206" i="19"/>
  <c r="Q206" i="19"/>
  <c r="P206" i="19"/>
  <c r="N206" i="19"/>
  <c r="M206" i="19"/>
  <c r="K206" i="19"/>
  <c r="J206" i="19"/>
  <c r="I206" i="19"/>
  <c r="H206" i="19"/>
  <c r="G206" i="19"/>
  <c r="F206" i="19"/>
  <c r="E206" i="19"/>
  <c r="D206" i="19"/>
  <c r="U200" i="19"/>
  <c r="U199" i="19"/>
  <c r="AB198" i="19"/>
  <c r="S198" i="19"/>
  <c r="R198" i="19"/>
  <c r="Q198" i="19"/>
  <c r="P198" i="19"/>
  <c r="O198" i="19"/>
  <c r="N198" i="19"/>
  <c r="M198" i="19"/>
  <c r="K198" i="19"/>
  <c r="J198" i="19"/>
  <c r="I198" i="19"/>
  <c r="H198" i="19"/>
  <c r="G198" i="19"/>
  <c r="F198" i="19"/>
  <c r="E198" i="19"/>
  <c r="D198" i="19"/>
  <c r="Z196" i="19"/>
  <c r="Z194" i="19"/>
  <c r="C192" i="19"/>
  <c r="B200" i="41" s="1"/>
  <c r="C191" i="19"/>
  <c r="C190" i="19"/>
  <c r="B198" i="41" s="1"/>
  <c r="C188" i="19"/>
  <c r="Z188" i="19" s="1"/>
  <c r="AP188" i="19" s="1"/>
  <c r="G187" i="19"/>
  <c r="C187" i="19"/>
  <c r="C186" i="19"/>
  <c r="B194" i="41" s="1"/>
  <c r="C185" i="19"/>
  <c r="C197" i="46" s="1"/>
  <c r="C183" i="19"/>
  <c r="C182" i="19"/>
  <c r="C181" i="19"/>
  <c r="B189" i="41" s="1"/>
  <c r="C179" i="19"/>
  <c r="C191" i="46" s="1"/>
  <c r="G178" i="19"/>
  <c r="C178" i="19"/>
  <c r="C190" i="46" s="1"/>
  <c r="C177" i="19"/>
  <c r="B185" i="41" s="1"/>
  <c r="C176" i="19"/>
  <c r="C188" i="40" s="1"/>
  <c r="C175" i="19"/>
  <c r="B183" i="41" s="1"/>
  <c r="G174" i="19"/>
  <c r="C174" i="19"/>
  <c r="B182" i="41" s="1"/>
  <c r="C172" i="19"/>
  <c r="C184" i="46" s="1"/>
  <c r="C171" i="19"/>
  <c r="C170" i="19"/>
  <c r="Z170" i="19" s="1"/>
  <c r="AK170" i="19" s="1"/>
  <c r="C169" i="19"/>
  <c r="B177" i="41" s="1"/>
  <c r="C168" i="19"/>
  <c r="C167" i="19"/>
  <c r="C166" i="19"/>
  <c r="C165" i="19"/>
  <c r="B173" i="41" s="1"/>
  <c r="C164" i="19"/>
  <c r="C176" i="46" s="1"/>
  <c r="C163" i="19"/>
  <c r="C162" i="19"/>
  <c r="C174" i="40" s="1"/>
  <c r="C161" i="19"/>
  <c r="B169" i="41" s="1"/>
  <c r="C160" i="19"/>
  <c r="C159" i="19"/>
  <c r="B167" i="41" s="1"/>
  <c r="E167" i="41" s="1"/>
  <c r="C158" i="19"/>
  <c r="C157" i="19"/>
  <c r="B165" i="41" s="1"/>
  <c r="C156" i="19"/>
  <c r="C168" i="46" s="1"/>
  <c r="C155" i="19"/>
  <c r="C154" i="19"/>
  <c r="Z154" i="19" s="1"/>
  <c r="C153" i="19"/>
  <c r="B161" i="41" s="1"/>
  <c r="C152" i="19"/>
  <c r="C151" i="19"/>
  <c r="C150" i="19"/>
  <c r="C149" i="19"/>
  <c r="B157" i="41" s="1"/>
  <c r="C148" i="19"/>
  <c r="C147" i="19"/>
  <c r="C146" i="19"/>
  <c r="C145" i="19"/>
  <c r="B153" i="41" s="1"/>
  <c r="C144" i="19"/>
  <c r="C156" i="40" s="1"/>
  <c r="C142" i="19"/>
  <c r="C141" i="19"/>
  <c r="Z141" i="19" s="1"/>
  <c r="C140" i="19"/>
  <c r="B148" i="41" s="1"/>
  <c r="C139" i="19"/>
  <c r="C138" i="19"/>
  <c r="C137" i="19"/>
  <c r="C136" i="19"/>
  <c r="B144" i="41" s="1"/>
  <c r="C135" i="19"/>
  <c r="C134" i="19"/>
  <c r="C132" i="19"/>
  <c r="C131" i="19"/>
  <c r="C130" i="19"/>
  <c r="C142" i="44" s="1"/>
  <c r="C129" i="19"/>
  <c r="C128" i="19"/>
  <c r="C140" i="44" s="1"/>
  <c r="C127" i="19"/>
  <c r="C126" i="19"/>
  <c r="C138" i="44" s="1"/>
  <c r="C125" i="19"/>
  <c r="C137" i="37" s="1"/>
  <c r="C124" i="19"/>
  <c r="C123" i="19"/>
  <c r="C122" i="19"/>
  <c r="C134" i="44" s="1"/>
  <c r="C121" i="19"/>
  <c r="C133" i="44" s="1"/>
  <c r="C120" i="19"/>
  <c r="C119" i="19"/>
  <c r="C118" i="19"/>
  <c r="C117" i="19"/>
  <c r="Z117" i="19" s="1"/>
  <c r="C116" i="19"/>
  <c r="C128" i="44" s="1"/>
  <c r="C115" i="19"/>
  <c r="C114" i="19"/>
  <c r="C113" i="19"/>
  <c r="C112" i="19"/>
  <c r="C124" i="44" s="1"/>
  <c r="C110" i="19"/>
  <c r="C109" i="19"/>
  <c r="C108" i="19"/>
  <c r="C120" i="37" s="1"/>
  <c r="C107" i="19"/>
  <c r="C106" i="19"/>
  <c r="C105" i="19"/>
  <c r="C117" i="44" s="1"/>
  <c r="C103" i="19"/>
  <c r="C115" i="44" s="1"/>
  <c r="C102" i="19"/>
  <c r="C114" i="44" s="1"/>
  <c r="C101" i="19"/>
  <c r="C98" i="19"/>
  <c r="C97" i="19"/>
  <c r="C95" i="19"/>
  <c r="C107" i="44" s="1"/>
  <c r="C94" i="19"/>
  <c r="C93" i="19"/>
  <c r="Z93" i="19" s="1"/>
  <c r="C92" i="19"/>
  <c r="C91" i="19"/>
  <c r="C103" i="37" s="1"/>
  <c r="C90" i="19"/>
  <c r="C89" i="19"/>
  <c r="C88" i="19"/>
  <c r="Z88" i="19" s="1"/>
  <c r="C87" i="19"/>
  <c r="C99" i="44" s="1"/>
  <c r="C86" i="19"/>
  <c r="C85" i="19"/>
  <c r="C84" i="19"/>
  <c r="C83" i="19"/>
  <c r="Z83" i="19" s="1"/>
  <c r="C82" i="19"/>
  <c r="C80" i="19"/>
  <c r="C79" i="19"/>
  <c r="C78" i="19"/>
  <c r="B86" i="41" s="1"/>
  <c r="C77" i="19"/>
  <c r="B85" i="41" s="1"/>
  <c r="C75" i="19"/>
  <c r="C87" i="40" s="1"/>
  <c r="C74" i="19"/>
  <c r="C86" i="40" s="1"/>
  <c r="C73" i="19"/>
  <c r="C72" i="19"/>
  <c r="B80" i="41" s="1"/>
  <c r="C71" i="19"/>
  <c r="C70" i="19"/>
  <c r="C82" i="46" s="1"/>
  <c r="C68" i="19"/>
  <c r="B76" i="41" s="1"/>
  <c r="C67" i="19"/>
  <c r="B75" i="41" s="1"/>
  <c r="C66" i="19"/>
  <c r="C65" i="19"/>
  <c r="C64" i="19"/>
  <c r="C63" i="19"/>
  <c r="B71" i="41" s="1"/>
  <c r="C62" i="19"/>
  <c r="C61" i="19"/>
  <c r="C60" i="19"/>
  <c r="C59" i="19"/>
  <c r="B67" i="41" s="1"/>
  <c r="C58" i="19"/>
  <c r="C70" i="40" s="1"/>
  <c r="C57" i="19"/>
  <c r="C56" i="19"/>
  <c r="B64" i="41" s="1"/>
  <c r="C55" i="19"/>
  <c r="B63" i="41" s="1"/>
  <c r="C54" i="19"/>
  <c r="C53" i="19"/>
  <c r="C65" i="46" s="1"/>
  <c r="C52" i="19"/>
  <c r="C51" i="19"/>
  <c r="B59" i="41" s="1"/>
  <c r="C50" i="19"/>
  <c r="C49" i="19"/>
  <c r="C48" i="19"/>
  <c r="C47" i="19"/>
  <c r="B55" i="41" s="1"/>
  <c r="C46" i="19"/>
  <c r="C45" i="19"/>
  <c r="C44" i="19"/>
  <c r="B52" i="41" s="1"/>
  <c r="C43" i="19"/>
  <c r="C42" i="19"/>
  <c r="B50" i="41" s="1"/>
  <c r="C41" i="19"/>
  <c r="C40" i="19"/>
  <c r="C39" i="19"/>
  <c r="B47" i="41" s="1"/>
  <c r="C37" i="19"/>
  <c r="C36" i="19"/>
  <c r="C35" i="19"/>
  <c r="B43" i="41" s="1"/>
  <c r="C34" i="19"/>
  <c r="B42" i="41" s="1"/>
  <c r="C33" i="19"/>
  <c r="B41" i="41" s="1"/>
  <c r="C32" i="19"/>
  <c r="C31" i="19"/>
  <c r="C30" i="19"/>
  <c r="C29" i="19"/>
  <c r="C25" i="19"/>
  <c r="C24" i="19"/>
  <c r="Z17" i="19"/>
  <c r="Z15" i="19"/>
  <c r="Z10" i="19"/>
  <c r="AB6" i="19"/>
  <c r="AB5" i="19"/>
  <c r="C42" i="46"/>
  <c r="Z43" i="19"/>
  <c r="C55" i="40"/>
  <c r="C37" i="46"/>
  <c r="C44" i="40"/>
  <c r="C48" i="46"/>
  <c r="C57" i="46"/>
  <c r="C61" i="40"/>
  <c r="C69" i="40"/>
  <c r="C73" i="46"/>
  <c r="C77" i="40"/>
  <c r="Z74" i="19"/>
  <c r="C91" i="46"/>
  <c r="Z84" i="19"/>
  <c r="C100" i="44"/>
  <c r="C100" i="37"/>
  <c r="Z92" i="19"/>
  <c r="Z97" i="19"/>
  <c r="C109" i="46"/>
  <c r="Z103" i="19"/>
  <c r="C115" i="37"/>
  <c r="C132" i="44"/>
  <c r="C149" i="46"/>
  <c r="C153" i="40"/>
  <c r="C157" i="46"/>
  <c r="C157" i="40"/>
  <c r="Z149" i="19"/>
  <c r="C161" i="46"/>
  <c r="C161" i="40"/>
  <c r="Z153" i="19"/>
  <c r="C165" i="46"/>
  <c r="C165" i="40"/>
  <c r="C169" i="46"/>
  <c r="C169" i="40"/>
  <c r="Z161" i="19"/>
  <c r="AE161" i="19" s="1"/>
  <c r="C173" i="46"/>
  <c r="C173" i="40"/>
  <c r="Z165" i="19"/>
  <c r="C177" i="46"/>
  <c r="C177" i="40"/>
  <c r="Z169" i="19"/>
  <c r="C181" i="46"/>
  <c r="C181" i="40"/>
  <c r="C186" i="46"/>
  <c r="C186" i="40"/>
  <c r="C189" i="46"/>
  <c r="C189" i="40"/>
  <c r="C204" i="46"/>
  <c r="C204" i="40"/>
  <c r="C224" i="44"/>
  <c r="Z227" i="19"/>
  <c r="C45" i="40"/>
  <c r="C54" i="40"/>
  <c r="C92" i="46"/>
  <c r="Z89" i="19"/>
  <c r="C105" i="37"/>
  <c r="C120" i="44"/>
  <c r="Z113" i="19"/>
  <c r="AI113" i="19" s="1"/>
  <c r="C125" i="44"/>
  <c r="C125" i="37"/>
  <c r="C129" i="44"/>
  <c r="C129" i="37"/>
  <c r="Z121" i="19"/>
  <c r="C133" i="37"/>
  <c r="Z125" i="19"/>
  <c r="AQ125" i="19" s="1"/>
  <c r="C137" i="44"/>
  <c r="Z129" i="19"/>
  <c r="C141" i="44"/>
  <c r="C141" i="37"/>
  <c r="C146" i="46"/>
  <c r="C146" i="40"/>
  <c r="Z138" i="19"/>
  <c r="C150" i="40"/>
  <c r="Z142" i="19"/>
  <c r="C154" i="46"/>
  <c r="Z146" i="19"/>
  <c r="C158" i="40"/>
  <c r="C162" i="46"/>
  <c r="C170" i="46"/>
  <c r="Z162" i="19"/>
  <c r="C178" i="46"/>
  <c r="C182" i="40"/>
  <c r="Z181" i="19"/>
  <c r="C193" i="46"/>
  <c r="C193" i="40"/>
  <c r="C200" i="40"/>
  <c r="C222" i="44"/>
  <c r="C222" i="37"/>
  <c r="Z223" i="19"/>
  <c r="C235" i="44"/>
  <c r="C235" i="37"/>
  <c r="Z234" i="19"/>
  <c r="C246" i="46"/>
  <c r="C246" i="40"/>
  <c r="Z39" i="19"/>
  <c r="C51" i="46"/>
  <c r="C51" i="40"/>
  <c r="Z51" i="19"/>
  <c r="C63" i="46"/>
  <c r="C63" i="40"/>
  <c r="Z55" i="19"/>
  <c r="C67" i="46"/>
  <c r="C67" i="40"/>
  <c r="C75" i="46"/>
  <c r="C75" i="40"/>
  <c r="Z67" i="19"/>
  <c r="C79" i="46"/>
  <c r="C79" i="40"/>
  <c r="Z72" i="19"/>
  <c r="C84" i="46"/>
  <c r="C84" i="40"/>
  <c r="Z77" i="19"/>
  <c r="C89" i="46"/>
  <c r="C89" i="40"/>
  <c r="Z82" i="19"/>
  <c r="C94" i="44"/>
  <c r="C94" i="37"/>
  <c r="Z86" i="19"/>
  <c r="C98" i="44"/>
  <c r="C98" i="37"/>
  <c r="Z90" i="19"/>
  <c r="C102" i="44"/>
  <c r="C102" i="37"/>
  <c r="Z94" i="19"/>
  <c r="C106" i="44"/>
  <c r="C106" i="37"/>
  <c r="C113" i="44"/>
  <c r="C113" i="37"/>
  <c r="C126" i="44"/>
  <c r="C138" i="37"/>
  <c r="C151" i="46"/>
  <c r="C159" i="46"/>
  <c r="C159" i="40"/>
  <c r="Z151" i="19"/>
  <c r="C163" i="40"/>
  <c r="Z155" i="19"/>
  <c r="C167" i="46"/>
  <c r="Z159" i="19"/>
  <c r="C171" i="46"/>
  <c r="C171" i="40"/>
  <c r="C175" i="46"/>
  <c r="C175" i="40"/>
  <c r="Z167" i="19"/>
  <c r="C179" i="40"/>
  <c r="Z171" i="19"/>
  <c r="C183" i="46"/>
  <c r="C187" i="46"/>
  <c r="C187" i="40"/>
  <c r="C194" i="40"/>
  <c r="C198" i="46"/>
  <c r="C198" i="40"/>
  <c r="C202" i="46"/>
  <c r="C202" i="40"/>
  <c r="C226" i="37"/>
  <c r="C247" i="46"/>
  <c r="Z34" i="19"/>
  <c r="C46" i="46"/>
  <c r="C46" i="40"/>
  <c r="Z47" i="19"/>
  <c r="C59" i="46"/>
  <c r="C59" i="40"/>
  <c r="C71" i="46"/>
  <c r="C71" i="40"/>
  <c r="C36" i="40"/>
  <c r="Z31" i="19"/>
  <c r="C43" i="46"/>
  <c r="C47" i="40"/>
  <c r="Z40" i="19"/>
  <c r="C52" i="40"/>
  <c r="C56" i="40"/>
  <c r="C60" i="46"/>
  <c r="C60" i="40"/>
  <c r="Z56" i="19"/>
  <c r="C68" i="46"/>
  <c r="C68" i="40"/>
  <c r="Z64" i="19"/>
  <c r="C76" i="46"/>
  <c r="C80" i="46"/>
  <c r="Z73" i="19"/>
  <c r="C85" i="40"/>
  <c r="C90" i="46"/>
  <c r="C95" i="44"/>
  <c r="C95" i="37"/>
  <c r="Z87" i="19"/>
  <c r="Z91" i="19"/>
  <c r="C103" i="44"/>
  <c r="Z95" i="19"/>
  <c r="C107" i="37"/>
  <c r="C114" i="37"/>
  <c r="C118" i="44"/>
  <c r="C118" i="37"/>
  <c r="C122" i="44"/>
  <c r="C122" i="37"/>
  <c r="C127" i="44"/>
  <c r="C127" i="37"/>
  <c r="Z119" i="19"/>
  <c r="C131" i="44"/>
  <c r="C131" i="37"/>
  <c r="C135" i="44"/>
  <c r="C135" i="37"/>
  <c r="Z127" i="19"/>
  <c r="AI127" i="19" s="1"/>
  <c r="C139" i="44"/>
  <c r="C139" i="37"/>
  <c r="Z131" i="19"/>
  <c r="C143" i="44"/>
  <c r="C143" i="37"/>
  <c r="Z136" i="19"/>
  <c r="AF136" i="19" s="1"/>
  <c r="C148" i="46"/>
  <c r="C148" i="40"/>
  <c r="C152" i="46"/>
  <c r="C152" i="40"/>
  <c r="C160" i="46"/>
  <c r="Z160" i="19"/>
  <c r="AO160" i="19" s="1"/>
  <c r="C172" i="40"/>
  <c r="Z176" i="19"/>
  <c r="Z183" i="19"/>
  <c r="C195" i="46"/>
  <c r="C199" i="46"/>
  <c r="Z191" i="19"/>
  <c r="C203" i="40"/>
  <c r="C219" i="37"/>
  <c r="Z208" i="19"/>
  <c r="C220" i="44"/>
  <c r="Z211" i="19"/>
  <c r="C223" i="44"/>
  <c r="C223" i="37"/>
  <c r="C229" i="44"/>
  <c r="C229" i="37"/>
  <c r="C232" i="44"/>
  <c r="C232" i="37"/>
  <c r="C211" i="44"/>
  <c r="C217" i="44"/>
  <c r="C214" i="44"/>
  <c r="Z202" i="19"/>
  <c r="C212" i="37"/>
  <c r="C211" i="37"/>
  <c r="Z205" i="19"/>
  <c r="C217" i="37"/>
  <c r="AK9" i="19"/>
  <c r="AK297" i="19" s="1"/>
  <c r="AG9" i="19"/>
  <c r="AG297" i="19" s="1"/>
  <c r="AC9" i="19"/>
  <c r="AC297" i="19" s="1"/>
  <c r="AN9" i="19"/>
  <c r="AN297" i="19" s="1"/>
  <c r="AF9" i="19"/>
  <c r="AF297" i="19" s="1"/>
  <c r="AM9" i="19"/>
  <c r="AM297" i="19" s="1"/>
  <c r="AI9" i="19"/>
  <c r="AI297" i="19" s="1"/>
  <c r="AE9" i="19"/>
  <c r="AE297" i="19" s="1"/>
  <c r="AH9" i="19"/>
  <c r="AH297" i="19" s="1"/>
  <c r="AD9" i="19"/>
  <c r="AD297" i="19" s="1"/>
  <c r="AM207" i="19"/>
  <c r="AL215" i="19"/>
  <c r="AB212" i="19"/>
  <c r="AB219" i="19"/>
  <c r="AB231" i="19"/>
  <c r="AB242" i="19"/>
  <c r="AB246" i="19"/>
  <c r="AB262" i="19"/>
  <c r="AB209" i="19"/>
  <c r="AB211" i="19"/>
  <c r="AB240" i="19"/>
  <c r="AB220" i="19"/>
  <c r="AB232" i="19"/>
  <c r="AB247" i="19"/>
  <c r="AB251" i="19"/>
  <c r="AB221" i="19"/>
  <c r="AB241" i="19"/>
  <c r="AB252" i="19"/>
  <c r="AQ127" i="19"/>
  <c r="AG127" i="19"/>
  <c r="AR181" i="19"/>
  <c r="AJ181" i="19"/>
  <c r="AD181" i="19"/>
  <c r="AI181" i="19"/>
  <c r="AH188" i="19"/>
  <c r="AK188" i="19"/>
  <c r="AQ188" i="19"/>
  <c r="AP101" i="19"/>
  <c r="AH101" i="19"/>
  <c r="AG101" i="19"/>
  <c r="AR101" i="19"/>
  <c r="AJ101" i="19"/>
  <c r="AI101" i="19"/>
  <c r="AE101" i="19"/>
  <c r="AQ101" i="19"/>
  <c r="AQ113" i="19"/>
  <c r="AM113" i="19"/>
  <c r="AL113" i="19"/>
  <c r="AH113" i="19"/>
  <c r="AO113" i="19"/>
  <c r="AF113" i="19"/>
  <c r="AR113" i="19"/>
  <c r="AP117" i="19"/>
  <c r="AL117" i="19"/>
  <c r="AH117" i="19"/>
  <c r="AD117" i="19"/>
  <c r="AO117" i="19"/>
  <c r="AK117" i="19"/>
  <c r="AG117" i="19"/>
  <c r="AC117" i="19"/>
  <c r="AR117" i="19"/>
  <c r="AN117" i="19"/>
  <c r="AJ117" i="19"/>
  <c r="AF117" i="19"/>
  <c r="AE117" i="19"/>
  <c r="AQ117" i="19"/>
  <c r="AM117" i="19"/>
  <c r="AI117" i="19"/>
  <c r="AO121" i="19"/>
  <c r="AK121" i="19"/>
  <c r="AG121" i="19"/>
  <c r="AC121" i="19"/>
  <c r="AR121" i="19"/>
  <c r="AN121" i="19"/>
  <c r="AJ121" i="19"/>
  <c r="AF121" i="19"/>
  <c r="AQ121" i="19"/>
  <c r="AM121" i="19"/>
  <c r="AI121" i="19"/>
  <c r="AE121" i="19"/>
  <c r="AD121" i="19"/>
  <c r="AP121" i="19"/>
  <c r="AL121" i="19"/>
  <c r="AH121" i="19"/>
  <c r="AR125" i="19"/>
  <c r="AN125" i="19"/>
  <c r="AJ125" i="19"/>
  <c r="AM125" i="19"/>
  <c r="AI125" i="19"/>
  <c r="AP125" i="19"/>
  <c r="AH125" i="19"/>
  <c r="AC125" i="19"/>
  <c r="AO125" i="19"/>
  <c r="AE149" i="19"/>
  <c r="AQ153" i="19"/>
  <c r="AM153" i="19"/>
  <c r="AI153" i="19"/>
  <c r="AR153" i="19"/>
  <c r="AL153" i="19"/>
  <c r="AG153" i="19"/>
  <c r="AK153" i="19"/>
  <c r="AF153" i="19"/>
  <c r="AO153" i="19"/>
  <c r="AD153" i="19"/>
  <c r="AC153" i="19"/>
  <c r="AN153" i="19"/>
  <c r="AR136" i="19"/>
  <c r="AN136" i="19"/>
  <c r="AJ136" i="19"/>
  <c r="AP136" i="19"/>
  <c r="AL136" i="19"/>
  <c r="AH136" i="19"/>
  <c r="AQ136" i="19"/>
  <c r="AI136" i="19"/>
  <c r="AO136" i="19"/>
  <c r="AM136" i="19"/>
  <c r="AE136" i="19"/>
  <c r="AC136" i="19"/>
  <c r="AR160" i="19"/>
  <c r="AN160" i="19"/>
  <c r="AJ160" i="19"/>
  <c r="AI160" i="19"/>
  <c r="AD160" i="19"/>
  <c r="AH160" i="19"/>
  <c r="AQ160" i="19"/>
  <c r="AG160" i="19"/>
  <c r="AP160" i="19"/>
  <c r="AP171" i="19"/>
  <c r="AL171" i="19"/>
  <c r="AH171" i="19"/>
  <c r="AD171" i="19"/>
  <c r="AQ171" i="19"/>
  <c r="AK171" i="19"/>
  <c r="AF171" i="19"/>
  <c r="AO171" i="19"/>
  <c r="AJ171" i="19"/>
  <c r="AE171" i="19"/>
  <c r="AN171" i="19"/>
  <c r="AI171" i="19"/>
  <c r="AC171" i="19"/>
  <c r="AR171" i="19"/>
  <c r="AM171" i="19"/>
  <c r="AG171" i="19"/>
  <c r="AQ129" i="19"/>
  <c r="AM129" i="19"/>
  <c r="AI129" i="19"/>
  <c r="AE129" i="19"/>
  <c r="AP129" i="19"/>
  <c r="AL129" i="19"/>
  <c r="AH129" i="19"/>
  <c r="AD129" i="19"/>
  <c r="AO129" i="19"/>
  <c r="AK129" i="19"/>
  <c r="AG129" i="19"/>
  <c r="AC129" i="19"/>
  <c r="AR129" i="19"/>
  <c r="AN129" i="19"/>
  <c r="AJ129" i="19"/>
  <c r="AF129" i="19"/>
  <c r="AQ138" i="19"/>
  <c r="AM138" i="19"/>
  <c r="AI138" i="19"/>
  <c r="AE138" i="19"/>
  <c r="AO138" i="19"/>
  <c r="AK138" i="19"/>
  <c r="AG138" i="19"/>
  <c r="AC138" i="19"/>
  <c r="AP138" i="19"/>
  <c r="AH138" i="19"/>
  <c r="AN138" i="19"/>
  <c r="AF138" i="19"/>
  <c r="AL138" i="19"/>
  <c r="AD138" i="19"/>
  <c r="AR138" i="19"/>
  <c r="AJ138" i="19"/>
  <c r="AP142" i="19"/>
  <c r="AL142" i="19"/>
  <c r="AH142" i="19"/>
  <c r="AN142" i="19"/>
  <c r="AJ142" i="19"/>
  <c r="AO142" i="19"/>
  <c r="AM142" i="19"/>
  <c r="AK142" i="19"/>
  <c r="AC142" i="19"/>
  <c r="AO146" i="19"/>
  <c r="AK146" i="19"/>
  <c r="AG146" i="19"/>
  <c r="AC146" i="19"/>
  <c r="AR146" i="19"/>
  <c r="AN146" i="19"/>
  <c r="AJ146" i="19"/>
  <c r="AF146" i="19"/>
  <c r="AQ146" i="19"/>
  <c r="AM146" i="19"/>
  <c r="AI146" i="19"/>
  <c r="AE146" i="19"/>
  <c r="AL146" i="19"/>
  <c r="AH146" i="19"/>
  <c r="AD146" i="19"/>
  <c r="AP146" i="19"/>
  <c r="AP154" i="19"/>
  <c r="AL154" i="19"/>
  <c r="AH154" i="19"/>
  <c r="AD154" i="19"/>
  <c r="AQ154" i="19"/>
  <c r="AK154" i="19"/>
  <c r="AF154" i="19"/>
  <c r="AO154" i="19"/>
  <c r="AJ154" i="19"/>
  <c r="AE154" i="19"/>
  <c r="AN154" i="19"/>
  <c r="AI154" i="19"/>
  <c r="AC154" i="19"/>
  <c r="AG154" i="19"/>
  <c r="AR154" i="19"/>
  <c r="AM154" i="19"/>
  <c r="AQ165" i="19"/>
  <c r="AM165" i="19"/>
  <c r="AI165" i="19"/>
  <c r="AR165" i="19"/>
  <c r="AL165" i="19"/>
  <c r="AG165" i="19"/>
  <c r="AJ165" i="19"/>
  <c r="AD165" i="19"/>
  <c r="AH165" i="19"/>
  <c r="AF165" i="19"/>
  <c r="AN165" i="19"/>
  <c r="AC165" i="19"/>
  <c r="AP169" i="19"/>
  <c r="AL169" i="19"/>
  <c r="AH169" i="19"/>
  <c r="AD169" i="19"/>
  <c r="AQ169" i="19"/>
  <c r="AK169" i="19"/>
  <c r="AF169" i="19"/>
  <c r="AO169" i="19"/>
  <c r="AJ169" i="19"/>
  <c r="AE169" i="19"/>
  <c r="AN169" i="19"/>
  <c r="AI169" i="19"/>
  <c r="AC169" i="19"/>
  <c r="AM169" i="19"/>
  <c r="AG169" i="19"/>
  <c r="AR169" i="19"/>
  <c r="AK176" i="19"/>
  <c r="AL176" i="19"/>
  <c r="AH176" i="19"/>
  <c r="AR176" i="19"/>
  <c r="AI176" i="19"/>
  <c r="AQ183" i="19"/>
  <c r="AM183" i="19"/>
  <c r="AI183" i="19"/>
  <c r="AE183" i="19"/>
  <c r="AO183" i="19"/>
  <c r="AJ183" i="19"/>
  <c r="AD183" i="19"/>
  <c r="AN183" i="19"/>
  <c r="AG183" i="19"/>
  <c r="AL183" i="19"/>
  <c r="AF183" i="19"/>
  <c r="AR183" i="19"/>
  <c r="AK183" i="19"/>
  <c r="AC183" i="19"/>
  <c r="AH183" i="19"/>
  <c r="AP183" i="19"/>
  <c r="AP191" i="19"/>
  <c r="AL191" i="19"/>
  <c r="AH191" i="19"/>
  <c r="AD191" i="19"/>
  <c r="AN191" i="19"/>
  <c r="AI191" i="19"/>
  <c r="AC191" i="19"/>
  <c r="AO191" i="19"/>
  <c r="AG191" i="19"/>
  <c r="AM191" i="19"/>
  <c r="AF191" i="19"/>
  <c r="AR191" i="19"/>
  <c r="AK191" i="19"/>
  <c r="AE191" i="19"/>
  <c r="AJ191" i="19"/>
  <c r="AQ191" i="19"/>
  <c r="AR196" i="19"/>
  <c r="AN196" i="19"/>
  <c r="AJ196" i="19"/>
  <c r="AF196" i="19"/>
  <c r="AQ196" i="19"/>
  <c r="AL196" i="19"/>
  <c r="AG196" i="19"/>
  <c r="AM196" i="19"/>
  <c r="AE196" i="19"/>
  <c r="AK196" i="19"/>
  <c r="AD196" i="19"/>
  <c r="AP196" i="19"/>
  <c r="AI196" i="19"/>
  <c r="AC196" i="19"/>
  <c r="AO196" i="19"/>
  <c r="AH196" i="19"/>
  <c r="AQ131" i="19"/>
  <c r="AM131" i="19"/>
  <c r="AI131" i="19"/>
  <c r="AE131" i="19"/>
  <c r="AP131" i="19"/>
  <c r="AL131" i="19"/>
  <c r="AH131" i="19"/>
  <c r="AD131" i="19"/>
  <c r="AO131" i="19"/>
  <c r="AK131" i="19"/>
  <c r="AG131" i="19"/>
  <c r="AC131" i="19"/>
  <c r="AR131" i="19"/>
  <c r="AN131" i="19"/>
  <c r="AJ131" i="19"/>
  <c r="AF131" i="19"/>
  <c r="AQ167" i="19"/>
  <c r="AM167" i="19"/>
  <c r="AI167" i="19"/>
  <c r="AE167" i="19"/>
  <c r="AR167" i="19"/>
  <c r="AL167" i="19"/>
  <c r="AG167" i="19"/>
  <c r="AP167" i="19"/>
  <c r="AK167" i="19"/>
  <c r="AF167" i="19"/>
  <c r="AO167" i="19"/>
  <c r="AJ167" i="19"/>
  <c r="AD167" i="19"/>
  <c r="AC167" i="19"/>
  <c r="AN167" i="19"/>
  <c r="AH167" i="19"/>
  <c r="AO194" i="19"/>
  <c r="AK194" i="19"/>
  <c r="AG194" i="19"/>
  <c r="AC194" i="19"/>
  <c r="AR194" i="19"/>
  <c r="AM194" i="19"/>
  <c r="AH194" i="19"/>
  <c r="AQ194" i="19"/>
  <c r="AJ194" i="19"/>
  <c r="AD194" i="19"/>
  <c r="AP194" i="19"/>
  <c r="AI194" i="19"/>
  <c r="AN194" i="19"/>
  <c r="AF194" i="19"/>
  <c r="AE194" i="19"/>
  <c r="AL194" i="19"/>
  <c r="AO103" i="19"/>
  <c r="AK103" i="19"/>
  <c r="AG103" i="19"/>
  <c r="AC103" i="19"/>
  <c r="AR103" i="19"/>
  <c r="AN103" i="19"/>
  <c r="AJ103" i="19"/>
  <c r="AF103" i="19"/>
  <c r="AQ103" i="19"/>
  <c r="AM103" i="19"/>
  <c r="AI103" i="19"/>
  <c r="AE103" i="19"/>
  <c r="AH103" i="19"/>
  <c r="AD103" i="19"/>
  <c r="AP103" i="19"/>
  <c r="AL103" i="19"/>
  <c r="AO119" i="19"/>
  <c r="AK119" i="19"/>
  <c r="AG119" i="19"/>
  <c r="AC119" i="19"/>
  <c r="AR119" i="19"/>
  <c r="AN119" i="19"/>
  <c r="AJ119" i="19"/>
  <c r="AF119" i="19"/>
  <c r="AQ119" i="19"/>
  <c r="AM119" i="19"/>
  <c r="AI119" i="19"/>
  <c r="AE119" i="19"/>
  <c r="AD119" i="19"/>
  <c r="AP119" i="19"/>
  <c r="AL119" i="19"/>
  <c r="AH119" i="19"/>
  <c r="AR123" i="19"/>
  <c r="AN123" i="19"/>
  <c r="AJ123" i="19"/>
  <c r="AF123" i="19"/>
  <c r="AQ123" i="19"/>
  <c r="AM123" i="19"/>
  <c r="AI123" i="19"/>
  <c r="AE123" i="19"/>
  <c r="AP123" i="19"/>
  <c r="AL123" i="19"/>
  <c r="AH123" i="19"/>
  <c r="AD123" i="19"/>
  <c r="AC123" i="19"/>
  <c r="AO123" i="19"/>
  <c r="AK123" i="19"/>
  <c r="AG123" i="19"/>
  <c r="AQ151" i="19"/>
  <c r="AM151" i="19"/>
  <c r="AI151" i="19"/>
  <c r="AE151" i="19"/>
  <c r="AR151" i="19"/>
  <c r="AL151" i="19"/>
  <c r="AG151" i="19"/>
  <c r="AP151" i="19"/>
  <c r="AK151" i="19"/>
  <c r="AF151" i="19"/>
  <c r="AO151" i="19"/>
  <c r="AJ151" i="19"/>
  <c r="AD151" i="19"/>
  <c r="AN151" i="19"/>
  <c r="AH151" i="19"/>
  <c r="AC151" i="19"/>
  <c r="AL155" i="19"/>
  <c r="AD155" i="19"/>
  <c r="AK155" i="19"/>
  <c r="AO155" i="19"/>
  <c r="AE155" i="19"/>
  <c r="AI155" i="19"/>
  <c r="AM155" i="19"/>
  <c r="AR155" i="19"/>
  <c r="AO159" i="19"/>
  <c r="AK159" i="19"/>
  <c r="AG159" i="19"/>
  <c r="AC159" i="19"/>
  <c r="AP159" i="19"/>
  <c r="AJ159" i="19"/>
  <c r="AE159" i="19"/>
  <c r="AN159" i="19"/>
  <c r="AI159" i="19"/>
  <c r="AD159" i="19"/>
  <c r="AR159" i="19"/>
  <c r="AM159" i="19"/>
  <c r="AH159" i="19"/>
  <c r="AL159" i="19"/>
  <c r="AF159" i="19"/>
  <c r="AQ159" i="19"/>
  <c r="AN162" i="19"/>
  <c r="AF162" i="19"/>
  <c r="AH162" i="19"/>
  <c r="AP162" i="19"/>
  <c r="AE162" i="19"/>
  <c r="AD162" i="19"/>
  <c r="AI162" i="19"/>
  <c r="AG162" i="19"/>
  <c r="AR170" i="19"/>
  <c r="AO9" i="19"/>
  <c r="AO297" i="19"/>
  <c r="AR9" i="19"/>
  <c r="AR297" i="19"/>
  <c r="AJ9" i="19"/>
  <c r="AJ297" i="19"/>
  <c r="AQ9" i="19"/>
  <c r="AQ297" i="19"/>
  <c r="AP9" i="19"/>
  <c r="AP297" i="19"/>
  <c r="AL9" i="19"/>
  <c r="AL297" i="19"/>
  <c r="AP15" i="19"/>
  <c r="AL15" i="19"/>
  <c r="AH15" i="19"/>
  <c r="AD15" i="19"/>
  <c r="AO15" i="19"/>
  <c r="AK15" i="19"/>
  <c r="AG15" i="19"/>
  <c r="AC15" i="19"/>
  <c r="AR15" i="19"/>
  <c r="AN15" i="19"/>
  <c r="AJ15" i="19"/>
  <c r="AF15" i="19"/>
  <c r="AQ15" i="19"/>
  <c r="AM15" i="19"/>
  <c r="AI15" i="19"/>
  <c r="AE15" i="19"/>
  <c r="AP31" i="19"/>
  <c r="AL31" i="19"/>
  <c r="AH31" i="19"/>
  <c r="AB31" i="19" s="1"/>
  <c r="AD31" i="19"/>
  <c r="AR31" i="19"/>
  <c r="AN31" i="19"/>
  <c r="AJ31" i="19"/>
  <c r="AF31" i="19"/>
  <c r="AO31" i="19"/>
  <c r="AG31" i="19"/>
  <c r="AM31" i="19"/>
  <c r="AE31" i="19"/>
  <c r="AK31" i="19"/>
  <c r="AC31" i="19"/>
  <c r="AQ31" i="19"/>
  <c r="AI31" i="19"/>
  <c r="AO39" i="19"/>
  <c r="AK39" i="19"/>
  <c r="AG39" i="19"/>
  <c r="AC39" i="19"/>
  <c r="AQ39" i="19"/>
  <c r="AM39" i="19"/>
  <c r="AI39" i="19"/>
  <c r="AE39" i="19"/>
  <c r="AR39" i="19"/>
  <c r="AJ39" i="19"/>
  <c r="AP39" i="19"/>
  <c r="AH39" i="19"/>
  <c r="AL39" i="19"/>
  <c r="AD39" i="19"/>
  <c r="AF39" i="19"/>
  <c r="AN39" i="19"/>
  <c r="AR43" i="19"/>
  <c r="AN43" i="19"/>
  <c r="AJ43" i="19"/>
  <c r="AF43" i="19"/>
  <c r="AP43" i="19"/>
  <c r="AL43" i="19"/>
  <c r="AH43" i="19"/>
  <c r="AB43" i="19" s="1"/>
  <c r="AD43" i="19"/>
  <c r="AQ43" i="19"/>
  <c r="AI43" i="19"/>
  <c r="AO43" i="19"/>
  <c r="AG43" i="19"/>
  <c r="AM43" i="19"/>
  <c r="AE43" i="19"/>
  <c r="AK43" i="19"/>
  <c r="AC43" i="19"/>
  <c r="AQ47" i="19"/>
  <c r="AM47" i="19"/>
  <c r="AI47" i="19"/>
  <c r="AE47" i="19"/>
  <c r="AO47" i="19"/>
  <c r="AK47" i="19"/>
  <c r="AG47" i="19"/>
  <c r="AB47" i="19" s="1"/>
  <c r="AC47" i="19"/>
  <c r="AP47" i="19"/>
  <c r="AH47" i="19"/>
  <c r="AN47" i="19"/>
  <c r="AF47" i="19"/>
  <c r="AL47" i="19"/>
  <c r="AD47" i="19"/>
  <c r="AR47" i="19"/>
  <c r="AJ47" i="19"/>
  <c r="AP51" i="19"/>
  <c r="AL51" i="19"/>
  <c r="AH51" i="19"/>
  <c r="AD51" i="19"/>
  <c r="AR51" i="19"/>
  <c r="AN51" i="19"/>
  <c r="AJ51" i="19"/>
  <c r="AF51" i="19"/>
  <c r="AO51" i="19"/>
  <c r="AG51" i="19"/>
  <c r="AM51" i="19"/>
  <c r="AE51" i="19"/>
  <c r="AK51" i="19"/>
  <c r="AC51" i="19"/>
  <c r="AQ51" i="19"/>
  <c r="AI51" i="19"/>
  <c r="AO55" i="19"/>
  <c r="AK55" i="19"/>
  <c r="AG55" i="19"/>
  <c r="AC55" i="19"/>
  <c r="AQ55" i="19"/>
  <c r="AM55" i="19"/>
  <c r="AI55" i="19"/>
  <c r="AE55" i="19"/>
  <c r="AN55" i="19"/>
  <c r="AF55" i="19"/>
  <c r="AL55" i="19"/>
  <c r="AD55" i="19"/>
  <c r="AR55" i="19"/>
  <c r="AJ55" i="19"/>
  <c r="AP55" i="19"/>
  <c r="AH55" i="19"/>
  <c r="AR88" i="19"/>
  <c r="AN88" i="19"/>
  <c r="AJ88" i="19"/>
  <c r="AF88" i="19"/>
  <c r="AP88" i="19"/>
  <c r="AL88" i="19"/>
  <c r="AH88" i="19"/>
  <c r="AD88" i="19"/>
  <c r="AO88" i="19"/>
  <c r="AG88" i="19"/>
  <c r="AK88" i="19"/>
  <c r="AC88" i="19"/>
  <c r="AI88" i="19"/>
  <c r="AQ88" i="19"/>
  <c r="AM88" i="19"/>
  <c r="AE88" i="19"/>
  <c r="AQ92" i="19"/>
  <c r="AM92" i="19"/>
  <c r="AI92" i="19"/>
  <c r="AE92" i="19"/>
  <c r="AO92" i="19"/>
  <c r="AK92" i="19"/>
  <c r="AG92" i="19"/>
  <c r="AC92" i="19"/>
  <c r="AN92" i="19"/>
  <c r="AF92" i="19"/>
  <c r="AR92" i="19"/>
  <c r="AJ92" i="19"/>
  <c r="AH92" i="19"/>
  <c r="AP92" i="19"/>
  <c r="AL92" i="19"/>
  <c r="AD92" i="19"/>
  <c r="AP97" i="19"/>
  <c r="AL97" i="19"/>
  <c r="AH97" i="19"/>
  <c r="AD97" i="19"/>
  <c r="AR97" i="19"/>
  <c r="AN97" i="19"/>
  <c r="AJ97" i="19"/>
  <c r="AF97" i="19"/>
  <c r="AM97" i="19"/>
  <c r="AE97" i="19"/>
  <c r="AQ97" i="19"/>
  <c r="AI97" i="19"/>
  <c r="AG97" i="19"/>
  <c r="AO97" i="19"/>
  <c r="AK97" i="19"/>
  <c r="AC97" i="19"/>
  <c r="AR12" i="19"/>
  <c r="AN12" i="19"/>
  <c r="AJ12" i="19"/>
  <c r="AF12" i="19"/>
  <c r="AQ12" i="19"/>
  <c r="AM12" i="19"/>
  <c r="AI12" i="19"/>
  <c r="AE12" i="19"/>
  <c r="AP12" i="19"/>
  <c r="AL12" i="19"/>
  <c r="AH12" i="19"/>
  <c r="AD12" i="19"/>
  <c r="AO12" i="19"/>
  <c r="AK12" i="19"/>
  <c r="AG12" i="19"/>
  <c r="AB12" i="19" s="1"/>
  <c r="AC12" i="19"/>
  <c r="AO40" i="19"/>
  <c r="AK40" i="19"/>
  <c r="AG40" i="19"/>
  <c r="AC40" i="19"/>
  <c r="AQ40" i="19"/>
  <c r="AM40" i="19"/>
  <c r="AI40" i="19"/>
  <c r="AE40" i="19"/>
  <c r="AR40" i="19"/>
  <c r="AJ40" i="19"/>
  <c r="AP40" i="19"/>
  <c r="AH40" i="19"/>
  <c r="AN40" i="19"/>
  <c r="AF40" i="19"/>
  <c r="AL40" i="19"/>
  <c r="AD40" i="19"/>
  <c r="AO56" i="19"/>
  <c r="AK56" i="19"/>
  <c r="AG56" i="19"/>
  <c r="AB56" i="19" s="1"/>
  <c r="AC56" i="19"/>
  <c r="AQ56" i="19"/>
  <c r="AM56" i="19"/>
  <c r="AI56" i="19"/>
  <c r="AE56" i="19"/>
  <c r="AN56" i="19"/>
  <c r="AF56" i="19"/>
  <c r="AL56" i="19"/>
  <c r="AD56" i="19"/>
  <c r="AR56" i="19"/>
  <c r="AJ56" i="19"/>
  <c r="AP56" i="19"/>
  <c r="AH56" i="19"/>
  <c r="AO67" i="19"/>
  <c r="AK67" i="19"/>
  <c r="AG67" i="19"/>
  <c r="AB67" i="19" s="1"/>
  <c r="AC67" i="19"/>
  <c r="AQ67" i="19"/>
  <c r="AM67" i="19"/>
  <c r="AI67" i="19"/>
  <c r="AE67" i="19"/>
  <c r="AL67" i="19"/>
  <c r="AD67" i="19"/>
  <c r="AP67" i="19"/>
  <c r="AH67" i="19"/>
  <c r="AR67" i="19"/>
  <c r="AN67" i="19"/>
  <c r="AJ67" i="19"/>
  <c r="AF67" i="19"/>
  <c r="AR72" i="19"/>
  <c r="AN72" i="19"/>
  <c r="AJ72" i="19"/>
  <c r="AF72" i="19"/>
  <c r="AP72" i="19"/>
  <c r="AL72" i="19"/>
  <c r="AH72" i="19"/>
  <c r="AB72" i="19" s="1"/>
  <c r="AD72" i="19"/>
  <c r="AK72" i="19"/>
  <c r="AC72" i="19"/>
  <c r="AO72" i="19"/>
  <c r="AG72" i="19"/>
  <c r="AQ72" i="19"/>
  <c r="AM72" i="19"/>
  <c r="AI72" i="19"/>
  <c r="AE72" i="19"/>
  <c r="AQ77" i="19"/>
  <c r="AM77" i="19"/>
  <c r="AI77" i="19"/>
  <c r="AE77" i="19"/>
  <c r="AO77" i="19"/>
  <c r="AJ77" i="19"/>
  <c r="AD77" i="19"/>
  <c r="AB77" i="19" s="1"/>
  <c r="AR77" i="19"/>
  <c r="AL77" i="19"/>
  <c r="AG77" i="19"/>
  <c r="AP77" i="19"/>
  <c r="AF77" i="19"/>
  <c r="AK77" i="19"/>
  <c r="AC77" i="19"/>
  <c r="AN77" i="19"/>
  <c r="AH77" i="19"/>
  <c r="AO82" i="19"/>
  <c r="AK82" i="19"/>
  <c r="AG82" i="19"/>
  <c r="AC82" i="19"/>
  <c r="AQ82" i="19"/>
  <c r="AM82" i="19"/>
  <c r="AI82" i="19"/>
  <c r="AE82" i="19"/>
  <c r="AP82" i="19"/>
  <c r="AH82" i="19"/>
  <c r="AL82" i="19"/>
  <c r="AD82" i="19"/>
  <c r="AJ82" i="19"/>
  <c r="AR82" i="19"/>
  <c r="AN82" i="19"/>
  <c r="AF82" i="19"/>
  <c r="AR86" i="19"/>
  <c r="AN86" i="19"/>
  <c r="AJ86" i="19"/>
  <c r="AF86" i="19"/>
  <c r="AP86" i="19"/>
  <c r="AL86" i="19"/>
  <c r="AH86" i="19"/>
  <c r="AD86" i="19"/>
  <c r="AO86" i="19"/>
  <c r="AG86" i="19"/>
  <c r="AK86" i="19"/>
  <c r="AC86" i="19"/>
  <c r="AI86" i="19"/>
  <c r="AQ86" i="19"/>
  <c r="AM86" i="19"/>
  <c r="AE86" i="19"/>
  <c r="AR89" i="19"/>
  <c r="AN89" i="19"/>
  <c r="AJ89" i="19"/>
  <c r="AF89" i="19"/>
  <c r="AP89" i="19"/>
  <c r="AL89" i="19"/>
  <c r="AH89" i="19"/>
  <c r="AD89" i="19"/>
  <c r="AO89" i="19"/>
  <c r="AG89" i="19"/>
  <c r="AK89" i="19"/>
  <c r="AC89" i="19"/>
  <c r="AI89" i="19"/>
  <c r="AQ89" i="19"/>
  <c r="AE89" i="19"/>
  <c r="AM89" i="19"/>
  <c r="AQ93" i="19"/>
  <c r="AM93" i="19"/>
  <c r="AI93" i="19"/>
  <c r="AE93" i="19"/>
  <c r="AO93" i="19"/>
  <c r="AK93" i="19"/>
  <c r="AG93" i="19"/>
  <c r="AC93" i="19"/>
  <c r="AN93" i="19"/>
  <c r="AF93" i="19"/>
  <c r="AR93" i="19"/>
  <c r="AJ93" i="19"/>
  <c r="AH93" i="19"/>
  <c r="AP93" i="19"/>
  <c r="AD93" i="19"/>
  <c r="AB93" i="19" s="1"/>
  <c r="AL93" i="19"/>
  <c r="AQ13" i="19"/>
  <c r="AM13" i="19"/>
  <c r="AI13" i="19"/>
  <c r="AE13" i="19"/>
  <c r="AP13" i="19"/>
  <c r="AL13" i="19"/>
  <c r="AH13" i="19"/>
  <c r="AD13" i="19"/>
  <c r="AO13" i="19"/>
  <c r="AK13" i="19"/>
  <c r="AB13" i="19" s="1"/>
  <c r="AG13" i="19"/>
  <c r="AC13" i="19"/>
  <c r="AR13" i="19"/>
  <c r="AN13" i="19"/>
  <c r="AJ13" i="19"/>
  <c r="AF13" i="19"/>
  <c r="AP17" i="19"/>
  <c r="AL17" i="19"/>
  <c r="AH17" i="19"/>
  <c r="AD17" i="19"/>
  <c r="AO17" i="19"/>
  <c r="AK17" i="19"/>
  <c r="AB17" i="19" s="1"/>
  <c r="AG17" i="19"/>
  <c r="AC17" i="19"/>
  <c r="AR17" i="19"/>
  <c r="AN17" i="19"/>
  <c r="AJ17" i="19"/>
  <c r="AF17" i="19"/>
  <c r="AQ17" i="19"/>
  <c r="AM17" i="19"/>
  <c r="AI17" i="19"/>
  <c r="AE17" i="19"/>
  <c r="AR64" i="19"/>
  <c r="AN64" i="19"/>
  <c r="AJ64" i="19"/>
  <c r="AO64" i="19"/>
  <c r="AI64" i="19"/>
  <c r="AE64" i="19"/>
  <c r="AQ64" i="19"/>
  <c r="AL64" i="19"/>
  <c r="AG64" i="19"/>
  <c r="AC64" i="19"/>
  <c r="AM64" i="19"/>
  <c r="AD64" i="19"/>
  <c r="AK64" i="19"/>
  <c r="AH64" i="19"/>
  <c r="AP64" i="19"/>
  <c r="AF64" i="19"/>
  <c r="AR73" i="19"/>
  <c r="AN73" i="19"/>
  <c r="AJ73" i="19"/>
  <c r="AF73" i="19"/>
  <c r="AP73" i="19"/>
  <c r="AL73" i="19"/>
  <c r="AH73" i="19"/>
  <c r="AD73" i="19"/>
  <c r="AK73" i="19"/>
  <c r="AC73" i="19"/>
  <c r="AO73" i="19"/>
  <c r="AG73" i="19"/>
  <c r="AQ73" i="19"/>
  <c r="AM73" i="19"/>
  <c r="AI73" i="19"/>
  <c r="AE73" i="19"/>
  <c r="AO83" i="19"/>
  <c r="AK83" i="19"/>
  <c r="AG83" i="19"/>
  <c r="AC83" i="19"/>
  <c r="AQ83" i="19"/>
  <c r="AM83" i="19"/>
  <c r="AI83" i="19"/>
  <c r="AE83" i="19"/>
  <c r="AP83" i="19"/>
  <c r="AH83" i="19"/>
  <c r="AB83" i="19" s="1"/>
  <c r="AL83" i="19"/>
  <c r="AD83" i="19"/>
  <c r="AJ83" i="19"/>
  <c r="AR83" i="19"/>
  <c r="AF83" i="19"/>
  <c r="AN83" i="19"/>
  <c r="AR87" i="19"/>
  <c r="AN87" i="19"/>
  <c r="AJ87" i="19"/>
  <c r="AF87" i="19"/>
  <c r="AP87" i="19"/>
  <c r="AL87" i="19"/>
  <c r="AH87" i="19"/>
  <c r="AD87" i="19"/>
  <c r="AO87" i="19"/>
  <c r="AG87" i="19"/>
  <c r="AK87" i="19"/>
  <c r="AC87" i="19"/>
  <c r="AI87" i="19"/>
  <c r="AQ87" i="19"/>
  <c r="AE87" i="19"/>
  <c r="AM87" i="19"/>
  <c r="AQ90" i="19"/>
  <c r="AM90" i="19"/>
  <c r="AI90" i="19"/>
  <c r="AE90" i="19"/>
  <c r="AO90" i="19"/>
  <c r="AK90" i="19"/>
  <c r="AG90" i="19"/>
  <c r="AC90" i="19"/>
  <c r="AN90" i="19"/>
  <c r="AF90" i="19"/>
  <c r="AR90" i="19"/>
  <c r="AJ90" i="19"/>
  <c r="AH90" i="19"/>
  <c r="AP90" i="19"/>
  <c r="AL90" i="19"/>
  <c r="AD90" i="19"/>
  <c r="AP94" i="19"/>
  <c r="AL94" i="19"/>
  <c r="AH94" i="19"/>
  <c r="AD94" i="19"/>
  <c r="AR94" i="19"/>
  <c r="AN94" i="19"/>
  <c r="AJ94" i="19"/>
  <c r="AF94" i="19"/>
  <c r="AM94" i="19"/>
  <c r="AE94" i="19"/>
  <c r="AQ94" i="19"/>
  <c r="AI94" i="19"/>
  <c r="AG94" i="19"/>
  <c r="AO94" i="19"/>
  <c r="AK94" i="19"/>
  <c r="AC94" i="19"/>
  <c r="AQ34" i="19"/>
  <c r="AM34" i="19"/>
  <c r="AI34" i="19"/>
  <c r="AE34" i="19"/>
  <c r="AO34" i="19"/>
  <c r="AK34" i="19"/>
  <c r="AG34" i="19"/>
  <c r="AC34" i="19"/>
  <c r="AL34" i="19"/>
  <c r="AD34" i="19"/>
  <c r="AB34" i="19" s="1"/>
  <c r="AR34" i="19"/>
  <c r="AJ34" i="19"/>
  <c r="AN34" i="19"/>
  <c r="AF34" i="19"/>
  <c r="AH34" i="19"/>
  <c r="AP34" i="19"/>
  <c r="AR74" i="19"/>
  <c r="AN74" i="19"/>
  <c r="AJ74" i="19"/>
  <c r="AF74" i="19"/>
  <c r="AP74" i="19"/>
  <c r="AL74" i="19"/>
  <c r="AH74" i="19"/>
  <c r="AD74" i="19"/>
  <c r="AK74" i="19"/>
  <c r="AC74" i="19"/>
  <c r="AO74" i="19"/>
  <c r="AG74" i="19"/>
  <c r="AQ74" i="19"/>
  <c r="AM74" i="19"/>
  <c r="AI74" i="19"/>
  <c r="AE74" i="19"/>
  <c r="AO84" i="19"/>
  <c r="AK84" i="19"/>
  <c r="AG84" i="19"/>
  <c r="AC84" i="19"/>
  <c r="AQ84" i="19"/>
  <c r="AM84" i="19"/>
  <c r="AI84" i="19"/>
  <c r="AE84" i="19"/>
  <c r="AP84" i="19"/>
  <c r="AH84" i="19"/>
  <c r="AL84" i="19"/>
  <c r="AD84" i="19"/>
  <c r="AJ84" i="19"/>
  <c r="AR84" i="19"/>
  <c r="AN84" i="19"/>
  <c r="AF84" i="19"/>
  <c r="AQ91" i="19"/>
  <c r="AM91" i="19"/>
  <c r="AI91" i="19"/>
  <c r="AE91" i="19"/>
  <c r="AO91" i="19"/>
  <c r="AK91" i="19"/>
  <c r="AG91" i="19"/>
  <c r="AC91" i="19"/>
  <c r="AN91" i="19"/>
  <c r="AF91" i="19"/>
  <c r="AB91" i="19" s="1"/>
  <c r="AR91" i="19"/>
  <c r="AJ91" i="19"/>
  <c r="AH91" i="19"/>
  <c r="AP91" i="19"/>
  <c r="AD91" i="19"/>
  <c r="AL91" i="19"/>
  <c r="AP95" i="19"/>
  <c r="AL95" i="19"/>
  <c r="AH95" i="19"/>
  <c r="AD95" i="19"/>
  <c r="AR95" i="19"/>
  <c r="AN95" i="19"/>
  <c r="AJ95" i="19"/>
  <c r="AF95" i="19"/>
  <c r="AM95" i="19"/>
  <c r="AE95" i="19"/>
  <c r="AQ95" i="19"/>
  <c r="AI95" i="19"/>
  <c r="AG95" i="19"/>
  <c r="AO95" i="19"/>
  <c r="AC95" i="19"/>
  <c r="AK95" i="19"/>
  <c r="Z207" i="19"/>
  <c r="AD207" i="19"/>
  <c r="AL222" i="19"/>
  <c r="AN207" i="19"/>
  <c r="AH207" i="19"/>
  <c r="Z210" i="19"/>
  <c r="AD222" i="19"/>
  <c r="AH217" i="19"/>
  <c r="AM228" i="19"/>
  <c r="Z200" i="19"/>
  <c r="AE207" i="19"/>
  <c r="AP207" i="19"/>
  <c r="AR210" i="19"/>
  <c r="Z214" i="19"/>
  <c r="AF214" i="19"/>
  <c r="AK214" i="19"/>
  <c r="AP214" i="19"/>
  <c r="AD215" i="19"/>
  <c r="AE217" i="19"/>
  <c r="AE228" i="19"/>
  <c r="AQ228" i="19"/>
  <c r="AG214" i="19"/>
  <c r="AG206" i="19" s="1"/>
  <c r="AL214" i="19"/>
  <c r="AR214" i="19"/>
  <c r="AC214" i="19"/>
  <c r="AH214" i="19"/>
  <c r="AN214" i="19"/>
  <c r="Z217" i="19"/>
  <c r="AM217" i="19"/>
  <c r="AJ210" i="19"/>
  <c r="AD214" i="19"/>
  <c r="AJ214" i="19"/>
  <c r="AO214" i="19"/>
  <c r="AL287" i="19"/>
  <c r="AJ228" i="19"/>
  <c r="AR228" i="19"/>
  <c r="AI228" i="19"/>
  <c r="AE222" i="19"/>
  <c r="AI222" i="19"/>
  <c r="AM222" i="19"/>
  <c r="AQ222" i="19"/>
  <c r="AH222" i="19"/>
  <c r="AP222" i="19"/>
  <c r="AF228" i="19"/>
  <c r="AN228" i="19"/>
  <c r="AC222" i="19"/>
  <c r="AG222" i="19"/>
  <c r="AK222" i="19"/>
  <c r="AO222" i="19"/>
  <c r="AD228" i="19"/>
  <c r="AH228" i="19"/>
  <c r="AL228" i="19"/>
  <c r="AP228" i="19"/>
  <c r="AD287" i="19"/>
  <c r="AH287" i="19"/>
  <c r="AP287" i="19"/>
  <c r="AC228" i="19"/>
  <c r="AG228" i="19"/>
  <c r="AK228" i="19"/>
  <c r="AO228" i="19"/>
  <c r="AH225" i="19"/>
  <c r="AB4" i="19"/>
  <c r="AG287" i="19"/>
  <c r="AK287" i="19"/>
  <c r="AO287" i="19"/>
  <c r="AF287" i="19"/>
  <c r="AJ287" i="19"/>
  <c r="AN287" i="19"/>
  <c r="AR287" i="19"/>
  <c r="AE287" i="19"/>
  <c r="AI287" i="19"/>
  <c r="AM287" i="19"/>
  <c r="AQ287" i="19"/>
  <c r="AR207" i="19"/>
  <c r="S206" i="19"/>
  <c r="Z209" i="19"/>
  <c r="AE210" i="19"/>
  <c r="AE206" i="19" s="1"/>
  <c r="AM210" i="19"/>
  <c r="AE215" i="19"/>
  <c r="AM215" i="19"/>
  <c r="AR217" i="19"/>
  <c r="AN217" i="19"/>
  <c r="AJ217" i="19"/>
  <c r="AF217" i="19"/>
  <c r="AO217" i="19"/>
  <c r="AK217" i="19"/>
  <c r="AG217" i="19"/>
  <c r="AC217" i="19"/>
  <c r="AI217" i="19"/>
  <c r="AQ217" i="19"/>
  <c r="Z199" i="19"/>
  <c r="L206" i="19"/>
  <c r="AJ207" i="19"/>
  <c r="AF207" i="19"/>
  <c r="AO207" i="19"/>
  <c r="AK207" i="19"/>
  <c r="AG207" i="19"/>
  <c r="AC207" i="19"/>
  <c r="AI207" i="19"/>
  <c r="AQ207" i="19"/>
  <c r="AF210" i="19"/>
  <c r="Z215" i="19"/>
  <c r="AH215" i="19"/>
  <c r="AH206" i="19" s="1"/>
  <c r="AD217" i="19"/>
  <c r="AL217" i="19"/>
  <c r="AO210" i="19"/>
  <c r="AK210" i="19"/>
  <c r="AG210" i="19"/>
  <c r="AC210" i="19"/>
  <c r="AP210" i="19"/>
  <c r="AL210" i="19"/>
  <c r="AH210" i="19"/>
  <c r="AD210" i="19"/>
  <c r="AI210" i="19"/>
  <c r="AQ210" i="19"/>
  <c r="AR215" i="19"/>
  <c r="AN215" i="19"/>
  <c r="AJ215" i="19"/>
  <c r="AF215" i="19"/>
  <c r="AO215" i="19"/>
  <c r="AK215" i="19"/>
  <c r="AG215" i="19"/>
  <c r="AC215" i="19"/>
  <c r="AI215" i="19"/>
  <c r="AQ215" i="19"/>
  <c r="AQ206" i="19" s="1"/>
  <c r="Z226" i="19"/>
  <c r="AC227" i="19"/>
  <c r="AG227" i="19"/>
  <c r="AG225" i="19" s="1"/>
  <c r="AK227" i="19"/>
  <c r="AO227" i="19"/>
  <c r="AL227" i="19"/>
  <c r="AP227" i="19"/>
  <c r="AE227" i="19"/>
  <c r="AE225" i="19" s="1"/>
  <c r="AI227" i="19"/>
  <c r="AM227" i="19"/>
  <c r="AQ227" i="19"/>
  <c r="AE214" i="19"/>
  <c r="AI214" i="19"/>
  <c r="AM214" i="19"/>
  <c r="AE226" i="19"/>
  <c r="AI226" i="19"/>
  <c r="AI225" i="19" s="1"/>
  <c r="AM226" i="19"/>
  <c r="AF227" i="19"/>
  <c r="AJ227" i="19"/>
  <c r="AN227" i="19"/>
  <c r="AN225" i="19" s="1"/>
  <c r="AC287" i="19"/>
  <c r="G18" i="16"/>
  <c r="E206" i="41"/>
  <c r="AB151" i="19"/>
  <c r="AB146" i="19"/>
  <c r="AB129" i="19"/>
  <c r="AB117" i="19"/>
  <c r="AB227" i="19"/>
  <c r="AB121" i="19"/>
  <c r="AB191" i="19"/>
  <c r="AB138" i="19"/>
  <c r="AB194" i="19"/>
  <c r="AB167" i="19"/>
  <c r="AB196" i="19"/>
  <c r="AB159" i="19"/>
  <c r="AB119" i="19"/>
  <c r="AB103" i="19"/>
  <c r="AE110" i="19"/>
  <c r="AC110" i="19"/>
  <c r="AB123" i="19"/>
  <c r="AB154" i="19"/>
  <c r="AB87" i="19"/>
  <c r="AB64" i="19"/>
  <c r="AB86" i="19"/>
  <c r="AB92" i="19"/>
  <c r="AB39" i="19"/>
  <c r="AB15" i="19"/>
  <c r="AB10" i="19"/>
  <c r="AB9" i="19" s="1"/>
  <c r="AP206" i="19"/>
  <c r="AB230" i="19"/>
  <c r="AK206" i="19"/>
  <c r="AB94" i="19"/>
  <c r="Z143" i="19"/>
  <c r="AC206" i="19"/>
  <c r="C225" i="44"/>
  <c r="C192" i="46"/>
  <c r="C243" i="46"/>
  <c r="C243" i="40"/>
  <c r="Z220" i="19"/>
  <c r="C207" i="37"/>
  <c r="C228" i="37"/>
  <c r="AP143" i="19"/>
  <c r="AO143" i="19"/>
  <c r="AR143" i="19"/>
  <c r="AM143" i="19"/>
  <c r="AL143" i="19"/>
  <c r="AK143" i="19"/>
  <c r="AN143" i="19"/>
  <c r="AI143" i="19"/>
  <c r="AD143" i="19"/>
  <c r="AC143" i="19"/>
  <c r="AF143" i="19"/>
  <c r="AQ143" i="19"/>
  <c r="AH143" i="19"/>
  <c r="AG143" i="19"/>
  <c r="AJ143" i="19"/>
  <c r="AE143" i="19"/>
  <c r="Z213" i="19" l="1"/>
  <c r="C206" i="19"/>
  <c r="Z204" i="19"/>
  <c r="C216" i="44"/>
  <c r="C216" i="37"/>
  <c r="AB89" i="19"/>
  <c r="AB40" i="19"/>
  <c r="AB97" i="19"/>
  <c r="AB88" i="19"/>
  <c r="AB55" i="19"/>
  <c r="AB51" i="19"/>
  <c r="AB171" i="19"/>
  <c r="AF106" i="19"/>
  <c r="AE106" i="19"/>
  <c r="AD106" i="19"/>
  <c r="AK106" i="19"/>
  <c r="AQ106" i="19"/>
  <c r="AL106" i="19"/>
  <c r="AO106" i="19"/>
  <c r="AM106" i="19"/>
  <c r="AG106" i="19"/>
  <c r="AR106" i="19"/>
  <c r="AI106" i="19"/>
  <c r="AC106" i="19"/>
  <c r="AN106" i="19"/>
  <c r="AP106" i="19"/>
  <c r="AJ106" i="19"/>
  <c r="AH106" i="19"/>
  <c r="AH115" i="19"/>
  <c r="AG115" i="19"/>
  <c r="AJ115" i="19"/>
  <c r="AM115" i="19"/>
  <c r="AP115" i="19"/>
  <c r="AO115" i="19"/>
  <c r="AR115" i="19"/>
  <c r="AE115" i="19"/>
  <c r="AC115" i="19"/>
  <c r="AI115" i="19"/>
  <c r="AL115" i="19"/>
  <c r="AN115" i="19"/>
  <c r="AD115" i="19"/>
  <c r="AF115" i="19"/>
  <c r="AM102" i="19"/>
  <c r="AM110" i="19"/>
  <c r="AB214" i="19"/>
  <c r="AG102" i="19"/>
  <c r="AO102" i="19"/>
  <c r="AJ110" i="19"/>
  <c r="AQ115" i="19"/>
  <c r="AB82" i="19"/>
  <c r="AF161" i="19"/>
  <c r="AL161" i="19"/>
  <c r="AD161" i="19"/>
  <c r="AO161" i="19"/>
  <c r="AM161" i="19"/>
  <c r="AQ161" i="19"/>
  <c r="AG161" i="19"/>
  <c r="AJ161" i="19"/>
  <c r="AK161" i="19"/>
  <c r="AR161" i="19"/>
  <c r="AC161" i="19"/>
  <c r="AI161" i="19"/>
  <c r="AP161" i="19"/>
  <c r="AN161" i="19"/>
  <c r="AH161" i="19"/>
  <c r="AF149" i="19"/>
  <c r="AQ149" i="19"/>
  <c r="AK149" i="19"/>
  <c r="AI149" i="19"/>
  <c r="AM149" i="19"/>
  <c r="AG149" i="19"/>
  <c r="AO149" i="19"/>
  <c r="AR149" i="19"/>
  <c r="AC149" i="19"/>
  <c r="AD149" i="19"/>
  <c r="AN149" i="19"/>
  <c r="AL149" i="19"/>
  <c r="AJ149" i="19"/>
  <c r="AP149" i="19"/>
  <c r="AH149" i="19"/>
  <c r="AH170" i="19"/>
  <c r="AF170" i="19"/>
  <c r="AN170" i="19"/>
  <c r="AM170" i="19"/>
  <c r="AP170" i="19"/>
  <c r="AQ170" i="19"/>
  <c r="AJ170" i="19"/>
  <c r="AC170" i="19"/>
  <c r="AO170" i="19"/>
  <c r="AG170" i="19"/>
  <c r="AL170" i="19"/>
  <c r="AE170" i="19"/>
  <c r="AD170" i="19"/>
  <c r="AI170" i="19"/>
  <c r="C213" i="37"/>
  <c r="Z201" i="19"/>
  <c r="C213" i="44"/>
  <c r="D62" i="41"/>
  <c r="Z54" i="19"/>
  <c r="D70" i="41"/>
  <c r="E70" i="41" s="1"/>
  <c r="Z62" i="19"/>
  <c r="D79" i="41"/>
  <c r="Z71" i="19"/>
  <c r="AK102" i="19"/>
  <c r="AL102" i="19"/>
  <c r="AR102" i="19"/>
  <c r="AP102" i="19"/>
  <c r="AD102" i="19"/>
  <c r="AB102" i="19" s="1"/>
  <c r="AF102" i="19"/>
  <c r="AH102" i="19"/>
  <c r="AJ102" i="19"/>
  <c r="AN102" i="19"/>
  <c r="AQ110" i="19"/>
  <c r="AP110" i="19"/>
  <c r="AO110" i="19"/>
  <c r="AF110" i="19"/>
  <c r="AB110" i="19" s="1"/>
  <c r="AI110" i="19"/>
  <c r="AH110" i="19"/>
  <c r="AG110" i="19"/>
  <c r="AN110" i="19"/>
  <c r="AK110" i="19"/>
  <c r="AB90" i="19"/>
  <c r="AI102" i="19"/>
  <c r="AQ102" i="19"/>
  <c r="AR110" i="19"/>
  <c r="AL110" i="19"/>
  <c r="AC102" i="19"/>
  <c r="AL206" i="19"/>
  <c r="AK115" i="19"/>
  <c r="AB131" i="19"/>
  <c r="AB183" i="19"/>
  <c r="AB169" i="19"/>
  <c r="AP225" i="19"/>
  <c r="AH155" i="19"/>
  <c r="AF155" i="19"/>
  <c r="AN155" i="19"/>
  <c r="AG155" i="19"/>
  <c r="AP155" i="19"/>
  <c r="AQ155" i="19"/>
  <c r="AJ155" i="19"/>
  <c r="AC155" i="19"/>
  <c r="AJ162" i="19"/>
  <c r="AC162" i="19"/>
  <c r="AO162" i="19"/>
  <c r="AQ162" i="19"/>
  <c r="AR162" i="19"/>
  <c r="AM162" i="19"/>
  <c r="AK162" i="19"/>
  <c r="AL162" i="19"/>
  <c r="AF225" i="19"/>
  <c r="AM206" i="19"/>
  <c r="AM225" i="19"/>
  <c r="AB95" i="19"/>
  <c r="AB84" i="19"/>
  <c r="AB74" i="19"/>
  <c r="AB73" i="19"/>
  <c r="AC176" i="19"/>
  <c r="AN176" i="19"/>
  <c r="AQ176" i="19"/>
  <c r="AM176" i="19"/>
  <c r="AD176" i="19"/>
  <c r="AO176" i="19"/>
  <c r="AF176" i="19"/>
  <c r="AJ176" i="19"/>
  <c r="AG176" i="19"/>
  <c r="AE176" i="19"/>
  <c r="AP176" i="19"/>
  <c r="AG113" i="19"/>
  <c r="AP127" i="19"/>
  <c r="AR127" i="19"/>
  <c r="AH127" i="19"/>
  <c r="AJ127" i="19"/>
  <c r="AO127" i="19"/>
  <c r="AD142" i="19"/>
  <c r="AF142" i="19"/>
  <c r="AE142" i="19"/>
  <c r="AI142" i="19"/>
  <c r="AR142" i="19"/>
  <c r="AG142" i="19"/>
  <c r="AQ142" i="19"/>
  <c r="AE113" i="19"/>
  <c r="AD113" i="19"/>
  <c r="AC113" i="19"/>
  <c r="AJ113" i="19"/>
  <c r="AP113" i="19"/>
  <c r="AK113" i="19"/>
  <c r="AN113" i="19"/>
  <c r="AK160" i="19"/>
  <c r="AC160" i="19"/>
  <c r="AK125" i="19"/>
  <c r="AL125" i="19"/>
  <c r="Z144" i="19"/>
  <c r="Z126" i="19"/>
  <c r="AP181" i="19"/>
  <c r="AO181" i="19"/>
  <c r="AE181" i="19"/>
  <c r="AM181" i="19"/>
  <c r="C105" i="44"/>
  <c r="C54" i="46"/>
  <c r="AE165" i="19"/>
  <c r="AO165" i="19"/>
  <c r="AP165" i="19"/>
  <c r="AK165" i="19"/>
  <c r="AE153" i="19"/>
  <c r="AP153" i="19"/>
  <c r="AJ153" i="19"/>
  <c r="AH153" i="19"/>
  <c r="B37" i="41"/>
  <c r="E37" i="41" s="1"/>
  <c r="C41" i="46"/>
  <c r="Z29" i="19"/>
  <c r="C41" i="40"/>
  <c r="B45" i="41"/>
  <c r="C49" i="46"/>
  <c r="Z37" i="19"/>
  <c r="C49" i="40"/>
  <c r="B54" i="41"/>
  <c r="Z46" i="19"/>
  <c r="C58" i="46"/>
  <c r="C58" i="40"/>
  <c r="B58" i="41"/>
  <c r="C62" i="40"/>
  <c r="B62" i="41"/>
  <c r="C66" i="46"/>
  <c r="C66" i="40"/>
  <c r="B66" i="41"/>
  <c r="C70" i="46"/>
  <c r="B70" i="41"/>
  <c r="C74" i="40"/>
  <c r="C74" i="46"/>
  <c r="B74" i="41"/>
  <c r="C78" i="46"/>
  <c r="B79" i="41"/>
  <c r="C83" i="46"/>
  <c r="C83" i="40"/>
  <c r="B83" i="41"/>
  <c r="C87" i="46"/>
  <c r="B88" i="41"/>
  <c r="E88" i="41" s="1"/>
  <c r="Z80" i="19"/>
  <c r="C92" i="40"/>
  <c r="C97" i="44"/>
  <c r="Z85" i="19"/>
  <c r="C101" i="37"/>
  <c r="C101" i="44"/>
  <c r="B106" i="41"/>
  <c r="Z98" i="19"/>
  <c r="C110" i="46"/>
  <c r="C110" i="40"/>
  <c r="C121" i="44"/>
  <c r="Z109" i="19"/>
  <c r="C130" i="44"/>
  <c r="C130" i="37"/>
  <c r="Z118" i="19"/>
  <c r="Z135" i="19"/>
  <c r="C147" i="40"/>
  <c r="Z152" i="19"/>
  <c r="C164" i="40"/>
  <c r="Z168" i="19"/>
  <c r="C180" i="40"/>
  <c r="AN188" i="19"/>
  <c r="AO188" i="19"/>
  <c r="AC188" i="19"/>
  <c r="AM188" i="19"/>
  <c r="AF160" i="19"/>
  <c r="AM160" i="19"/>
  <c r="AL160" i="19"/>
  <c r="AE160" i="19"/>
  <c r="C121" i="37"/>
  <c r="AF125" i="19"/>
  <c r="AE125" i="19"/>
  <c r="AD125" i="19"/>
  <c r="AG125" i="19"/>
  <c r="C97" i="37"/>
  <c r="C78" i="40"/>
  <c r="C62" i="46"/>
  <c r="C45" i="46"/>
  <c r="AB238" i="19"/>
  <c r="AB264" i="19"/>
  <c r="AB266" i="19"/>
  <c r="C215" i="37"/>
  <c r="Z49" i="19"/>
  <c r="B32" i="41"/>
  <c r="E32" i="41" s="1"/>
  <c r="C36" i="46"/>
  <c r="B39" i="41"/>
  <c r="C43" i="40"/>
  <c r="B48" i="41"/>
  <c r="C52" i="46"/>
  <c r="B56" i="41"/>
  <c r="Z48" i="19"/>
  <c r="B60" i="41"/>
  <c r="C64" i="40"/>
  <c r="B68" i="41"/>
  <c r="C72" i="46"/>
  <c r="B72" i="41"/>
  <c r="C76" i="40"/>
  <c r="B81" i="41"/>
  <c r="C85" i="46"/>
  <c r="C119" i="44"/>
  <c r="C119" i="37"/>
  <c r="C136" i="44"/>
  <c r="C136" i="37"/>
  <c r="C144" i="44"/>
  <c r="Z132" i="19"/>
  <c r="B190" i="41"/>
  <c r="C194" i="46"/>
  <c r="L198" i="19"/>
  <c r="C238" i="44"/>
  <c r="C238" i="37"/>
  <c r="C239" i="44"/>
  <c r="C239" i="37"/>
  <c r="AG235" i="19"/>
  <c r="AN235" i="19"/>
  <c r="AO226" i="19"/>
  <c r="AO225" i="19" s="1"/>
  <c r="AJ226" i="19"/>
  <c r="AJ225" i="19" s="1"/>
  <c r="AD226" i="19"/>
  <c r="AD225" i="19" s="1"/>
  <c r="AR226" i="19"/>
  <c r="AR225" i="19" s="1"/>
  <c r="AK226" i="19"/>
  <c r="AK225" i="19" s="1"/>
  <c r="AC226" i="19"/>
  <c r="AC225" i="19" s="1"/>
  <c r="D30" i="41"/>
  <c r="E30" i="41" s="1"/>
  <c r="Z22" i="19"/>
  <c r="D67" i="41"/>
  <c r="E67" i="41" s="1"/>
  <c r="Z59" i="19"/>
  <c r="D71" i="41"/>
  <c r="Z63" i="19"/>
  <c r="D198" i="41"/>
  <c r="E198" i="41" s="1"/>
  <c r="E197" i="41" s="1"/>
  <c r="Z190" i="19"/>
  <c r="AK136" i="19"/>
  <c r="AG136" i="19"/>
  <c r="AD136" i="19"/>
  <c r="AM101" i="19"/>
  <c r="AF101" i="19"/>
  <c r="Z203" i="19"/>
  <c r="C99" i="37"/>
  <c r="C90" i="40"/>
  <c r="C80" i="40"/>
  <c r="C72" i="40"/>
  <c r="C64" i="46"/>
  <c r="C56" i="46"/>
  <c r="C47" i="46"/>
  <c r="Z24" i="19"/>
  <c r="Z182" i="19"/>
  <c r="C166" i="40"/>
  <c r="C227" i="44"/>
  <c r="Z192" i="19"/>
  <c r="Z145" i="19"/>
  <c r="Z116" i="19"/>
  <c r="Z32" i="19"/>
  <c r="C53" i="40"/>
  <c r="Z41" i="19"/>
  <c r="Z57" i="19"/>
  <c r="Z65" i="19"/>
  <c r="C96" i="44"/>
  <c r="C96" i="37"/>
  <c r="C104" i="44"/>
  <c r="C104" i="37"/>
  <c r="B105" i="41"/>
  <c r="E105" i="41" s="1"/>
  <c r="C109" i="40"/>
  <c r="B142" i="41"/>
  <c r="E142" i="41" s="1"/>
  <c r="Z134" i="19"/>
  <c r="B146" i="41"/>
  <c r="E146" i="41" s="1"/>
  <c r="C150" i="46"/>
  <c r="B150" i="41"/>
  <c r="E150" i="41" s="1"/>
  <c r="C154" i="40"/>
  <c r="B155" i="41"/>
  <c r="E155" i="41" s="1"/>
  <c r="Z147" i="19"/>
  <c r="B159" i="41"/>
  <c r="E159" i="41" s="1"/>
  <c r="C163" i="46"/>
  <c r="B163" i="41"/>
  <c r="E163" i="41" s="1"/>
  <c r="C167" i="40"/>
  <c r="B171" i="41"/>
  <c r="E171" i="41" s="1"/>
  <c r="Z163" i="19"/>
  <c r="B175" i="41"/>
  <c r="E175" i="41" s="1"/>
  <c r="C179" i="46"/>
  <c r="B179" i="41"/>
  <c r="E179" i="41" s="1"/>
  <c r="C183" i="40"/>
  <c r="B191" i="41"/>
  <c r="E191" i="41" s="1"/>
  <c r="C195" i="40"/>
  <c r="E200" i="41"/>
  <c r="AB208" i="19"/>
  <c r="C221" i="44"/>
  <c r="C221" i="37"/>
  <c r="AQ226" i="19"/>
  <c r="AQ225" i="19" s="1"/>
  <c r="AL226" i="19"/>
  <c r="AL225" i="19" s="1"/>
  <c r="AB229" i="19"/>
  <c r="AH235" i="19"/>
  <c r="Z195" i="19"/>
  <c r="C207" i="44"/>
  <c r="D28" i="41"/>
  <c r="Z20" i="19"/>
  <c r="D148" i="41"/>
  <c r="Z140" i="19"/>
  <c r="D165" i="41"/>
  <c r="Z157" i="19"/>
  <c r="D182" i="41"/>
  <c r="Z174" i="19"/>
  <c r="D243" i="41"/>
  <c r="AQ235" i="19"/>
  <c r="AM235" i="19"/>
  <c r="AI235" i="19"/>
  <c r="AE235" i="19"/>
  <c r="AO235" i="19"/>
  <c r="AJ235" i="19"/>
  <c r="AD235" i="19"/>
  <c r="AB235" i="19" s="1"/>
  <c r="AB224" i="19"/>
  <c r="AP263" i="19"/>
  <c r="AH263" i="19"/>
  <c r="AP259" i="19"/>
  <c r="AH259" i="19"/>
  <c r="AP255" i="19"/>
  <c r="AH255" i="19"/>
  <c r="AO250" i="19"/>
  <c r="AK250" i="19"/>
  <c r="AG250" i="19"/>
  <c r="AC250" i="19"/>
  <c r="AQ244" i="19"/>
  <c r="AB244" i="19" s="1"/>
  <c r="AM244" i="19"/>
  <c r="AI244" i="19"/>
  <c r="AE244" i="19"/>
  <c r="AR239" i="19"/>
  <c r="AN239" i="19"/>
  <c r="AJ239" i="19"/>
  <c r="AF239" i="19"/>
  <c r="Z239" i="19"/>
  <c r="AR223" i="19"/>
  <c r="AR222" i="19" s="1"/>
  <c r="AN223" i="19"/>
  <c r="AN222" i="19" s="1"/>
  <c r="AJ223" i="19"/>
  <c r="AJ222" i="19" s="1"/>
  <c r="AF223" i="19"/>
  <c r="AF222" i="19" s="1"/>
  <c r="AB222" i="19" s="1"/>
  <c r="AR218" i="19"/>
  <c r="AR206" i="19" s="1"/>
  <c r="AN218" i="19"/>
  <c r="AN206" i="19" s="1"/>
  <c r="AJ218" i="19"/>
  <c r="AJ206" i="19" s="1"/>
  <c r="AF218" i="19"/>
  <c r="AF206" i="19" s="1"/>
  <c r="Z218" i="19"/>
  <c r="E42" i="41"/>
  <c r="E47" i="41"/>
  <c r="E55" i="41"/>
  <c r="E59" i="41"/>
  <c r="E63" i="41"/>
  <c r="E71" i="41"/>
  <c r="E75" i="41"/>
  <c r="E80" i="41"/>
  <c r="E85" i="41"/>
  <c r="E144" i="41"/>
  <c r="E148" i="41"/>
  <c r="E153" i="41"/>
  <c r="E157" i="41"/>
  <c r="E161" i="41"/>
  <c r="E165" i="41"/>
  <c r="E169" i="41"/>
  <c r="E173" i="41"/>
  <c r="E177" i="41"/>
  <c r="E182" i="41"/>
  <c r="E189" i="41"/>
  <c r="AB26" i="19"/>
  <c r="Z104" i="19"/>
  <c r="Z108" i="19"/>
  <c r="E259" i="45"/>
  <c r="E256" i="45"/>
  <c r="E257" i="45"/>
  <c r="E250" i="45"/>
  <c r="AB210" i="19"/>
  <c r="AB207" i="19"/>
  <c r="AB217" i="19"/>
  <c r="AB215" i="19"/>
  <c r="AI206" i="19"/>
  <c r="AO206" i="19"/>
  <c r="AB228" i="19"/>
  <c r="AD206" i="19"/>
  <c r="AQ141" i="19"/>
  <c r="AI141" i="19"/>
  <c r="AO141" i="19"/>
  <c r="AG141" i="19"/>
  <c r="AP141" i="19"/>
  <c r="AN141" i="19"/>
  <c r="AL141" i="19"/>
  <c r="AR141" i="19"/>
  <c r="AM141" i="19"/>
  <c r="AE141" i="19"/>
  <c r="AK141" i="19"/>
  <c r="AC141" i="19"/>
  <c r="AH141" i="19"/>
  <c r="AF141" i="19"/>
  <c r="AD141" i="19"/>
  <c r="AJ141" i="19"/>
  <c r="AD152" i="19"/>
  <c r="AK152" i="19"/>
  <c r="AR152" i="19"/>
  <c r="AM127" i="19"/>
  <c r="AE127" i="19"/>
  <c r="AL127" i="19"/>
  <c r="AD127" i="19"/>
  <c r="AK127" i="19"/>
  <c r="AC127" i="19"/>
  <c r="AN127" i="19"/>
  <c r="AF127" i="19"/>
  <c r="AL188" i="19"/>
  <c r="AD188" i="19"/>
  <c r="AI188" i="19"/>
  <c r="AR188" i="19"/>
  <c r="AE188" i="19"/>
  <c r="AJ188" i="19"/>
  <c r="AG188" i="19"/>
  <c r="AF188" i="19"/>
  <c r="AN181" i="19"/>
  <c r="AF181" i="19"/>
  <c r="AK181" i="19"/>
  <c r="AL181" i="19"/>
  <c r="AQ181" i="19"/>
  <c r="AC181" i="19"/>
  <c r="AH181" i="19"/>
  <c r="AG181" i="19"/>
  <c r="C144" i="37"/>
  <c r="Z124" i="19"/>
  <c r="C128" i="37"/>
  <c r="Z107" i="19"/>
  <c r="C19" i="40"/>
  <c r="C19" i="46"/>
  <c r="Z7" i="19"/>
  <c r="D22" i="41"/>
  <c r="Z14" i="19"/>
  <c r="D24" i="41"/>
  <c r="E24" i="41" s="1"/>
  <c r="Z16" i="19"/>
  <c r="D26" i="41"/>
  <c r="E26" i="41" s="1"/>
  <c r="Z18" i="19"/>
  <c r="D29" i="41"/>
  <c r="E29" i="41" s="1"/>
  <c r="Z21" i="19"/>
  <c r="D31" i="41"/>
  <c r="E31" i="41" s="1"/>
  <c r="Z23" i="19"/>
  <c r="D41" i="41"/>
  <c r="Z33" i="19"/>
  <c r="D43" i="41"/>
  <c r="E43" i="41" s="1"/>
  <c r="Z35" i="19"/>
  <c r="D50" i="41"/>
  <c r="Z42" i="19"/>
  <c r="D52" i="41"/>
  <c r="E52" i="41" s="1"/>
  <c r="Z44" i="19"/>
  <c r="D58" i="41"/>
  <c r="Z50" i="19"/>
  <c r="D60" i="41"/>
  <c r="E60" i="41" s="1"/>
  <c r="Z52" i="19"/>
  <c r="D66" i="41"/>
  <c r="Z58" i="19"/>
  <c r="D68" i="41"/>
  <c r="E68" i="41" s="1"/>
  <c r="Z60" i="19"/>
  <c r="D74" i="41"/>
  <c r="Z66" i="19"/>
  <c r="D76" i="41"/>
  <c r="E76" i="41" s="1"/>
  <c r="Z68" i="19"/>
  <c r="D83" i="41"/>
  <c r="Z75" i="19"/>
  <c r="D86" i="41"/>
  <c r="E86" i="41" s="1"/>
  <c r="E84" i="41" s="1"/>
  <c r="Z78" i="19"/>
  <c r="AM152" i="19"/>
  <c r="AE152" i="19"/>
  <c r="AL152" i="19"/>
  <c r="AP152" i="19"/>
  <c r="AF152" i="19"/>
  <c r="AJ152" i="19"/>
  <c r="AN152" i="19"/>
  <c r="AC152" i="19"/>
  <c r="AN163" i="19"/>
  <c r="AE163" i="19"/>
  <c r="AL101" i="19"/>
  <c r="AD101" i="19"/>
  <c r="AK101" i="19"/>
  <c r="AC101" i="19"/>
  <c r="AN101" i="19"/>
  <c r="Z105" i="19"/>
  <c r="C117" i="37"/>
  <c r="Z112" i="19"/>
  <c r="C124" i="37"/>
  <c r="Z114" i="19"/>
  <c r="C126" i="37"/>
  <c r="Z120" i="19"/>
  <c r="C132" i="37"/>
  <c r="Z122" i="19"/>
  <c r="C134" i="37"/>
  <c r="Z128" i="19"/>
  <c r="C140" i="37"/>
  <c r="Z130" i="19"/>
  <c r="C142" i="37"/>
  <c r="B143" i="41"/>
  <c r="E143" i="41" s="1"/>
  <c r="C147" i="46"/>
  <c r="B145" i="41"/>
  <c r="E145" i="41" s="1"/>
  <c r="Z137" i="19"/>
  <c r="C149" i="40"/>
  <c r="B147" i="41"/>
  <c r="E147" i="41" s="1"/>
  <c r="Z139" i="19"/>
  <c r="C151" i="40"/>
  <c r="B149" i="41"/>
  <c r="E149" i="41" s="1"/>
  <c r="C153" i="46"/>
  <c r="B152" i="41"/>
  <c r="E152" i="41" s="1"/>
  <c r="C156" i="46"/>
  <c r="B154" i="41"/>
  <c r="E154" i="41" s="1"/>
  <c r="C158" i="46"/>
  <c r="B156" i="41"/>
  <c r="E156" i="41" s="1"/>
  <c r="Z148" i="19"/>
  <c r="C160" i="40"/>
  <c r="B158" i="41"/>
  <c r="E158" i="41" s="1"/>
  <c r="Z150" i="19"/>
  <c r="C162" i="40"/>
  <c r="B160" i="41"/>
  <c r="E160" i="41" s="1"/>
  <c r="C164" i="46"/>
  <c r="B162" i="41"/>
  <c r="E162" i="41" s="1"/>
  <c r="C166" i="46"/>
  <c r="B164" i="41"/>
  <c r="E164" i="41" s="1"/>
  <c r="Z156" i="19"/>
  <c r="C168" i="40"/>
  <c r="B166" i="41"/>
  <c r="E166" i="41" s="1"/>
  <c r="Z158" i="19"/>
  <c r="C170" i="40"/>
  <c r="B168" i="41"/>
  <c r="E168" i="41" s="1"/>
  <c r="C172" i="46"/>
  <c r="B170" i="41"/>
  <c r="E170" i="41" s="1"/>
  <c r="C174" i="46"/>
  <c r="B172" i="41"/>
  <c r="E172" i="41" s="1"/>
  <c r="Z164" i="19"/>
  <c r="C176" i="40"/>
  <c r="B174" i="41"/>
  <c r="E174" i="41" s="1"/>
  <c r="Z166" i="19"/>
  <c r="C178" i="40"/>
  <c r="B176" i="41"/>
  <c r="E176" i="41" s="1"/>
  <c r="C180" i="46"/>
  <c r="B178" i="41"/>
  <c r="E178" i="41" s="1"/>
  <c r="C182" i="46"/>
  <c r="B180" i="41"/>
  <c r="E180" i="41" s="1"/>
  <c r="Z172" i="19"/>
  <c r="C184" i="40"/>
  <c r="B184" i="41"/>
  <c r="E184" i="41" s="1"/>
  <c r="C188" i="46"/>
  <c r="B186" i="41"/>
  <c r="E186" i="41" s="1"/>
  <c r="Z178" i="19"/>
  <c r="C190" i="40"/>
  <c r="B187" i="41"/>
  <c r="E187" i="41" s="1"/>
  <c r="Z179" i="19"/>
  <c r="C191" i="40"/>
  <c r="B193" i="41"/>
  <c r="E193" i="41" s="1"/>
  <c r="Z185" i="19"/>
  <c r="C197" i="40"/>
  <c r="B195" i="41"/>
  <c r="E195" i="41" s="1"/>
  <c r="Z187" i="19"/>
  <c r="C199" i="40"/>
  <c r="B196" i="41"/>
  <c r="E196" i="41" s="1"/>
  <c r="C200" i="46"/>
  <c r="B199" i="41"/>
  <c r="E199" i="41" s="1"/>
  <c r="C203" i="46"/>
  <c r="Z212" i="19"/>
  <c r="C224" i="37"/>
  <c r="AB213" i="19"/>
  <c r="B243" i="41"/>
  <c r="E243" i="41" s="1"/>
  <c r="Z235" i="19"/>
  <c r="C247" i="40"/>
  <c r="D192" i="41"/>
  <c r="E192" i="41" s="1"/>
  <c r="Z184" i="19"/>
  <c r="D242" i="41"/>
  <c r="E242" i="41" s="1"/>
  <c r="AR234" i="19"/>
  <c r="AP234" i="19"/>
  <c r="AN234" i="19"/>
  <c r="AL234" i="19"/>
  <c r="AJ234" i="19"/>
  <c r="AH234" i="19"/>
  <c r="AF234" i="19"/>
  <c r="AD234" i="19"/>
  <c r="D244" i="41"/>
  <c r="AR236" i="19"/>
  <c r="AP236" i="19"/>
  <c r="AN236" i="19"/>
  <c r="AL236" i="19"/>
  <c r="AJ236" i="19"/>
  <c r="AH236" i="19"/>
  <c r="AF236" i="19"/>
  <c r="AD236" i="19"/>
  <c r="Z236" i="19"/>
  <c r="Z186" i="19"/>
  <c r="Z175" i="19"/>
  <c r="Z177" i="19"/>
  <c r="B33" i="41"/>
  <c r="E33" i="41" s="1"/>
  <c r="Z25" i="19"/>
  <c r="C37" i="40"/>
  <c r="B38" i="41"/>
  <c r="E38" i="41" s="1"/>
  <c r="Z30" i="19"/>
  <c r="C42" i="40"/>
  <c r="B40" i="41"/>
  <c r="E40" i="41" s="1"/>
  <c r="C44" i="46"/>
  <c r="B44" i="41"/>
  <c r="E44" i="41" s="1"/>
  <c r="Z36" i="19"/>
  <c r="C48" i="40"/>
  <c r="B49" i="41"/>
  <c r="E49" i="41" s="1"/>
  <c r="C53" i="46"/>
  <c r="B51" i="41"/>
  <c r="E51" i="41" s="1"/>
  <c r="C55" i="46"/>
  <c r="B53" i="41"/>
  <c r="E53" i="41" s="1"/>
  <c r="Z45" i="19"/>
  <c r="C57" i="40"/>
  <c r="B57" i="41"/>
  <c r="E57" i="41" s="1"/>
  <c r="C61" i="46"/>
  <c r="B61" i="41"/>
  <c r="E61" i="41" s="1"/>
  <c r="Z53" i="19"/>
  <c r="C65" i="40"/>
  <c r="B65" i="41"/>
  <c r="E65" i="41" s="1"/>
  <c r="C69" i="46"/>
  <c r="B69" i="41"/>
  <c r="E69" i="41" s="1"/>
  <c r="Z61" i="19"/>
  <c r="C73" i="40"/>
  <c r="B73" i="41"/>
  <c r="E73" i="41" s="1"/>
  <c r="C77" i="46"/>
  <c r="B78" i="41"/>
  <c r="E78" i="41" s="1"/>
  <c r="E77" i="41" s="1"/>
  <c r="Z70" i="19"/>
  <c r="C82" i="40"/>
  <c r="B82" i="41"/>
  <c r="E82" i="41" s="1"/>
  <c r="C86" i="46"/>
  <c r="B87" i="41"/>
  <c r="E87" i="41" s="1"/>
  <c r="Z79" i="19"/>
  <c r="C91" i="40"/>
  <c r="AE234" i="19"/>
  <c r="AI234" i="19"/>
  <c r="AM234" i="19"/>
  <c r="AQ234" i="19"/>
  <c r="AC236" i="19"/>
  <c r="AG236" i="19"/>
  <c r="AK236" i="19"/>
  <c r="AO236" i="19"/>
  <c r="B188" i="41"/>
  <c r="E188" i="41" s="1"/>
  <c r="C192" i="40"/>
  <c r="Z180" i="19"/>
  <c r="E39" i="41"/>
  <c r="E41" i="41"/>
  <c r="E45" i="41"/>
  <c r="E48" i="41"/>
  <c r="E50" i="41"/>
  <c r="E46" i="41" s="1"/>
  <c r="E54" i="41"/>
  <c r="E56" i="41"/>
  <c r="E58" i="41"/>
  <c r="E62" i="41"/>
  <c r="E64" i="41"/>
  <c r="E66" i="41"/>
  <c r="E72" i="41"/>
  <c r="E74" i="41"/>
  <c r="E79" i="41"/>
  <c r="E81" i="41"/>
  <c r="E83" i="41"/>
  <c r="E106" i="41"/>
  <c r="E183" i="41"/>
  <c r="E181" i="41" s="1"/>
  <c r="E185" i="41"/>
  <c r="E190" i="41"/>
  <c r="E194" i="41"/>
  <c r="B151" i="41"/>
  <c r="E151" i="41" s="1"/>
  <c r="C155" i="40"/>
  <c r="B14" i="17"/>
  <c r="B29" i="17"/>
  <c r="D239" i="41"/>
  <c r="E239" i="41" s="1"/>
  <c r="E238" i="41" s="1"/>
  <c r="Z231" i="19"/>
  <c r="AJ299" i="19"/>
  <c r="AL299" i="19"/>
  <c r="AP299" i="19"/>
  <c r="AR299" i="19"/>
  <c r="AQ265" i="19"/>
  <c r="AO265" i="19"/>
  <c r="AM265" i="19"/>
  <c r="AK265" i="19"/>
  <c r="AI265" i="19"/>
  <c r="AG265" i="19"/>
  <c r="AE265" i="19"/>
  <c r="AC265" i="19"/>
  <c r="AQ263" i="19"/>
  <c r="AO263" i="19"/>
  <c r="AM263" i="19"/>
  <c r="AK263" i="19"/>
  <c r="AI263" i="19"/>
  <c r="AG263" i="19"/>
  <c r="AE263" i="19"/>
  <c r="AC263" i="19"/>
  <c r="AQ261" i="19"/>
  <c r="AO261" i="19"/>
  <c r="AM261" i="19"/>
  <c r="AK261" i="19"/>
  <c r="AI261" i="19"/>
  <c r="AG261" i="19"/>
  <c r="AE261" i="19"/>
  <c r="AC261" i="19"/>
  <c r="AQ259" i="19"/>
  <c r="AO259" i="19"/>
  <c r="AM259" i="19"/>
  <c r="AK259" i="19"/>
  <c r="AI259" i="19"/>
  <c r="AG259" i="19"/>
  <c r="AE259" i="19"/>
  <c r="AC259" i="19"/>
  <c r="AQ257" i="19"/>
  <c r="AO257" i="19"/>
  <c r="AM257" i="19"/>
  <c r="AK257" i="19"/>
  <c r="AI257" i="19"/>
  <c r="AG257" i="19"/>
  <c r="AE257" i="19"/>
  <c r="AC257" i="19"/>
  <c r="AQ255" i="19"/>
  <c r="AO255" i="19"/>
  <c r="AM255" i="19"/>
  <c r="AK255" i="19"/>
  <c r="AI255" i="19"/>
  <c r="AG255" i="19"/>
  <c r="AE255" i="19"/>
  <c r="AC255" i="19"/>
  <c r="AQ253" i="19"/>
  <c r="AO253" i="19"/>
  <c r="AM253" i="19"/>
  <c r="AK253" i="19"/>
  <c r="AI253" i="19"/>
  <c r="AG253" i="19"/>
  <c r="AE253" i="19"/>
  <c r="E23" i="41"/>
  <c r="E25" i="41"/>
  <c r="E28" i="41"/>
  <c r="E240" i="41"/>
  <c r="AC295" i="19"/>
  <c r="AE295" i="19"/>
  <c r="AE299" i="19" s="1"/>
  <c r="AG295" i="19"/>
  <c r="AI295" i="19"/>
  <c r="AI299" i="19" s="1"/>
  <c r="AK295" i="19"/>
  <c r="AM295" i="19"/>
  <c r="AM299" i="19" s="1"/>
  <c r="AO295" i="19"/>
  <c r="AO299" i="19" s="1"/>
  <c r="AQ295" i="19"/>
  <c r="AQ299" i="19" s="1"/>
  <c r="AD299" i="19"/>
  <c r="AF299" i="19"/>
  <c r="AH299" i="19"/>
  <c r="AN299" i="19"/>
  <c r="AC299" i="19"/>
  <c r="AG299" i="19"/>
  <c r="AK299" i="19"/>
  <c r="B91" i="22"/>
  <c r="B91" i="45"/>
  <c r="B93" i="22"/>
  <c r="B93" i="45"/>
  <c r="B95" i="22"/>
  <c r="B95" i="45"/>
  <c r="B97" i="22"/>
  <c r="B97" i="45"/>
  <c r="B99" i="22"/>
  <c r="B99" i="45"/>
  <c r="B101" i="22"/>
  <c r="B101" i="45"/>
  <c r="B103" i="22"/>
  <c r="B103" i="45"/>
  <c r="B110" i="22"/>
  <c r="B110" i="45"/>
  <c r="B114" i="22"/>
  <c r="B114" i="45"/>
  <c r="B116" i="22"/>
  <c r="B116" i="45"/>
  <c r="B118" i="22"/>
  <c r="B118" i="45"/>
  <c r="B121" i="22"/>
  <c r="B121" i="45"/>
  <c r="B123" i="22"/>
  <c r="B123" i="45"/>
  <c r="B125" i="22"/>
  <c r="B125" i="45"/>
  <c r="B127" i="22"/>
  <c r="B127" i="45"/>
  <c r="B129" i="22"/>
  <c r="B129" i="45"/>
  <c r="B131" i="22"/>
  <c r="B131" i="45"/>
  <c r="B133" i="22"/>
  <c r="B133" i="45"/>
  <c r="B135" i="22"/>
  <c r="B135" i="45"/>
  <c r="B137" i="22"/>
  <c r="B137" i="45"/>
  <c r="B139" i="22"/>
  <c r="B139" i="45"/>
  <c r="D208" i="22"/>
  <c r="D208" i="45"/>
  <c r="B215" i="22"/>
  <c r="B215" i="45"/>
  <c r="B217" i="22"/>
  <c r="B217" i="45"/>
  <c r="B220" i="22"/>
  <c r="B220" i="45"/>
  <c r="B222" i="22"/>
  <c r="B222" i="45"/>
  <c r="B223" i="22"/>
  <c r="B223" i="45"/>
  <c r="B234" i="22"/>
  <c r="B234" i="45"/>
  <c r="B235" i="22"/>
  <c r="B235" i="45"/>
  <c r="B203" i="22"/>
  <c r="B203" i="45"/>
  <c r="D234" i="22"/>
  <c r="D234" i="45"/>
  <c r="B221" i="22"/>
  <c r="B221" i="45"/>
  <c r="D20" i="47"/>
  <c r="E20" i="47" s="1"/>
  <c r="D20" i="41"/>
  <c r="E20" i="41" s="1"/>
  <c r="D15" i="47"/>
  <c r="D15" i="41"/>
  <c r="B14" i="47"/>
  <c r="B14" i="41"/>
  <c r="D21" i="47"/>
  <c r="D21" i="41"/>
  <c r="D109" i="22"/>
  <c r="D109" i="45"/>
  <c r="D111" i="22"/>
  <c r="D111" i="45"/>
  <c r="D113" i="22"/>
  <c r="D113" i="45"/>
  <c r="D115" i="22"/>
  <c r="D115" i="45"/>
  <c r="D117" i="22"/>
  <c r="D117" i="45"/>
  <c r="D120" i="22"/>
  <c r="D120" i="45"/>
  <c r="D122" i="22"/>
  <c r="D122" i="45"/>
  <c r="D125" i="22"/>
  <c r="D125" i="45"/>
  <c r="D127" i="22"/>
  <c r="D127" i="45"/>
  <c r="D129" i="22"/>
  <c r="D129" i="45"/>
  <c r="D131" i="22"/>
  <c r="D131" i="45"/>
  <c r="D133" i="22"/>
  <c r="D133" i="45"/>
  <c r="D135" i="22"/>
  <c r="D135" i="45"/>
  <c r="D137" i="22"/>
  <c r="D137" i="45"/>
  <c r="D139" i="22"/>
  <c r="D139" i="45"/>
  <c r="D203" i="22"/>
  <c r="D203" i="45"/>
  <c r="B224" i="22"/>
  <c r="B224" i="45"/>
  <c r="D13" i="22"/>
  <c r="D13" i="45"/>
  <c r="D273" i="22"/>
  <c r="E273" i="22" s="1"/>
  <c r="D273" i="45"/>
  <c r="E273" i="45" s="1"/>
  <c r="D271" i="22"/>
  <c r="E271" i="22" s="1"/>
  <c r="D271" i="45"/>
  <c r="E271" i="45" s="1"/>
  <c r="D269" i="22"/>
  <c r="E269" i="22" s="1"/>
  <c r="D269" i="45"/>
  <c r="E269" i="45" s="1"/>
  <c r="D267" i="22"/>
  <c r="E267" i="22" s="1"/>
  <c r="D267" i="45"/>
  <c r="E267" i="45" s="1"/>
  <c r="D265" i="22"/>
  <c r="E265" i="22" s="1"/>
  <c r="D265" i="45"/>
  <c r="E265" i="45" s="1"/>
  <c r="D263" i="22"/>
  <c r="E263" i="22" s="1"/>
  <c r="D263" i="45"/>
  <c r="E263" i="45" s="1"/>
  <c r="D261" i="22"/>
  <c r="E261" i="22" s="1"/>
  <c r="D261" i="45"/>
  <c r="E261" i="45" s="1"/>
  <c r="D258" i="22"/>
  <c r="E258" i="22" s="1"/>
  <c r="D258" i="45"/>
  <c r="E258" i="45" s="1"/>
  <c r="D254" i="22"/>
  <c r="E254" i="22" s="1"/>
  <c r="D254" i="45"/>
  <c r="E254" i="45" s="1"/>
  <c r="D252" i="22"/>
  <c r="E252" i="22" s="1"/>
  <c r="D252" i="45"/>
  <c r="E252" i="45" s="1"/>
  <c r="D249" i="22"/>
  <c r="E249" i="22" s="1"/>
  <c r="D249" i="45"/>
  <c r="E249" i="45" s="1"/>
  <c r="D247" i="22"/>
  <c r="E247" i="22" s="1"/>
  <c r="D247" i="45"/>
  <c r="E247" i="45" s="1"/>
  <c r="D245" i="22"/>
  <c r="E245" i="22" s="1"/>
  <c r="D245" i="45"/>
  <c r="D231" i="22"/>
  <c r="D231" i="45"/>
  <c r="D228" i="22"/>
  <c r="D228" i="45"/>
  <c r="D226" i="22"/>
  <c r="E226" i="22" s="1"/>
  <c r="D226" i="45"/>
  <c r="D224" i="22"/>
  <c r="D224" i="45"/>
  <c r="D222" i="22"/>
  <c r="D222" i="45"/>
  <c r="D220" i="22"/>
  <c r="D220" i="45"/>
  <c r="D218" i="22"/>
  <c r="D218" i="45"/>
  <c r="D216" i="22"/>
  <c r="D216" i="45"/>
  <c r="D103" i="22"/>
  <c r="D103" i="45"/>
  <c r="D101" i="22"/>
  <c r="D101" i="45"/>
  <c r="D99" i="22"/>
  <c r="D99" i="45"/>
  <c r="D97" i="22"/>
  <c r="D97" i="45"/>
  <c r="D95" i="22"/>
  <c r="D95" i="45"/>
  <c r="D93" i="22"/>
  <c r="D93" i="45"/>
  <c r="D91" i="22"/>
  <c r="D91" i="45"/>
  <c r="D240" i="47"/>
  <c r="E240" i="47" s="1"/>
  <c r="D239" i="47"/>
  <c r="B239" i="47"/>
  <c r="E239" i="47" s="1"/>
  <c r="D200" i="47"/>
  <c r="B200" i="47"/>
  <c r="E200" i="47" s="1"/>
  <c r="D199" i="47"/>
  <c r="B199" i="47"/>
  <c r="E199" i="47" s="1"/>
  <c r="D198" i="47"/>
  <c r="B198" i="47"/>
  <c r="E198" i="47" s="1"/>
  <c r="D180" i="47"/>
  <c r="B180" i="47"/>
  <c r="E180" i="47" s="1"/>
  <c r="D179" i="47"/>
  <c r="B179" i="47"/>
  <c r="E179" i="47" s="1"/>
  <c r="D178" i="47"/>
  <c r="B178" i="47"/>
  <c r="E178" i="47" s="1"/>
  <c r="D177" i="47"/>
  <c r="B177" i="47"/>
  <c r="E177" i="47" s="1"/>
  <c r="D176" i="47"/>
  <c r="B176" i="47"/>
  <c r="E176" i="47" s="1"/>
  <c r="D175" i="47"/>
  <c r="B175" i="47"/>
  <c r="E175" i="47" s="1"/>
  <c r="D174" i="47"/>
  <c r="B174" i="47"/>
  <c r="E174" i="47" s="1"/>
  <c r="D173" i="47"/>
  <c r="B173" i="47"/>
  <c r="E173" i="47" s="1"/>
  <c r="D172" i="47"/>
  <c r="B172" i="47"/>
  <c r="E172" i="47" s="1"/>
  <c r="D171" i="47"/>
  <c r="B171" i="47"/>
  <c r="E171" i="47" s="1"/>
  <c r="D170" i="47"/>
  <c r="B170" i="47"/>
  <c r="E170" i="47" s="1"/>
  <c r="D169" i="47"/>
  <c r="B169" i="47"/>
  <c r="E169" i="47" s="1"/>
  <c r="D168" i="47"/>
  <c r="B168" i="47"/>
  <c r="E168" i="47" s="1"/>
  <c r="D167" i="47"/>
  <c r="B167" i="47"/>
  <c r="E167" i="47" s="1"/>
  <c r="D166" i="47"/>
  <c r="B166" i="47"/>
  <c r="E166" i="47" s="1"/>
  <c r="D165" i="47"/>
  <c r="B165" i="47"/>
  <c r="E165" i="47" s="1"/>
  <c r="D164" i="47"/>
  <c r="B164" i="47"/>
  <c r="E164" i="47" s="1"/>
  <c r="D163" i="47"/>
  <c r="B163" i="47"/>
  <c r="E163" i="47" s="1"/>
  <c r="D162" i="47"/>
  <c r="B162" i="47"/>
  <c r="E162" i="47" s="1"/>
  <c r="D161" i="47"/>
  <c r="B161" i="47"/>
  <c r="E161" i="47" s="1"/>
  <c r="D160" i="47"/>
  <c r="B160" i="47"/>
  <c r="E160" i="47" s="1"/>
  <c r="D159" i="47"/>
  <c r="B159" i="47"/>
  <c r="E159" i="47" s="1"/>
  <c r="D158" i="47"/>
  <c r="B158" i="47"/>
  <c r="E158" i="47" s="1"/>
  <c r="D157" i="47"/>
  <c r="B157" i="47"/>
  <c r="E157" i="47" s="1"/>
  <c r="D156" i="47"/>
  <c r="B156" i="47"/>
  <c r="E156" i="47" s="1"/>
  <c r="D155" i="47"/>
  <c r="B155" i="47"/>
  <c r="E155" i="47" s="1"/>
  <c r="D154" i="47"/>
  <c r="B154" i="47"/>
  <c r="E154" i="47" s="1"/>
  <c r="D153" i="47"/>
  <c r="B153" i="47"/>
  <c r="E153" i="47" s="1"/>
  <c r="D152" i="47"/>
  <c r="B152" i="47"/>
  <c r="E152" i="47" s="1"/>
  <c r="D151" i="47"/>
  <c r="B151" i="47"/>
  <c r="E151" i="47" s="1"/>
  <c r="D150" i="47"/>
  <c r="B150" i="47"/>
  <c r="E150" i="47" s="1"/>
  <c r="D149" i="47"/>
  <c r="B149" i="47"/>
  <c r="E149" i="47" s="1"/>
  <c r="D148" i="47"/>
  <c r="B148" i="47"/>
  <c r="E148" i="47" s="1"/>
  <c r="D147" i="47"/>
  <c r="B147" i="47"/>
  <c r="E147" i="47" s="1"/>
  <c r="D146" i="47"/>
  <c r="B146" i="47"/>
  <c r="E146" i="47" s="1"/>
  <c r="D145" i="47"/>
  <c r="B145" i="47"/>
  <c r="E145" i="47" s="1"/>
  <c r="D144" i="47"/>
  <c r="B144" i="47"/>
  <c r="E144" i="47" s="1"/>
  <c r="D143" i="47"/>
  <c r="B143" i="47"/>
  <c r="E143" i="47" s="1"/>
  <c r="D142" i="47"/>
  <c r="B142" i="47"/>
  <c r="E142" i="47" s="1"/>
  <c r="E141" i="47" s="1"/>
  <c r="D106" i="47"/>
  <c r="B106" i="47"/>
  <c r="E106" i="47" s="1"/>
  <c r="D105" i="47"/>
  <c r="B105" i="47"/>
  <c r="E105" i="47" s="1"/>
  <c r="E104" i="47" s="1"/>
  <c r="D83" i="47"/>
  <c r="B83" i="47"/>
  <c r="E83" i="47" s="1"/>
  <c r="D82" i="47"/>
  <c r="B82" i="47"/>
  <c r="E82" i="47" s="1"/>
  <c r="D81" i="47"/>
  <c r="B81" i="47"/>
  <c r="E81" i="47" s="1"/>
  <c r="D80" i="47"/>
  <c r="B80" i="47"/>
  <c r="E80" i="47" s="1"/>
  <c r="D79" i="47"/>
  <c r="B79" i="47"/>
  <c r="E79" i="47" s="1"/>
  <c r="D78" i="47"/>
  <c r="B78" i="47"/>
  <c r="E78" i="47" s="1"/>
  <c r="E77" i="47" s="1"/>
  <c r="D45" i="47"/>
  <c r="B45" i="47"/>
  <c r="E45" i="47" s="1"/>
  <c r="D44" i="47"/>
  <c r="B44" i="47"/>
  <c r="E44" i="47" s="1"/>
  <c r="D43" i="47"/>
  <c r="B43" i="47"/>
  <c r="E43" i="47" s="1"/>
  <c r="D42" i="47"/>
  <c r="B42" i="47"/>
  <c r="E42" i="47" s="1"/>
  <c r="D41" i="47"/>
  <c r="B41" i="47"/>
  <c r="E41" i="47" s="1"/>
  <c r="D40" i="47"/>
  <c r="B40" i="47"/>
  <c r="E40" i="47" s="1"/>
  <c r="D39" i="47"/>
  <c r="B39" i="47"/>
  <c r="E39" i="47" s="1"/>
  <c r="D38" i="47"/>
  <c r="B38" i="47"/>
  <c r="E38" i="47" s="1"/>
  <c r="D37" i="47"/>
  <c r="B37" i="47"/>
  <c r="E37" i="47" s="1"/>
  <c r="D36" i="47"/>
  <c r="E36" i="47" s="1"/>
  <c r="D35" i="47"/>
  <c r="E35" i="47" s="1"/>
  <c r="D34" i="47"/>
  <c r="E34" i="47" s="1"/>
  <c r="D33" i="47"/>
  <c r="B33" i="47"/>
  <c r="D32" i="47"/>
  <c r="B32" i="47"/>
  <c r="D31" i="47"/>
  <c r="E31" i="47" s="1"/>
  <c r="D30" i="47"/>
  <c r="E30" i="47" s="1"/>
  <c r="D29" i="47"/>
  <c r="E29" i="47" s="1"/>
  <c r="D28" i="47"/>
  <c r="E28" i="47" s="1"/>
  <c r="E36" i="41"/>
  <c r="E35" i="41"/>
  <c r="E34" i="41"/>
  <c r="E22" i="41"/>
  <c r="E21" i="41"/>
  <c r="B90" i="22"/>
  <c r="B90" i="45"/>
  <c r="B92" i="22"/>
  <c r="B92" i="45"/>
  <c r="B94" i="22"/>
  <c r="B94" i="45"/>
  <c r="B96" i="22"/>
  <c r="B96" i="45"/>
  <c r="B98" i="22"/>
  <c r="B98" i="45"/>
  <c r="B100" i="22"/>
  <c r="B100" i="45"/>
  <c r="B102" i="22"/>
  <c r="B102" i="45"/>
  <c r="B109" i="22"/>
  <c r="B109" i="45"/>
  <c r="E109" i="45" s="1"/>
  <c r="B111" i="22"/>
  <c r="B111" i="45"/>
  <c r="E111" i="45" s="1"/>
  <c r="B113" i="22"/>
  <c r="B113" i="45"/>
  <c r="E113" i="45" s="1"/>
  <c r="B115" i="22"/>
  <c r="B115" i="45"/>
  <c r="E115" i="45" s="1"/>
  <c r="B117" i="22"/>
  <c r="B117" i="45"/>
  <c r="E117" i="45" s="1"/>
  <c r="B120" i="22"/>
  <c r="B120" i="45"/>
  <c r="E120" i="45" s="1"/>
  <c r="B122" i="22"/>
  <c r="B122" i="45"/>
  <c r="E122" i="45" s="1"/>
  <c r="B124" i="22"/>
  <c r="E124" i="22" s="1"/>
  <c r="B124" i="45"/>
  <c r="E124" i="45" s="1"/>
  <c r="B126" i="22"/>
  <c r="B126" i="45"/>
  <c r="B128" i="22"/>
  <c r="B128" i="45"/>
  <c r="B130" i="22"/>
  <c r="B130" i="45"/>
  <c r="B132" i="22"/>
  <c r="B132" i="45"/>
  <c r="B134" i="22"/>
  <c r="B134" i="45"/>
  <c r="B136" i="22"/>
  <c r="B136" i="45"/>
  <c r="B138" i="22"/>
  <c r="B138" i="45"/>
  <c r="B140" i="22"/>
  <c r="B140" i="45"/>
  <c r="D207" i="22"/>
  <c r="D207" i="45"/>
  <c r="B216" i="22"/>
  <c r="B216" i="45"/>
  <c r="E216" i="45" s="1"/>
  <c r="B218" i="22"/>
  <c r="B218" i="45"/>
  <c r="E218" i="45" s="1"/>
  <c r="B219" i="22"/>
  <c r="B219" i="45"/>
  <c r="B225" i="22"/>
  <c r="B225" i="45"/>
  <c r="B228" i="22"/>
  <c r="B228" i="45"/>
  <c r="E228" i="45" s="1"/>
  <c r="B231" i="22"/>
  <c r="B231" i="45"/>
  <c r="E231" i="45" s="1"/>
  <c r="B202" i="22"/>
  <c r="B202" i="45"/>
  <c r="B204" i="22"/>
  <c r="B204" i="45"/>
  <c r="D235" i="22"/>
  <c r="D235" i="45"/>
  <c r="B112" i="22"/>
  <c r="B112" i="45"/>
  <c r="B207" i="22"/>
  <c r="E207" i="22" s="1"/>
  <c r="B207" i="45"/>
  <c r="E207" i="45" s="1"/>
  <c r="B208" i="22"/>
  <c r="B208" i="45"/>
  <c r="E208" i="45" s="1"/>
  <c r="B209" i="22"/>
  <c r="E209" i="22" s="1"/>
  <c r="B209" i="45"/>
  <c r="E209" i="45" s="1"/>
  <c r="B210" i="22"/>
  <c r="E210" i="22" s="1"/>
  <c r="B210" i="45"/>
  <c r="E210" i="45" s="1"/>
  <c r="B211" i="22"/>
  <c r="E211" i="22" s="1"/>
  <c r="B211" i="45"/>
  <c r="E211" i="45" s="1"/>
  <c r="B212" i="22"/>
  <c r="E212" i="22" s="1"/>
  <c r="B212" i="45"/>
  <c r="E212" i="45" s="1"/>
  <c r="B213" i="22"/>
  <c r="E213" i="22" s="1"/>
  <c r="B213" i="45"/>
  <c r="E213" i="45" s="1"/>
  <c r="B18" i="41"/>
  <c r="E18" i="41" s="1"/>
  <c r="E17" i="41" s="1"/>
  <c r="B18" i="47"/>
  <c r="E18" i="47" s="1"/>
  <c r="E17" i="47" s="1"/>
  <c r="B15" i="47"/>
  <c r="B15" i="41"/>
  <c r="E15" i="41" s="1"/>
  <c r="D110" i="22"/>
  <c r="D110" i="45"/>
  <c r="D112" i="22"/>
  <c r="D112" i="45"/>
  <c r="D114" i="22"/>
  <c r="D114" i="45"/>
  <c r="D116" i="22"/>
  <c r="D116" i="45"/>
  <c r="D118" i="22"/>
  <c r="D118" i="45"/>
  <c r="D121" i="22"/>
  <c r="D121" i="45"/>
  <c r="D123" i="22"/>
  <c r="D123" i="45"/>
  <c r="D126" i="22"/>
  <c r="D126" i="45"/>
  <c r="D128" i="22"/>
  <c r="D128" i="45"/>
  <c r="D130" i="22"/>
  <c r="D130" i="45"/>
  <c r="D132" i="22"/>
  <c r="D132" i="45"/>
  <c r="D134" i="22"/>
  <c r="D134" i="45"/>
  <c r="D136" i="22"/>
  <c r="D136" i="45"/>
  <c r="D138" i="22"/>
  <c r="D138" i="45"/>
  <c r="D140" i="22"/>
  <c r="D140" i="45"/>
  <c r="D202" i="22"/>
  <c r="D202" i="45"/>
  <c r="D204" i="22"/>
  <c r="D204" i="45"/>
  <c r="B13" i="22"/>
  <c r="B13" i="45"/>
  <c r="E13" i="45" s="1"/>
  <c r="E12" i="45" s="1"/>
  <c r="D14" i="47"/>
  <c r="D14" i="41"/>
  <c r="D274" i="22"/>
  <c r="D274" i="45"/>
  <c r="E274" i="45" s="1"/>
  <c r="D272" i="22"/>
  <c r="D272" i="45"/>
  <c r="E272" i="45" s="1"/>
  <c r="D270" i="22"/>
  <c r="D270" i="45"/>
  <c r="E270" i="45" s="1"/>
  <c r="D268" i="22"/>
  <c r="D268" i="45"/>
  <c r="E268" i="45" s="1"/>
  <c r="D266" i="22"/>
  <c r="E266" i="22" s="1"/>
  <c r="D266" i="45"/>
  <c r="E266" i="45" s="1"/>
  <c r="D264" i="22"/>
  <c r="E264" i="22" s="1"/>
  <c r="D264" i="45"/>
  <c r="E264" i="45" s="1"/>
  <c r="D262" i="22"/>
  <c r="E262" i="22" s="1"/>
  <c r="D262" i="45"/>
  <c r="E262" i="45" s="1"/>
  <c r="D260" i="22"/>
  <c r="E260" i="22" s="1"/>
  <c r="D260" i="45"/>
  <c r="E260" i="45" s="1"/>
  <c r="D255" i="22"/>
  <c r="E255" i="22" s="1"/>
  <c r="D255" i="45"/>
  <c r="E255" i="45" s="1"/>
  <c r="D253" i="22"/>
  <c r="E253" i="22" s="1"/>
  <c r="D253" i="45"/>
  <c r="E253" i="45" s="1"/>
  <c r="D251" i="22"/>
  <c r="E251" i="22" s="1"/>
  <c r="D251" i="45"/>
  <c r="E251" i="45" s="1"/>
  <c r="D248" i="22"/>
  <c r="E248" i="22" s="1"/>
  <c r="D248" i="45"/>
  <c r="E248" i="45" s="1"/>
  <c r="D246" i="22"/>
  <c r="E246" i="22" s="1"/>
  <c r="D246" i="45"/>
  <c r="E246" i="45" s="1"/>
  <c r="D232" i="22"/>
  <c r="E232" i="22" s="1"/>
  <c r="D232" i="45"/>
  <c r="E232" i="45" s="1"/>
  <c r="D229" i="22"/>
  <c r="D229" i="45"/>
  <c r="E229" i="45" s="1"/>
  <c r="D227" i="22"/>
  <c r="D227" i="45"/>
  <c r="D225" i="22"/>
  <c r="D225" i="45"/>
  <c r="D223" i="22"/>
  <c r="D223" i="45"/>
  <c r="D221" i="22"/>
  <c r="D221" i="45"/>
  <c r="D219" i="22"/>
  <c r="D219" i="45"/>
  <c r="D217" i="22"/>
  <c r="D217" i="45"/>
  <c r="D215" i="22"/>
  <c r="D215" i="45"/>
  <c r="D102" i="22"/>
  <c r="D102" i="45"/>
  <c r="D100" i="22"/>
  <c r="D100" i="45"/>
  <c r="D98" i="22"/>
  <c r="D98" i="45"/>
  <c r="D96" i="22"/>
  <c r="D96" i="45"/>
  <c r="D94" i="22"/>
  <c r="D94" i="45"/>
  <c r="D92" i="22"/>
  <c r="D92" i="45"/>
  <c r="D90" i="22"/>
  <c r="D90" i="45"/>
  <c r="AB143" i="19"/>
  <c r="E104" i="41"/>
  <c r="C225" i="37"/>
  <c r="B15" i="17"/>
  <c r="C18" i="40"/>
  <c r="C228" i="44"/>
  <c r="D244" i="47"/>
  <c r="E244" i="47" s="1"/>
  <c r="D243" i="47"/>
  <c r="B243" i="47"/>
  <c r="D242" i="47"/>
  <c r="B242" i="47"/>
  <c r="D196" i="47"/>
  <c r="B196" i="47"/>
  <c r="D195" i="47"/>
  <c r="B195" i="47"/>
  <c r="D194" i="47"/>
  <c r="B194" i="47"/>
  <c r="D193" i="47"/>
  <c r="B193" i="47"/>
  <c r="D192" i="47"/>
  <c r="E192" i="47" s="1"/>
  <c r="D191" i="47"/>
  <c r="B191" i="47"/>
  <c r="D190" i="47"/>
  <c r="B190" i="47"/>
  <c r="D189" i="47"/>
  <c r="B189" i="47"/>
  <c r="D188" i="47"/>
  <c r="B188" i="47"/>
  <c r="D187" i="47"/>
  <c r="B187" i="47"/>
  <c r="B186" i="47"/>
  <c r="E186" i="47" s="1"/>
  <c r="D185" i="47"/>
  <c r="B185" i="47"/>
  <c r="D184" i="47"/>
  <c r="B184" i="47"/>
  <c r="D183" i="47"/>
  <c r="B183" i="47"/>
  <c r="D182" i="47"/>
  <c r="B182" i="47"/>
  <c r="D88" i="47"/>
  <c r="B88" i="47"/>
  <c r="D87" i="47"/>
  <c r="B87" i="47"/>
  <c r="D86" i="47"/>
  <c r="B86" i="47"/>
  <c r="D85" i="47"/>
  <c r="B85" i="47"/>
  <c r="D76" i="47"/>
  <c r="B76" i="47"/>
  <c r="D75" i="47"/>
  <c r="B75" i="47"/>
  <c r="D74" i="47"/>
  <c r="B74" i="47"/>
  <c r="D73" i="47"/>
  <c r="B73" i="47"/>
  <c r="D72" i="47"/>
  <c r="B72" i="47"/>
  <c r="D71" i="47"/>
  <c r="B71" i="47"/>
  <c r="D70" i="47"/>
  <c r="B70" i="47"/>
  <c r="D69" i="47"/>
  <c r="B69" i="47"/>
  <c r="D68" i="47"/>
  <c r="B68" i="47"/>
  <c r="D67" i="47"/>
  <c r="B67" i="47"/>
  <c r="D66" i="47"/>
  <c r="B66" i="47"/>
  <c r="D65" i="47"/>
  <c r="B65" i="47"/>
  <c r="D64" i="47"/>
  <c r="B64" i="47"/>
  <c r="D63" i="47"/>
  <c r="B63" i="47"/>
  <c r="D62" i="47"/>
  <c r="B62" i="47"/>
  <c r="D61" i="47"/>
  <c r="B61" i="47"/>
  <c r="D60" i="47"/>
  <c r="B60" i="47"/>
  <c r="D59" i="47"/>
  <c r="B59" i="47"/>
  <c r="D58" i="47"/>
  <c r="B58" i="47"/>
  <c r="D57" i="47"/>
  <c r="B57" i="47"/>
  <c r="D56" i="47"/>
  <c r="B56" i="47"/>
  <c r="D55" i="47"/>
  <c r="B55" i="47"/>
  <c r="D54" i="47"/>
  <c r="B54" i="47"/>
  <c r="D53" i="47"/>
  <c r="B53" i="47"/>
  <c r="D52" i="47"/>
  <c r="B52" i="47"/>
  <c r="D51" i="47"/>
  <c r="B51" i="47"/>
  <c r="D50" i="47"/>
  <c r="B50" i="47"/>
  <c r="D49" i="47"/>
  <c r="B49" i="47"/>
  <c r="D48" i="47"/>
  <c r="B48" i="47"/>
  <c r="D47" i="47"/>
  <c r="B47" i="47"/>
  <c r="D26" i="47"/>
  <c r="E26" i="47" s="1"/>
  <c r="D25" i="47"/>
  <c r="E25" i="47" s="1"/>
  <c r="D24" i="47"/>
  <c r="E24" i="47" s="1"/>
  <c r="D23" i="47"/>
  <c r="E23" i="47" s="1"/>
  <c r="D22" i="47"/>
  <c r="E22" i="47" s="1"/>
  <c r="E21" i="47"/>
  <c r="E244" i="41"/>
  <c r="E245" i="45"/>
  <c r="E227" i="45"/>
  <c r="E226" i="45"/>
  <c r="E229" i="22"/>
  <c r="E274" i="22"/>
  <c r="E272" i="22"/>
  <c r="E270" i="22"/>
  <c r="E268" i="22"/>
  <c r="E227" i="22"/>
  <c r="AB206" i="19" l="1"/>
  <c r="AB225" i="19"/>
  <c r="AR174" i="19"/>
  <c r="AK174" i="19"/>
  <c r="AD174" i="19"/>
  <c r="AF174" i="19"/>
  <c r="AM174" i="19"/>
  <c r="AQ174" i="19"/>
  <c r="AN174" i="19"/>
  <c r="AL174" i="19"/>
  <c r="AE174" i="19"/>
  <c r="AG174" i="19"/>
  <c r="AO174" i="19"/>
  <c r="AJ174" i="19"/>
  <c r="AP174" i="19"/>
  <c r="AI174" i="19"/>
  <c r="AH174" i="19"/>
  <c r="AC174" i="19"/>
  <c r="AI140" i="19"/>
  <c r="AG140" i="19"/>
  <c r="AN140" i="19"/>
  <c r="AR140" i="19"/>
  <c r="AE140" i="19"/>
  <c r="AC140" i="19"/>
  <c r="AF140" i="19"/>
  <c r="AJ140" i="19"/>
  <c r="AO140" i="19"/>
  <c r="AL140" i="19"/>
  <c r="AQ140" i="19"/>
  <c r="AH140" i="19"/>
  <c r="AM140" i="19"/>
  <c r="AD140" i="19"/>
  <c r="AK140" i="19"/>
  <c r="AP140" i="19"/>
  <c r="AM163" i="19"/>
  <c r="AG163" i="19"/>
  <c r="AC163" i="19"/>
  <c r="AD163" i="19"/>
  <c r="AR163" i="19"/>
  <c r="AJ163" i="19"/>
  <c r="AK163" i="19"/>
  <c r="AI163" i="19"/>
  <c r="AF134" i="19"/>
  <c r="AD134" i="19"/>
  <c r="AG134" i="19"/>
  <c r="AK134" i="19"/>
  <c r="AP134" i="19"/>
  <c r="AI134" i="19"/>
  <c r="AC134" i="19"/>
  <c r="AR134" i="19"/>
  <c r="AH134" i="19"/>
  <c r="AE134" i="19"/>
  <c r="AJ134" i="19"/>
  <c r="AO134" i="19"/>
  <c r="AN134" i="19"/>
  <c r="AL134" i="19"/>
  <c r="AQ134" i="19"/>
  <c r="AM134" i="19"/>
  <c r="AM32" i="19"/>
  <c r="AJ32" i="19"/>
  <c r="AN32" i="19"/>
  <c r="AI32" i="19"/>
  <c r="AO32" i="19"/>
  <c r="AH32" i="19"/>
  <c r="AF32" i="19"/>
  <c r="AE32" i="19"/>
  <c r="AK32" i="19"/>
  <c r="AD32" i="19"/>
  <c r="AQ32" i="19"/>
  <c r="AL32" i="19"/>
  <c r="AC32" i="19"/>
  <c r="AB32" i="19" s="1"/>
  <c r="AG32" i="19"/>
  <c r="AR32" i="19"/>
  <c r="AP32" i="19"/>
  <c r="AE48" i="19"/>
  <c r="AC48" i="19"/>
  <c r="AF48" i="19"/>
  <c r="AJ48" i="19"/>
  <c r="AQ48" i="19"/>
  <c r="AO48" i="19"/>
  <c r="AP48" i="19"/>
  <c r="AL48" i="19"/>
  <c r="AM48" i="19"/>
  <c r="AK48" i="19"/>
  <c r="AH48" i="19"/>
  <c r="AD48" i="19"/>
  <c r="AR48" i="19"/>
  <c r="AG48" i="19"/>
  <c r="AI48" i="19"/>
  <c r="AN48" i="19"/>
  <c r="AI49" i="19"/>
  <c r="AG49" i="19"/>
  <c r="AN49" i="19"/>
  <c r="AR49" i="19"/>
  <c r="AE49" i="19"/>
  <c r="AC49" i="19"/>
  <c r="AF49" i="19"/>
  <c r="AJ49" i="19"/>
  <c r="AQ49" i="19"/>
  <c r="AO49" i="19"/>
  <c r="AP49" i="19"/>
  <c r="AL49" i="19"/>
  <c r="AD49" i="19"/>
  <c r="AM49" i="19"/>
  <c r="AK49" i="19"/>
  <c r="AH49" i="19"/>
  <c r="AD168" i="19"/>
  <c r="AO168" i="19"/>
  <c r="AI168" i="19"/>
  <c r="AM168" i="19"/>
  <c r="AQ168" i="19"/>
  <c r="AE168" i="19"/>
  <c r="AR168" i="19"/>
  <c r="AH168" i="19"/>
  <c r="AN168" i="19"/>
  <c r="AK168" i="19"/>
  <c r="AC168" i="19"/>
  <c r="AP168" i="19"/>
  <c r="AF168" i="19"/>
  <c r="AG168" i="19"/>
  <c r="AL168" i="19"/>
  <c r="AJ168" i="19"/>
  <c r="AJ135" i="19"/>
  <c r="AH135" i="19"/>
  <c r="AO135" i="19"/>
  <c r="AK135" i="19"/>
  <c r="AR135" i="19"/>
  <c r="AP135" i="19"/>
  <c r="AQ135" i="19"/>
  <c r="AM135" i="19"/>
  <c r="AD135" i="19"/>
  <c r="AC135" i="19"/>
  <c r="AN135" i="19"/>
  <c r="AI135" i="19"/>
  <c r="AF135" i="19"/>
  <c r="AG135" i="19"/>
  <c r="AL135" i="19"/>
  <c r="AE135" i="19"/>
  <c r="AF109" i="19"/>
  <c r="AE109" i="19"/>
  <c r="AD109" i="19"/>
  <c r="AK109" i="19"/>
  <c r="AR109" i="19"/>
  <c r="AQ109" i="19"/>
  <c r="AP109" i="19"/>
  <c r="AN109" i="19"/>
  <c r="AL109" i="19"/>
  <c r="AO109" i="19"/>
  <c r="AI109" i="19"/>
  <c r="AH109" i="19"/>
  <c r="AJ109" i="19"/>
  <c r="AG109" i="19"/>
  <c r="AC109" i="19"/>
  <c r="AM109" i="19"/>
  <c r="AD98" i="19"/>
  <c r="AD96" i="19" s="1"/>
  <c r="AF98" i="19"/>
  <c r="AF96" i="19" s="1"/>
  <c r="AQ98" i="19"/>
  <c r="AQ96" i="19" s="1"/>
  <c r="AC98" i="19"/>
  <c r="AP98" i="19"/>
  <c r="AP96" i="19" s="1"/>
  <c r="AR98" i="19"/>
  <c r="AR96" i="19" s="1"/>
  <c r="AM98" i="19"/>
  <c r="AM96" i="19" s="1"/>
  <c r="AI98" i="19"/>
  <c r="AI96" i="19" s="1"/>
  <c r="AK98" i="19"/>
  <c r="AK96" i="19" s="1"/>
  <c r="AL98" i="19"/>
  <c r="AL96" i="19" s="1"/>
  <c r="AN98" i="19"/>
  <c r="AN96" i="19" s="1"/>
  <c r="AG98" i="19"/>
  <c r="AG96" i="19" s="1"/>
  <c r="AO98" i="19"/>
  <c r="AO96" i="19" s="1"/>
  <c r="AJ98" i="19"/>
  <c r="AJ96" i="19" s="1"/>
  <c r="AH98" i="19"/>
  <c r="AH96" i="19" s="1"/>
  <c r="AE98" i="19"/>
  <c r="AE96" i="19" s="1"/>
  <c r="AC85" i="19"/>
  <c r="AE85" i="19"/>
  <c r="AE81" i="19" s="1"/>
  <c r="AD85" i="19"/>
  <c r="AD81" i="19" s="1"/>
  <c r="AN85" i="19"/>
  <c r="AN81" i="19" s="1"/>
  <c r="AO85" i="19"/>
  <c r="AO81" i="19" s="1"/>
  <c r="AQ85" i="19"/>
  <c r="AQ81" i="19" s="1"/>
  <c r="AP85" i="19"/>
  <c r="AP81" i="19" s="1"/>
  <c r="AJ85" i="19"/>
  <c r="AJ81" i="19" s="1"/>
  <c r="AK85" i="19"/>
  <c r="AK81" i="19" s="1"/>
  <c r="AM85" i="19"/>
  <c r="AM81" i="19" s="1"/>
  <c r="AH85" i="19"/>
  <c r="AH81" i="19" s="1"/>
  <c r="AR85" i="19"/>
  <c r="AR81" i="19" s="1"/>
  <c r="AF85" i="19"/>
  <c r="AF81" i="19" s="1"/>
  <c r="AI85" i="19"/>
  <c r="AI81" i="19" s="1"/>
  <c r="AG85" i="19"/>
  <c r="AG81" i="19" s="1"/>
  <c r="AL85" i="19"/>
  <c r="AL81" i="19" s="1"/>
  <c r="AJ46" i="19"/>
  <c r="AH46" i="19"/>
  <c r="AO46" i="19"/>
  <c r="AK46" i="19"/>
  <c r="AF46" i="19"/>
  <c r="AD46" i="19"/>
  <c r="AG46" i="19"/>
  <c r="AC46" i="19"/>
  <c r="AR46" i="19"/>
  <c r="AP46" i="19"/>
  <c r="AQ46" i="19"/>
  <c r="AM46" i="19"/>
  <c r="AE46" i="19"/>
  <c r="AL46" i="19"/>
  <c r="AN46" i="19"/>
  <c r="AI46" i="19"/>
  <c r="AE126" i="19"/>
  <c r="AD126" i="19"/>
  <c r="AC126" i="19"/>
  <c r="AF126" i="19"/>
  <c r="AP126" i="19"/>
  <c r="AK126" i="19"/>
  <c r="AJ126" i="19"/>
  <c r="AM126" i="19"/>
  <c r="AO126" i="19"/>
  <c r="AI126" i="19"/>
  <c r="AG126" i="19"/>
  <c r="AL126" i="19"/>
  <c r="AR126" i="19"/>
  <c r="AQ126" i="19"/>
  <c r="AH126" i="19"/>
  <c r="AN126" i="19"/>
  <c r="AB160" i="19"/>
  <c r="AB142" i="19"/>
  <c r="AB170" i="19"/>
  <c r="AB115" i="19"/>
  <c r="E13" i="22"/>
  <c r="E12" i="22" s="1"/>
  <c r="E16" i="16" s="1"/>
  <c r="E15" i="47"/>
  <c r="E228" i="22"/>
  <c r="E216" i="22"/>
  <c r="E120" i="22"/>
  <c r="E115" i="22"/>
  <c r="E111" i="22"/>
  <c r="AB255" i="19"/>
  <c r="AB257" i="19"/>
  <c r="AB259" i="19"/>
  <c r="AB261" i="19"/>
  <c r="AB263" i="19"/>
  <c r="AB265" i="19"/>
  <c r="AL163" i="19"/>
  <c r="AP163" i="19"/>
  <c r="AB239" i="19"/>
  <c r="AB250" i="19"/>
  <c r="AC195" i="19"/>
  <c r="AP195" i="19"/>
  <c r="AP193" i="19" s="1"/>
  <c r="AL195" i="19"/>
  <c r="AL193" i="19" s="1"/>
  <c r="AD195" i="19"/>
  <c r="AD193" i="19" s="1"/>
  <c r="AR195" i="19"/>
  <c r="AR193" i="19" s="1"/>
  <c r="AN195" i="19"/>
  <c r="AN193" i="19" s="1"/>
  <c r="AJ195" i="19"/>
  <c r="AJ193" i="19" s="1"/>
  <c r="AM195" i="19"/>
  <c r="AM193" i="19" s="1"/>
  <c r="AE195" i="19"/>
  <c r="AE193" i="19" s="1"/>
  <c r="AO195" i="19"/>
  <c r="AO193" i="19" s="1"/>
  <c r="AH195" i="19"/>
  <c r="AH193" i="19" s="1"/>
  <c r="AQ195" i="19"/>
  <c r="AQ193" i="19" s="1"/>
  <c r="AK195" i="19"/>
  <c r="AK193" i="19" s="1"/>
  <c r="AI195" i="19"/>
  <c r="AI193" i="19" s="1"/>
  <c r="AG195" i="19"/>
  <c r="AG193" i="19" s="1"/>
  <c r="AF195" i="19"/>
  <c r="AF193" i="19" s="1"/>
  <c r="AG57" i="19"/>
  <c r="AI57" i="19"/>
  <c r="AL57" i="19"/>
  <c r="AP57" i="19"/>
  <c r="AC57" i="19"/>
  <c r="AE57" i="19"/>
  <c r="AD57" i="19"/>
  <c r="AH57" i="19"/>
  <c r="AO57" i="19"/>
  <c r="AQ57" i="19"/>
  <c r="AN57" i="19"/>
  <c r="AR57" i="19"/>
  <c r="AJ57" i="19"/>
  <c r="AM57" i="19"/>
  <c r="AF57" i="19"/>
  <c r="AK57" i="19"/>
  <c r="AD116" i="19"/>
  <c r="AC116" i="19"/>
  <c r="AF116" i="19"/>
  <c r="AI116" i="19"/>
  <c r="AO116" i="19"/>
  <c r="AN116" i="19"/>
  <c r="AM116" i="19"/>
  <c r="AL116" i="19"/>
  <c r="AR116" i="19"/>
  <c r="AH116" i="19"/>
  <c r="AJ116" i="19"/>
  <c r="AK116" i="19"/>
  <c r="AE116" i="19"/>
  <c r="AP116" i="19"/>
  <c r="AG116" i="19"/>
  <c r="AQ116" i="19"/>
  <c r="AD190" i="19"/>
  <c r="AQ190" i="19"/>
  <c r="AM190" i="19"/>
  <c r="AE190" i="19"/>
  <c r="AE189" i="19" s="1"/>
  <c r="AN190" i="19"/>
  <c r="AO190" i="19"/>
  <c r="AK190" i="19"/>
  <c r="AP190" i="19"/>
  <c r="AC190" i="19"/>
  <c r="AR190" i="19"/>
  <c r="AL190" i="19"/>
  <c r="AJ190" i="19"/>
  <c r="AJ189" i="19" s="1"/>
  <c r="AH190" i="19"/>
  <c r="AG190" i="19"/>
  <c r="AF190" i="19"/>
  <c r="AI190" i="19"/>
  <c r="AF59" i="19"/>
  <c r="AD59" i="19"/>
  <c r="AC59" i="19"/>
  <c r="AG59" i="19"/>
  <c r="AR59" i="19"/>
  <c r="AP59" i="19"/>
  <c r="AM59" i="19"/>
  <c r="AQ59" i="19"/>
  <c r="AN59" i="19"/>
  <c r="AL59" i="19"/>
  <c r="AE59" i="19"/>
  <c r="AI59" i="19"/>
  <c r="AO59" i="19"/>
  <c r="AH59" i="19"/>
  <c r="AJ59" i="19"/>
  <c r="AK59" i="19"/>
  <c r="AB223" i="19"/>
  <c r="AC118" i="19"/>
  <c r="AF118" i="19"/>
  <c r="AE118" i="19"/>
  <c r="AH118" i="19"/>
  <c r="AR118" i="19"/>
  <c r="AM118" i="19"/>
  <c r="AL118" i="19"/>
  <c r="AG118" i="19"/>
  <c r="AI118" i="19"/>
  <c r="AN118" i="19"/>
  <c r="AD118" i="19"/>
  <c r="AO118" i="19"/>
  <c r="AJ118" i="19"/>
  <c r="AP118" i="19"/>
  <c r="AQ118" i="19"/>
  <c r="AK118" i="19"/>
  <c r="AB153" i="19"/>
  <c r="AB165" i="19"/>
  <c r="AL144" i="19"/>
  <c r="AH144" i="19"/>
  <c r="AG144" i="19"/>
  <c r="AJ144" i="19"/>
  <c r="AE144" i="19"/>
  <c r="AO144" i="19"/>
  <c r="AR144" i="19"/>
  <c r="AM144" i="19"/>
  <c r="AC144" i="19"/>
  <c r="AQ144" i="19"/>
  <c r="AP144" i="19"/>
  <c r="AN144" i="19"/>
  <c r="AD144" i="19"/>
  <c r="AF144" i="19"/>
  <c r="AK144" i="19"/>
  <c r="AI144" i="19"/>
  <c r="AB176" i="19"/>
  <c r="AB162" i="19"/>
  <c r="AF71" i="19"/>
  <c r="AD71" i="19"/>
  <c r="AG71" i="19"/>
  <c r="AE71" i="19"/>
  <c r="AR71" i="19"/>
  <c r="AP71" i="19"/>
  <c r="AK71" i="19"/>
  <c r="AQ71" i="19"/>
  <c r="AN71" i="19"/>
  <c r="AL71" i="19"/>
  <c r="AC71" i="19"/>
  <c r="AB71" i="19" s="1"/>
  <c r="AM71" i="19"/>
  <c r="AI71" i="19"/>
  <c r="AH71" i="19"/>
  <c r="AJ71" i="19"/>
  <c r="AO71" i="19"/>
  <c r="AH54" i="19"/>
  <c r="AJ54" i="19"/>
  <c r="AM54" i="19"/>
  <c r="AQ54" i="19"/>
  <c r="AD54" i="19"/>
  <c r="AF54" i="19"/>
  <c r="AE54" i="19"/>
  <c r="AI54" i="19"/>
  <c r="AP54" i="19"/>
  <c r="AR54" i="19"/>
  <c r="AO54" i="19"/>
  <c r="AK54" i="19"/>
  <c r="AC54" i="19"/>
  <c r="AG54" i="19"/>
  <c r="AL54" i="19"/>
  <c r="AN54" i="19"/>
  <c r="AB106" i="19"/>
  <c r="E241" i="45"/>
  <c r="E197" i="47"/>
  <c r="E141" i="41"/>
  <c r="E107" i="41" s="1"/>
  <c r="AO163" i="19"/>
  <c r="AH163" i="19"/>
  <c r="AN108" i="19"/>
  <c r="AM108" i="19"/>
  <c r="AL108" i="19"/>
  <c r="AC108" i="19"/>
  <c r="AJ108" i="19"/>
  <c r="AE108" i="19"/>
  <c r="AG108" i="19"/>
  <c r="AQ108" i="19"/>
  <c r="AH108" i="19"/>
  <c r="AK108" i="19"/>
  <c r="AF108" i="19"/>
  <c r="AO108" i="19"/>
  <c r="AI108" i="19"/>
  <c r="AP108" i="19"/>
  <c r="AR108" i="19"/>
  <c r="AD108" i="19"/>
  <c r="AD100" i="19" s="1"/>
  <c r="AD157" i="19"/>
  <c r="AO157" i="19"/>
  <c r="AI157" i="19"/>
  <c r="AG157" i="19"/>
  <c r="AQ157" i="19"/>
  <c r="AE157" i="19"/>
  <c r="AM157" i="19"/>
  <c r="AK157" i="19"/>
  <c r="AC157" i="19"/>
  <c r="AP157" i="19"/>
  <c r="AF157" i="19"/>
  <c r="AR157" i="19"/>
  <c r="AL157" i="19"/>
  <c r="AJ157" i="19"/>
  <c r="AH157" i="19"/>
  <c r="AN157" i="19"/>
  <c r="AG20" i="19"/>
  <c r="AJ20" i="19"/>
  <c r="AI20" i="19"/>
  <c r="AH20" i="19"/>
  <c r="AR20" i="19"/>
  <c r="AM20" i="19"/>
  <c r="AD20" i="19"/>
  <c r="AO20" i="19"/>
  <c r="AN20" i="19"/>
  <c r="AE20" i="19"/>
  <c r="AK20" i="19"/>
  <c r="AF20" i="19"/>
  <c r="AP20" i="19"/>
  <c r="AL20" i="19"/>
  <c r="AC20" i="19"/>
  <c r="AQ20" i="19"/>
  <c r="AJ147" i="19"/>
  <c r="AC147" i="19"/>
  <c r="AP147" i="19"/>
  <c r="AI147" i="19"/>
  <c r="AR147" i="19"/>
  <c r="AM147" i="19"/>
  <c r="AL147" i="19"/>
  <c r="AE147" i="19"/>
  <c r="AQ147" i="19"/>
  <c r="AD147" i="19"/>
  <c r="AN147" i="19"/>
  <c r="AG147" i="19"/>
  <c r="AF147" i="19"/>
  <c r="AK147" i="19"/>
  <c r="AH147" i="19"/>
  <c r="AO147" i="19"/>
  <c r="AG41" i="19"/>
  <c r="AI41" i="19"/>
  <c r="AP41" i="19"/>
  <c r="AL41" i="19"/>
  <c r="AC41" i="19"/>
  <c r="AE41" i="19"/>
  <c r="AH41" i="19"/>
  <c r="AD41" i="19"/>
  <c r="AO41" i="19"/>
  <c r="AQ41" i="19"/>
  <c r="AR41" i="19"/>
  <c r="AN41" i="19"/>
  <c r="AF41" i="19"/>
  <c r="AM41" i="19"/>
  <c r="AK41" i="19"/>
  <c r="AJ41" i="19"/>
  <c r="AD145" i="19"/>
  <c r="AC145" i="19"/>
  <c r="AF145" i="19"/>
  <c r="AQ145" i="19"/>
  <c r="AO145" i="19"/>
  <c r="AN145" i="19"/>
  <c r="AE145" i="19"/>
  <c r="AL145" i="19"/>
  <c r="AR145" i="19"/>
  <c r="AH145" i="19"/>
  <c r="AJ145" i="19"/>
  <c r="AK145" i="19"/>
  <c r="AM145" i="19"/>
  <c r="AG145" i="19"/>
  <c r="AI145" i="19"/>
  <c r="AP145" i="19"/>
  <c r="AF182" i="19"/>
  <c r="AQ182" i="19"/>
  <c r="AH182" i="19"/>
  <c r="AD182" i="19"/>
  <c r="AP182" i="19"/>
  <c r="AC182" i="19"/>
  <c r="AL182" i="19"/>
  <c r="AN182" i="19"/>
  <c r="AI182" i="19"/>
  <c r="AJ182" i="19"/>
  <c r="AO182" i="19"/>
  <c r="AK182" i="19"/>
  <c r="AM182" i="19"/>
  <c r="AR182" i="19"/>
  <c r="AE182" i="19"/>
  <c r="AG182" i="19"/>
  <c r="AB136" i="19"/>
  <c r="AB218" i="19"/>
  <c r="AL132" i="19"/>
  <c r="AK132" i="19"/>
  <c r="AJ132" i="19"/>
  <c r="AE132" i="19"/>
  <c r="AH132" i="19"/>
  <c r="AC132" i="19"/>
  <c r="AI132" i="19"/>
  <c r="AR132" i="19"/>
  <c r="AN132" i="19"/>
  <c r="AD132" i="19"/>
  <c r="AF132" i="19"/>
  <c r="AO132" i="19"/>
  <c r="AP132" i="19"/>
  <c r="AM132" i="19"/>
  <c r="AQ132" i="19"/>
  <c r="AG132" i="19"/>
  <c r="AQ152" i="19"/>
  <c r="AO152" i="19"/>
  <c r="AB152" i="19" s="1"/>
  <c r="AH152" i="19"/>
  <c r="AI152" i="19"/>
  <c r="AG152" i="19"/>
  <c r="AB226" i="19"/>
  <c r="AB149" i="19"/>
  <c r="E27" i="41"/>
  <c r="AJ65" i="19"/>
  <c r="AD65" i="19"/>
  <c r="AH65" i="19"/>
  <c r="AC65" i="19"/>
  <c r="AF65" i="19"/>
  <c r="AQ65" i="19"/>
  <c r="AP65" i="19"/>
  <c r="AK65" i="19"/>
  <c r="AR65" i="19"/>
  <c r="AO65" i="19"/>
  <c r="AL65" i="19"/>
  <c r="AE65" i="19"/>
  <c r="AM65" i="19"/>
  <c r="AI65" i="19"/>
  <c r="AN65" i="19"/>
  <c r="AG65" i="19"/>
  <c r="E241" i="41"/>
  <c r="E205" i="41" s="1"/>
  <c r="F18" i="16" s="1"/>
  <c r="E208" i="22"/>
  <c r="E231" i="22"/>
  <c r="E218" i="22"/>
  <c r="E122" i="22"/>
  <c r="E117" i="22"/>
  <c r="E113" i="22"/>
  <c r="E109" i="22"/>
  <c r="AQ163" i="19"/>
  <c r="AF163" i="19"/>
  <c r="AC104" i="19"/>
  <c r="AF104" i="19"/>
  <c r="AE104" i="19"/>
  <c r="AL104" i="19"/>
  <c r="AR104" i="19"/>
  <c r="AM104" i="19"/>
  <c r="AP104" i="19"/>
  <c r="AG104" i="19"/>
  <c r="AI104" i="19"/>
  <c r="AN104" i="19"/>
  <c r="AH104" i="19"/>
  <c r="AO104" i="19"/>
  <c r="AJ104" i="19"/>
  <c r="AD104" i="19"/>
  <c r="AQ104" i="19"/>
  <c r="AK104" i="19"/>
  <c r="AG192" i="19"/>
  <c r="AH192" i="19"/>
  <c r="AJ192" i="19"/>
  <c r="AN192" i="19"/>
  <c r="AO192" i="19"/>
  <c r="AR192" i="19"/>
  <c r="AE192" i="19"/>
  <c r="AP192" i="19"/>
  <c r="AL192" i="19"/>
  <c r="AF192" i="19"/>
  <c r="AK192" i="19"/>
  <c r="AQ192" i="19"/>
  <c r="AC192" i="19"/>
  <c r="AD192" i="19"/>
  <c r="AM192" i="19"/>
  <c r="AI192" i="19"/>
  <c r="AF24" i="19"/>
  <c r="AE24" i="19"/>
  <c r="AD24" i="19"/>
  <c r="AC24" i="19"/>
  <c r="AR24" i="19"/>
  <c r="AQ24" i="19"/>
  <c r="AP24" i="19"/>
  <c r="AO24" i="19"/>
  <c r="AN24" i="19"/>
  <c r="AM24" i="19"/>
  <c r="AL24" i="19"/>
  <c r="AK24" i="19"/>
  <c r="AG24" i="19"/>
  <c r="AJ24" i="19"/>
  <c r="AI24" i="19"/>
  <c r="AH24" i="19"/>
  <c r="AE63" i="19"/>
  <c r="AC63" i="19"/>
  <c r="AJ63" i="19"/>
  <c r="AF63" i="19"/>
  <c r="AQ63" i="19"/>
  <c r="AO63" i="19"/>
  <c r="AL63" i="19"/>
  <c r="AP63" i="19"/>
  <c r="AM63" i="19"/>
  <c r="AK63" i="19"/>
  <c r="AD63" i="19"/>
  <c r="AH63" i="19"/>
  <c r="AN63" i="19"/>
  <c r="AG63" i="19"/>
  <c r="AI63" i="19"/>
  <c r="AR63" i="19"/>
  <c r="AG22" i="19"/>
  <c r="AJ22" i="19"/>
  <c r="AI22" i="19"/>
  <c r="AH22" i="19"/>
  <c r="AC22" i="19"/>
  <c r="AF22" i="19"/>
  <c r="AE22" i="19"/>
  <c r="AD22" i="19"/>
  <c r="AO22" i="19"/>
  <c r="AR22" i="19"/>
  <c r="AQ22" i="19"/>
  <c r="AP22" i="19"/>
  <c r="AL22" i="19"/>
  <c r="AN22" i="19"/>
  <c r="AK22" i="19"/>
  <c r="AM22" i="19"/>
  <c r="AB125" i="19"/>
  <c r="AD80" i="19"/>
  <c r="AF80" i="19"/>
  <c r="AE80" i="19"/>
  <c r="AO80" i="19"/>
  <c r="AP80" i="19"/>
  <c r="AR80" i="19"/>
  <c r="AQ80" i="19"/>
  <c r="AK80" i="19"/>
  <c r="AL80" i="19"/>
  <c r="AN80" i="19"/>
  <c r="AI80" i="19"/>
  <c r="AC80" i="19"/>
  <c r="AG80" i="19"/>
  <c r="AH80" i="19"/>
  <c r="AJ80" i="19"/>
  <c r="AM80" i="19"/>
  <c r="AH37" i="19"/>
  <c r="AJ37" i="19"/>
  <c r="AQ37" i="19"/>
  <c r="AO37" i="19"/>
  <c r="AD37" i="19"/>
  <c r="AF37" i="19"/>
  <c r="AI37" i="19"/>
  <c r="AG37" i="19"/>
  <c r="AP37" i="19"/>
  <c r="AR37" i="19"/>
  <c r="AK37" i="19"/>
  <c r="AM37" i="19"/>
  <c r="AE37" i="19"/>
  <c r="AN37" i="19"/>
  <c r="AL37" i="19"/>
  <c r="AC37" i="19"/>
  <c r="AI29" i="19"/>
  <c r="AG29" i="19"/>
  <c r="AN29" i="19"/>
  <c r="AR29" i="19"/>
  <c r="AE29" i="19"/>
  <c r="AC29" i="19"/>
  <c r="AF29" i="19"/>
  <c r="AJ29" i="19"/>
  <c r="AQ29" i="19"/>
  <c r="AO29" i="19"/>
  <c r="AP29" i="19"/>
  <c r="AL29" i="19"/>
  <c r="AD29" i="19"/>
  <c r="AH29" i="19"/>
  <c r="AM29" i="19"/>
  <c r="AK29" i="19"/>
  <c r="AB113" i="19"/>
  <c r="AB155" i="19"/>
  <c r="AF62" i="19"/>
  <c r="AD62" i="19"/>
  <c r="AC62" i="19"/>
  <c r="AG62" i="19"/>
  <c r="AR62" i="19"/>
  <c r="AP62" i="19"/>
  <c r="AM62" i="19"/>
  <c r="AQ62" i="19"/>
  <c r="AN62" i="19"/>
  <c r="AL62" i="19"/>
  <c r="AE62" i="19"/>
  <c r="AI62" i="19"/>
  <c r="AO62" i="19"/>
  <c r="AK62" i="19"/>
  <c r="AJ62" i="19"/>
  <c r="AH62" i="19"/>
  <c r="AB161" i="19"/>
  <c r="AB253" i="19"/>
  <c r="AN180" i="19"/>
  <c r="AF180" i="19"/>
  <c r="AK180" i="19"/>
  <c r="AM180" i="19"/>
  <c r="AL180" i="19"/>
  <c r="AQ180" i="19"/>
  <c r="AC180" i="19"/>
  <c r="AH180" i="19"/>
  <c r="AR180" i="19"/>
  <c r="AJ180" i="19"/>
  <c r="AP180" i="19"/>
  <c r="AE180" i="19"/>
  <c r="AG180" i="19"/>
  <c r="AD180" i="19"/>
  <c r="AI180" i="19"/>
  <c r="AO180" i="19"/>
  <c r="AK233" i="19"/>
  <c r="AB236" i="19"/>
  <c r="AC233" i="19"/>
  <c r="AM233" i="19"/>
  <c r="AM197" i="19" s="1"/>
  <c r="AE233" i="19"/>
  <c r="AM79" i="19"/>
  <c r="AE79" i="19"/>
  <c r="AK79" i="19"/>
  <c r="AC79" i="19"/>
  <c r="AJ79" i="19"/>
  <c r="AF79" i="19"/>
  <c r="AD79" i="19"/>
  <c r="AH79" i="19"/>
  <c r="AQ79" i="19"/>
  <c r="AI79" i="19"/>
  <c r="AO79" i="19"/>
  <c r="AG79" i="19"/>
  <c r="AR79" i="19"/>
  <c r="AN79" i="19"/>
  <c r="AL79" i="19"/>
  <c r="AP79" i="19"/>
  <c r="AR61" i="19"/>
  <c r="AJ61" i="19"/>
  <c r="AP61" i="19"/>
  <c r="AH61" i="19"/>
  <c r="AM61" i="19"/>
  <c r="AK61" i="19"/>
  <c r="AQ61" i="19"/>
  <c r="AO61" i="19"/>
  <c r="AN61" i="19"/>
  <c r="AF61" i="19"/>
  <c r="AL61" i="19"/>
  <c r="AD61" i="19"/>
  <c r="AE61" i="19"/>
  <c r="AC61" i="19"/>
  <c r="AI61" i="19"/>
  <c r="AG61" i="19"/>
  <c r="AR45" i="19"/>
  <c r="AJ45" i="19"/>
  <c r="AP45" i="19"/>
  <c r="AH45" i="19"/>
  <c r="AQ45" i="19"/>
  <c r="AO45" i="19"/>
  <c r="AM45" i="19"/>
  <c r="AK45" i="19"/>
  <c r="AN45" i="19"/>
  <c r="AF45" i="19"/>
  <c r="AL45" i="19"/>
  <c r="AD45" i="19"/>
  <c r="AI45" i="19"/>
  <c r="AG45" i="19"/>
  <c r="AE45" i="19"/>
  <c r="AC45" i="19"/>
  <c r="AQ30" i="19"/>
  <c r="AI30" i="19"/>
  <c r="AO30" i="19"/>
  <c r="AG30" i="19"/>
  <c r="AP30" i="19"/>
  <c r="AN30" i="19"/>
  <c r="AL30" i="19"/>
  <c r="AR30" i="19"/>
  <c r="AM30" i="19"/>
  <c r="AE30" i="19"/>
  <c r="AK30" i="19"/>
  <c r="AC30" i="19"/>
  <c r="AH30" i="19"/>
  <c r="AF30" i="19"/>
  <c r="AD30" i="19"/>
  <c r="AJ30" i="19"/>
  <c r="AO175" i="19"/>
  <c r="AG175" i="19"/>
  <c r="AQ175" i="19"/>
  <c r="AF175" i="19"/>
  <c r="AI175" i="19"/>
  <c r="AH175" i="19"/>
  <c r="AE175" i="19"/>
  <c r="AJ175" i="19"/>
  <c r="AK175" i="19"/>
  <c r="AC175" i="19"/>
  <c r="AL175" i="19"/>
  <c r="AP175" i="19"/>
  <c r="AN175" i="19"/>
  <c r="AM175" i="19"/>
  <c r="AR175" i="19"/>
  <c r="AD175" i="19"/>
  <c r="AB234" i="19"/>
  <c r="AD233" i="19"/>
  <c r="AH233" i="19"/>
  <c r="AL233" i="19"/>
  <c r="AP233" i="19"/>
  <c r="AP197" i="19" s="1"/>
  <c r="AL187" i="19"/>
  <c r="AD187" i="19"/>
  <c r="AI187" i="19"/>
  <c r="AM187" i="19"/>
  <c r="AR187" i="19"/>
  <c r="AE187" i="19"/>
  <c r="AJ187" i="19"/>
  <c r="AG187" i="19"/>
  <c r="AP187" i="19"/>
  <c r="AN187" i="19"/>
  <c r="AF187" i="19"/>
  <c r="AQ187" i="19"/>
  <c r="AH187" i="19"/>
  <c r="AC187" i="19"/>
  <c r="AK187" i="19"/>
  <c r="AO187" i="19"/>
  <c r="AN179" i="19"/>
  <c r="AF179" i="19"/>
  <c r="AK179" i="19"/>
  <c r="AO179" i="19"/>
  <c r="AM179" i="19"/>
  <c r="AL179" i="19"/>
  <c r="AQ179" i="19"/>
  <c r="AC179" i="19"/>
  <c r="AR179" i="19"/>
  <c r="AP179" i="19"/>
  <c r="AH179" i="19"/>
  <c r="AD179" i="19"/>
  <c r="AJ179" i="19"/>
  <c r="AE179" i="19"/>
  <c r="AG179" i="19"/>
  <c r="AI179" i="19"/>
  <c r="AO172" i="19"/>
  <c r="AG172" i="19"/>
  <c r="AP172" i="19"/>
  <c r="AE172" i="19"/>
  <c r="AI172" i="19"/>
  <c r="AR172" i="19"/>
  <c r="AH172" i="19"/>
  <c r="AQ172" i="19"/>
  <c r="AK172" i="19"/>
  <c r="AC172" i="19"/>
  <c r="AJ172" i="19"/>
  <c r="AN172" i="19"/>
  <c r="AD172" i="19"/>
  <c r="AM172" i="19"/>
  <c r="AF172" i="19"/>
  <c r="AL172" i="19"/>
  <c r="AQ164" i="19"/>
  <c r="AI164" i="19"/>
  <c r="AR164" i="19"/>
  <c r="AG164" i="19"/>
  <c r="AJ164" i="19"/>
  <c r="AN164" i="19"/>
  <c r="AK164" i="19"/>
  <c r="AP164" i="19"/>
  <c r="AM164" i="19"/>
  <c r="AE164" i="19"/>
  <c r="AL164" i="19"/>
  <c r="AO164" i="19"/>
  <c r="AD164" i="19"/>
  <c r="AC164" i="19"/>
  <c r="AH164" i="19"/>
  <c r="AF164" i="19"/>
  <c r="AL156" i="19"/>
  <c r="AP156" i="19"/>
  <c r="AD156" i="19"/>
  <c r="AK156" i="19"/>
  <c r="AO156" i="19"/>
  <c r="AE156" i="19"/>
  <c r="AI156" i="19"/>
  <c r="AR156" i="19"/>
  <c r="AG156" i="19"/>
  <c r="AH156" i="19"/>
  <c r="AQ156" i="19"/>
  <c r="AF156" i="19"/>
  <c r="AJ156" i="19"/>
  <c r="AN156" i="19"/>
  <c r="AC156" i="19"/>
  <c r="AM156" i="19"/>
  <c r="AR148" i="19"/>
  <c r="AJ148" i="19"/>
  <c r="AM148" i="19"/>
  <c r="AC148" i="19"/>
  <c r="AL148" i="19"/>
  <c r="AP148" i="19"/>
  <c r="AE148" i="19"/>
  <c r="AI148" i="19"/>
  <c r="AN148" i="19"/>
  <c r="AF148" i="19"/>
  <c r="AH148" i="19"/>
  <c r="AQ148" i="19"/>
  <c r="AG148" i="19"/>
  <c r="AK148" i="19"/>
  <c r="AO148" i="19"/>
  <c r="AD148" i="19"/>
  <c r="AR137" i="19"/>
  <c r="AJ137" i="19"/>
  <c r="AP137" i="19"/>
  <c r="AH137" i="19"/>
  <c r="AQ137" i="19"/>
  <c r="AO137" i="19"/>
  <c r="AM137" i="19"/>
  <c r="AK137" i="19"/>
  <c r="AN137" i="19"/>
  <c r="AF137" i="19"/>
  <c r="AL137" i="19"/>
  <c r="AD137" i="19"/>
  <c r="AI137" i="19"/>
  <c r="AG137" i="19"/>
  <c r="AE137" i="19"/>
  <c r="AC137" i="19"/>
  <c r="AB163" i="19"/>
  <c r="AN107" i="19"/>
  <c r="AF107" i="19"/>
  <c r="AM107" i="19"/>
  <c r="AE107" i="19"/>
  <c r="AL107" i="19"/>
  <c r="AD107" i="19"/>
  <c r="AC107" i="19"/>
  <c r="AK107" i="19"/>
  <c r="AR107" i="19"/>
  <c r="AJ107" i="19"/>
  <c r="AQ107" i="19"/>
  <c r="AI107" i="19"/>
  <c r="AP107" i="19"/>
  <c r="AH107" i="19"/>
  <c r="AG107" i="19"/>
  <c r="AO107" i="19"/>
  <c r="AR124" i="19"/>
  <c r="AJ124" i="19"/>
  <c r="AQ124" i="19"/>
  <c r="AI124" i="19"/>
  <c r="AP124" i="19"/>
  <c r="AH124" i="19"/>
  <c r="AC124" i="19"/>
  <c r="AK124" i="19"/>
  <c r="AN124" i="19"/>
  <c r="AF124" i="19"/>
  <c r="AM124" i="19"/>
  <c r="AE124" i="19"/>
  <c r="AL124" i="19"/>
  <c r="AD124" i="19"/>
  <c r="AO124" i="19"/>
  <c r="AG124" i="19"/>
  <c r="AB181" i="19"/>
  <c r="AB188" i="19"/>
  <c r="AB127" i="19"/>
  <c r="E47" i="47"/>
  <c r="E48" i="47"/>
  <c r="E49" i="47"/>
  <c r="E50" i="47"/>
  <c r="E51" i="47"/>
  <c r="E52" i="47"/>
  <c r="E53" i="47"/>
  <c r="E54" i="47"/>
  <c r="E55" i="47"/>
  <c r="E56" i="47"/>
  <c r="E57" i="47"/>
  <c r="E58" i="47"/>
  <c r="E59" i="47"/>
  <c r="E60" i="47"/>
  <c r="E61" i="47"/>
  <c r="E62" i="47"/>
  <c r="E63" i="47"/>
  <c r="E64" i="47"/>
  <c r="E65" i="47"/>
  <c r="E66" i="47"/>
  <c r="E67" i="47"/>
  <c r="E68" i="47"/>
  <c r="E69" i="47"/>
  <c r="E70" i="47"/>
  <c r="E71" i="47"/>
  <c r="E72" i="47"/>
  <c r="E73" i="47"/>
  <c r="E74" i="47"/>
  <c r="E75" i="47"/>
  <c r="E76" i="47"/>
  <c r="E85" i="47"/>
  <c r="E86" i="47"/>
  <c r="E87" i="47"/>
  <c r="E88" i="47"/>
  <c r="E182" i="47"/>
  <c r="E183" i="47"/>
  <c r="E184" i="47"/>
  <c r="E185" i="47"/>
  <c r="E193" i="47"/>
  <c r="E194" i="47"/>
  <c r="E195" i="47"/>
  <c r="E196" i="47"/>
  <c r="E242" i="47"/>
  <c r="E243" i="47"/>
  <c r="AO233" i="19"/>
  <c r="AG233" i="19"/>
  <c r="AQ233" i="19"/>
  <c r="AI233" i="19"/>
  <c r="AK70" i="19"/>
  <c r="AC70" i="19"/>
  <c r="AM70" i="19"/>
  <c r="AE70" i="19"/>
  <c r="AD70" i="19"/>
  <c r="AH70" i="19"/>
  <c r="AN70" i="19"/>
  <c r="AF70" i="19"/>
  <c r="AO70" i="19"/>
  <c r="AG70" i="19"/>
  <c r="AQ70" i="19"/>
  <c r="AI70" i="19"/>
  <c r="AL70" i="19"/>
  <c r="AP70" i="19"/>
  <c r="AR70" i="19"/>
  <c r="AJ70" i="19"/>
  <c r="AP53" i="19"/>
  <c r="AH53" i="19"/>
  <c r="AR53" i="19"/>
  <c r="AJ53" i="19"/>
  <c r="AO53" i="19"/>
  <c r="AM53" i="19"/>
  <c r="AK53" i="19"/>
  <c r="AQ53" i="19"/>
  <c r="AL53" i="19"/>
  <c r="AD53" i="19"/>
  <c r="AN53" i="19"/>
  <c r="AF53" i="19"/>
  <c r="AG53" i="19"/>
  <c r="AE53" i="19"/>
  <c r="AC53" i="19"/>
  <c r="AI53" i="19"/>
  <c r="AQ36" i="19"/>
  <c r="AI36" i="19"/>
  <c r="AO36" i="19"/>
  <c r="AG36" i="19"/>
  <c r="AL36" i="19"/>
  <c r="AR36" i="19"/>
  <c r="AN36" i="19"/>
  <c r="AH36" i="19"/>
  <c r="AM36" i="19"/>
  <c r="AE36" i="19"/>
  <c r="AK36" i="19"/>
  <c r="AC36" i="19"/>
  <c r="AD36" i="19"/>
  <c r="AJ36" i="19"/>
  <c r="AF36" i="19"/>
  <c r="AP36" i="19"/>
  <c r="AN25" i="19"/>
  <c r="AF25" i="19"/>
  <c r="AM25" i="19"/>
  <c r="AE25" i="19"/>
  <c r="AL25" i="19"/>
  <c r="AD25" i="19"/>
  <c r="AK25" i="19"/>
  <c r="AC25" i="19"/>
  <c r="AR25" i="19"/>
  <c r="AJ25" i="19"/>
  <c r="AQ25" i="19"/>
  <c r="AI25" i="19"/>
  <c r="AP25" i="19"/>
  <c r="AH25" i="19"/>
  <c r="AO25" i="19"/>
  <c r="AG25" i="19"/>
  <c r="AK177" i="19"/>
  <c r="AC177" i="19"/>
  <c r="AL177" i="19"/>
  <c r="AM177" i="19"/>
  <c r="AR177" i="19"/>
  <c r="AD177" i="19"/>
  <c r="AI177" i="19"/>
  <c r="AH177" i="19"/>
  <c r="AO177" i="19"/>
  <c r="AG177" i="19"/>
  <c r="AQ177" i="19"/>
  <c r="AF177" i="19"/>
  <c r="AE177" i="19"/>
  <c r="AJ177" i="19"/>
  <c r="AP177" i="19"/>
  <c r="AN177" i="19"/>
  <c r="AQ186" i="19"/>
  <c r="AI186" i="19"/>
  <c r="AO186" i="19"/>
  <c r="AD186" i="19"/>
  <c r="AH186" i="19"/>
  <c r="AG186" i="19"/>
  <c r="AF186" i="19"/>
  <c r="AK186" i="19"/>
  <c r="AM186" i="19"/>
  <c r="AE186" i="19"/>
  <c r="AJ186" i="19"/>
  <c r="AP186" i="19"/>
  <c r="AN186" i="19"/>
  <c r="AL186" i="19"/>
  <c r="AR186" i="19"/>
  <c r="AC186" i="19"/>
  <c r="AF233" i="19"/>
  <c r="AJ233" i="19"/>
  <c r="AN233" i="19"/>
  <c r="AR233" i="19"/>
  <c r="AM184" i="19"/>
  <c r="AE184" i="19"/>
  <c r="AJ184" i="19"/>
  <c r="AL184" i="19"/>
  <c r="AR184" i="19"/>
  <c r="AC184" i="19"/>
  <c r="AH184" i="19"/>
  <c r="AG184" i="19"/>
  <c r="AQ184" i="19"/>
  <c r="AI184" i="19"/>
  <c r="AO184" i="19"/>
  <c r="AD184" i="19"/>
  <c r="AF184" i="19"/>
  <c r="AK184" i="19"/>
  <c r="AP184" i="19"/>
  <c r="AN184" i="19"/>
  <c r="AM185" i="19"/>
  <c r="AE185" i="19"/>
  <c r="AJ185" i="19"/>
  <c r="AR185" i="19"/>
  <c r="AC185" i="19"/>
  <c r="AH185" i="19"/>
  <c r="AG185" i="19"/>
  <c r="AL185" i="19"/>
  <c r="AQ185" i="19"/>
  <c r="AO185" i="19"/>
  <c r="AK185" i="19"/>
  <c r="AN185" i="19"/>
  <c r="AI185" i="19"/>
  <c r="AD185" i="19"/>
  <c r="AP185" i="19"/>
  <c r="AF185" i="19"/>
  <c r="AK178" i="19"/>
  <c r="AC178" i="19"/>
  <c r="AL178" i="19"/>
  <c r="AR178" i="19"/>
  <c r="AD178" i="19"/>
  <c r="AI178" i="19"/>
  <c r="AH178" i="19"/>
  <c r="AM178" i="19"/>
  <c r="AO178" i="19"/>
  <c r="AG178" i="19"/>
  <c r="AQ178" i="19"/>
  <c r="AF178" i="19"/>
  <c r="AJ178" i="19"/>
  <c r="AP178" i="19"/>
  <c r="AN178" i="19"/>
  <c r="AE178" i="19"/>
  <c r="AM166" i="19"/>
  <c r="AE166" i="19"/>
  <c r="AL166" i="19"/>
  <c r="AP166" i="19"/>
  <c r="AO166" i="19"/>
  <c r="AD166" i="19"/>
  <c r="AN166" i="19"/>
  <c r="AF166" i="19"/>
  <c r="AQ166" i="19"/>
  <c r="AI166" i="19"/>
  <c r="AR166" i="19"/>
  <c r="AG166" i="19"/>
  <c r="AK166" i="19"/>
  <c r="AJ166" i="19"/>
  <c r="AC166" i="19"/>
  <c r="AH166" i="19"/>
  <c r="AK158" i="19"/>
  <c r="AC158" i="19"/>
  <c r="AJ158" i="19"/>
  <c r="AN158" i="19"/>
  <c r="AD158" i="19"/>
  <c r="AM158" i="19"/>
  <c r="AF158" i="19"/>
  <c r="AQ158" i="19"/>
  <c r="AO158" i="19"/>
  <c r="AP158" i="19"/>
  <c r="AI158" i="19"/>
  <c r="AH158" i="19"/>
  <c r="AG158" i="19"/>
  <c r="AE158" i="19"/>
  <c r="AR158" i="19"/>
  <c r="AL158" i="19"/>
  <c r="AM150" i="19"/>
  <c r="AE150" i="19"/>
  <c r="AL150" i="19"/>
  <c r="AP150" i="19"/>
  <c r="AF150" i="19"/>
  <c r="AJ150" i="19"/>
  <c r="AH150" i="19"/>
  <c r="AN150" i="19"/>
  <c r="AQ150" i="19"/>
  <c r="AR150" i="19"/>
  <c r="AK150" i="19"/>
  <c r="AD150" i="19"/>
  <c r="AI150" i="19"/>
  <c r="AG150" i="19"/>
  <c r="AO150" i="19"/>
  <c r="AC150" i="19"/>
  <c r="AM139" i="19"/>
  <c r="AE139" i="19"/>
  <c r="AK139" i="19"/>
  <c r="AC139" i="19"/>
  <c r="AH139" i="19"/>
  <c r="AF139" i="19"/>
  <c r="AD139" i="19"/>
  <c r="AJ139" i="19"/>
  <c r="AQ139" i="19"/>
  <c r="AI139" i="19"/>
  <c r="AO139" i="19"/>
  <c r="AG139" i="19"/>
  <c r="AP139" i="19"/>
  <c r="AN139" i="19"/>
  <c r="AL139" i="19"/>
  <c r="AR139" i="19"/>
  <c r="AM130" i="19"/>
  <c r="AE130" i="19"/>
  <c r="AL130" i="19"/>
  <c r="AD130" i="19"/>
  <c r="AK130" i="19"/>
  <c r="AC130" i="19"/>
  <c r="AN130" i="19"/>
  <c r="AF130" i="19"/>
  <c r="AQ130" i="19"/>
  <c r="AI130" i="19"/>
  <c r="AP130" i="19"/>
  <c r="AH130" i="19"/>
  <c r="AO130" i="19"/>
  <c r="AG130" i="19"/>
  <c r="AR130" i="19"/>
  <c r="AJ130" i="19"/>
  <c r="AQ128" i="19"/>
  <c r="AI128" i="19"/>
  <c r="AP128" i="19"/>
  <c r="AH128" i="19"/>
  <c r="AO128" i="19"/>
  <c r="AG128" i="19"/>
  <c r="AR128" i="19"/>
  <c r="AJ128" i="19"/>
  <c r="AM128" i="19"/>
  <c r="AE128" i="19"/>
  <c r="AL128" i="19"/>
  <c r="AD128" i="19"/>
  <c r="AK128" i="19"/>
  <c r="AC128" i="19"/>
  <c r="AN128" i="19"/>
  <c r="AF128" i="19"/>
  <c r="AN122" i="19"/>
  <c r="AF122" i="19"/>
  <c r="AM122" i="19"/>
  <c r="AE122" i="19"/>
  <c r="AL122" i="19"/>
  <c r="AD122" i="19"/>
  <c r="AO122" i="19"/>
  <c r="AG122" i="19"/>
  <c r="AR122" i="19"/>
  <c r="AQ122" i="19"/>
  <c r="AP122" i="19"/>
  <c r="AC122" i="19"/>
  <c r="AJ122" i="19"/>
  <c r="AI122" i="19"/>
  <c r="AH122" i="19"/>
  <c r="AK122" i="19"/>
  <c r="AK120" i="19"/>
  <c r="AC120" i="19"/>
  <c r="AN120" i="19"/>
  <c r="AF120" i="19"/>
  <c r="AM120" i="19"/>
  <c r="AE120" i="19"/>
  <c r="AP120" i="19"/>
  <c r="AH120" i="19"/>
  <c r="AO120" i="19"/>
  <c r="AR120" i="19"/>
  <c r="AQ120" i="19"/>
  <c r="AD120" i="19"/>
  <c r="AG120" i="19"/>
  <c r="AJ120" i="19"/>
  <c r="AI120" i="19"/>
  <c r="AL120" i="19"/>
  <c r="AL114" i="19"/>
  <c r="AD114" i="19"/>
  <c r="AK114" i="19"/>
  <c r="AC114" i="19"/>
  <c r="AN114" i="19"/>
  <c r="AF114" i="19"/>
  <c r="AQ114" i="19"/>
  <c r="AI114" i="19"/>
  <c r="AP114" i="19"/>
  <c r="AO114" i="19"/>
  <c r="AR114" i="19"/>
  <c r="AE114" i="19"/>
  <c r="AH114" i="19"/>
  <c r="AG114" i="19"/>
  <c r="AJ114" i="19"/>
  <c r="AM114" i="19"/>
  <c r="AM112" i="19"/>
  <c r="AM111" i="19" s="1"/>
  <c r="AE112" i="19"/>
  <c r="AL112" i="19"/>
  <c r="AD112" i="19"/>
  <c r="AK112" i="19"/>
  <c r="AK111" i="19" s="1"/>
  <c r="AC112" i="19"/>
  <c r="AR112" i="19"/>
  <c r="AJ112" i="19"/>
  <c r="AI112" i="19"/>
  <c r="AI111" i="19" s="1"/>
  <c r="AH112" i="19"/>
  <c r="AG112" i="19"/>
  <c r="AN112" i="19"/>
  <c r="AQ112" i="19"/>
  <c r="AQ111" i="19" s="1"/>
  <c r="AP112" i="19"/>
  <c r="AO112" i="19"/>
  <c r="AF112" i="19"/>
  <c r="AO105" i="19"/>
  <c r="AO100" i="19" s="1"/>
  <c r="AG105" i="19"/>
  <c r="AR105" i="19"/>
  <c r="AJ105" i="19"/>
  <c r="AQ105" i="19"/>
  <c r="AQ100" i="19" s="1"/>
  <c r="AI105" i="19"/>
  <c r="AH105" i="19"/>
  <c r="AH100" i="19" s="1"/>
  <c r="AP105" i="19"/>
  <c r="AP100" i="19" s="1"/>
  <c r="AK105" i="19"/>
  <c r="AK100" i="19" s="1"/>
  <c r="AC105" i="19"/>
  <c r="AN105" i="19"/>
  <c r="AN100" i="19" s="1"/>
  <c r="AF105" i="19"/>
  <c r="AM105" i="19"/>
  <c r="AM100" i="19" s="1"/>
  <c r="AE105" i="19"/>
  <c r="AD105" i="19"/>
  <c r="AL105" i="19"/>
  <c r="AB101" i="19"/>
  <c r="AQ78" i="19"/>
  <c r="AQ76" i="19" s="1"/>
  <c r="AI78" i="19"/>
  <c r="AO78" i="19"/>
  <c r="AO76" i="19" s="1"/>
  <c r="AR78" i="19"/>
  <c r="AR76" i="19" s="1"/>
  <c r="AD78" i="19"/>
  <c r="AG78" i="19"/>
  <c r="AG76" i="19" s="1"/>
  <c r="AF78" i="19"/>
  <c r="AC78" i="19"/>
  <c r="AM78" i="19"/>
  <c r="AM76" i="19" s="1"/>
  <c r="AE78" i="19"/>
  <c r="AK78" i="19"/>
  <c r="AK76" i="19" s="1"/>
  <c r="AJ78" i="19"/>
  <c r="AN78" i="19"/>
  <c r="AN76" i="19" s="1"/>
  <c r="AL78" i="19"/>
  <c r="AH78" i="19"/>
  <c r="AH76" i="19" s="1"/>
  <c r="AP78" i="19"/>
  <c r="AP76" i="19" s="1"/>
  <c r="AN75" i="19"/>
  <c r="AF75" i="19"/>
  <c r="AK75" i="19"/>
  <c r="AM75" i="19"/>
  <c r="AC75" i="19"/>
  <c r="AQ75" i="19"/>
  <c r="AO75" i="19"/>
  <c r="AD75" i="19"/>
  <c r="AR75" i="19"/>
  <c r="AJ75" i="19"/>
  <c r="AP75" i="19"/>
  <c r="AE75" i="19"/>
  <c r="AH75" i="19"/>
  <c r="AL75" i="19"/>
  <c r="AG75" i="19"/>
  <c r="AI75" i="19"/>
  <c r="AO68" i="19"/>
  <c r="AG68" i="19"/>
  <c r="AQ68" i="19"/>
  <c r="AI68" i="19"/>
  <c r="AL68" i="19"/>
  <c r="AP68" i="19"/>
  <c r="AR68" i="19"/>
  <c r="AJ68" i="19"/>
  <c r="AK68" i="19"/>
  <c r="AC68" i="19"/>
  <c r="AM68" i="19"/>
  <c r="AE68" i="19"/>
  <c r="AD68" i="19"/>
  <c r="AH68" i="19"/>
  <c r="AN68" i="19"/>
  <c r="AF68" i="19"/>
  <c r="AL66" i="19"/>
  <c r="AD66" i="19"/>
  <c r="AN66" i="19"/>
  <c r="AF66" i="19"/>
  <c r="AE66" i="19"/>
  <c r="AI66" i="19"/>
  <c r="AO66" i="19"/>
  <c r="AG66" i="19"/>
  <c r="AP66" i="19"/>
  <c r="AH66" i="19"/>
  <c r="AR66" i="19"/>
  <c r="AJ66" i="19"/>
  <c r="AM66" i="19"/>
  <c r="AQ66" i="19"/>
  <c r="AC66" i="19"/>
  <c r="AK66" i="19"/>
  <c r="AN60" i="19"/>
  <c r="AF60" i="19"/>
  <c r="AL60" i="19"/>
  <c r="AD60" i="19"/>
  <c r="AE60" i="19"/>
  <c r="AC60" i="19"/>
  <c r="AI60" i="19"/>
  <c r="AG60" i="19"/>
  <c r="AR60" i="19"/>
  <c r="AJ60" i="19"/>
  <c r="AP60" i="19"/>
  <c r="AH60" i="19"/>
  <c r="AM60" i="19"/>
  <c r="AK60" i="19"/>
  <c r="AQ60" i="19"/>
  <c r="AO60" i="19"/>
  <c r="AK58" i="19"/>
  <c r="AC58" i="19"/>
  <c r="AM58" i="19"/>
  <c r="AE58" i="19"/>
  <c r="AF58" i="19"/>
  <c r="AD58" i="19"/>
  <c r="AJ58" i="19"/>
  <c r="AH58" i="19"/>
  <c r="AO58" i="19"/>
  <c r="AG58" i="19"/>
  <c r="AQ58" i="19"/>
  <c r="AI58" i="19"/>
  <c r="AN58" i="19"/>
  <c r="AL58" i="19"/>
  <c r="AR58" i="19"/>
  <c r="AP58" i="19"/>
  <c r="AL52" i="19"/>
  <c r="AD52" i="19"/>
  <c r="AN52" i="19"/>
  <c r="AF52" i="19"/>
  <c r="AG52" i="19"/>
  <c r="AE52" i="19"/>
  <c r="AC52" i="19"/>
  <c r="AI52" i="19"/>
  <c r="AP52" i="19"/>
  <c r="AH52" i="19"/>
  <c r="AR52" i="19"/>
  <c r="AJ52" i="19"/>
  <c r="AO52" i="19"/>
  <c r="AM52" i="19"/>
  <c r="AK52" i="19"/>
  <c r="AQ52" i="19"/>
  <c r="AM50" i="19"/>
  <c r="AE50" i="19"/>
  <c r="AK50" i="19"/>
  <c r="AC50" i="19"/>
  <c r="AH50" i="19"/>
  <c r="AF50" i="19"/>
  <c r="AD50" i="19"/>
  <c r="AJ50" i="19"/>
  <c r="AQ50" i="19"/>
  <c r="AI50" i="19"/>
  <c r="AO50" i="19"/>
  <c r="AG50" i="19"/>
  <c r="AP50" i="19"/>
  <c r="AN50" i="19"/>
  <c r="AL50" i="19"/>
  <c r="AR50" i="19"/>
  <c r="AN44" i="19"/>
  <c r="AF44" i="19"/>
  <c r="AL44" i="19"/>
  <c r="AD44" i="19"/>
  <c r="AI44" i="19"/>
  <c r="AG44" i="19"/>
  <c r="AE44" i="19"/>
  <c r="AC44" i="19"/>
  <c r="AR44" i="19"/>
  <c r="AJ44" i="19"/>
  <c r="AP44" i="19"/>
  <c r="AH44" i="19"/>
  <c r="AQ44" i="19"/>
  <c r="AO44" i="19"/>
  <c r="AM44" i="19"/>
  <c r="AK44" i="19"/>
  <c r="AK42" i="19"/>
  <c r="AK38" i="19" s="1"/>
  <c r="AC42" i="19"/>
  <c r="AM42" i="19"/>
  <c r="AE42" i="19"/>
  <c r="AJ42" i="19"/>
  <c r="AJ38" i="19" s="1"/>
  <c r="AH42" i="19"/>
  <c r="AF42" i="19"/>
  <c r="AD42" i="19"/>
  <c r="AO42" i="19"/>
  <c r="AO38" i="19" s="1"/>
  <c r="AG42" i="19"/>
  <c r="AQ42" i="19"/>
  <c r="AI42" i="19"/>
  <c r="AR42" i="19"/>
  <c r="AR38" i="19" s="1"/>
  <c r="AP42" i="19"/>
  <c r="AN42" i="19"/>
  <c r="AL42" i="19"/>
  <c r="AM35" i="19"/>
  <c r="AE35" i="19"/>
  <c r="AK35" i="19"/>
  <c r="AC35" i="19"/>
  <c r="AD35" i="19"/>
  <c r="AJ35" i="19"/>
  <c r="AF35" i="19"/>
  <c r="AH35" i="19"/>
  <c r="AQ35" i="19"/>
  <c r="AI35" i="19"/>
  <c r="AO35" i="19"/>
  <c r="AG35" i="19"/>
  <c r="AL35" i="19"/>
  <c r="AR35" i="19"/>
  <c r="AN35" i="19"/>
  <c r="AP35" i="19"/>
  <c r="AO33" i="19"/>
  <c r="AG33" i="19"/>
  <c r="AN33" i="19"/>
  <c r="AD33" i="19"/>
  <c r="AM33" i="19"/>
  <c r="AP33" i="19"/>
  <c r="AE33" i="19"/>
  <c r="AL33" i="19"/>
  <c r="AK33" i="19"/>
  <c r="AC33" i="19"/>
  <c r="AI33" i="19"/>
  <c r="AR33" i="19"/>
  <c r="AH33" i="19"/>
  <c r="AJ33" i="19"/>
  <c r="AQ33" i="19"/>
  <c r="AF33" i="19"/>
  <c r="AR23" i="19"/>
  <c r="AJ23" i="19"/>
  <c r="AQ23" i="19"/>
  <c r="AI23" i="19"/>
  <c r="AP23" i="19"/>
  <c r="AH23" i="19"/>
  <c r="AO23" i="19"/>
  <c r="AG23" i="19"/>
  <c r="AN23" i="19"/>
  <c r="AF23" i="19"/>
  <c r="AM23" i="19"/>
  <c r="AE23" i="19"/>
  <c r="AL23" i="19"/>
  <c r="AD23" i="19"/>
  <c r="AK23" i="19"/>
  <c r="AC23" i="19"/>
  <c r="AK21" i="19"/>
  <c r="AK19" i="19" s="1"/>
  <c r="AC21" i="19"/>
  <c r="AN21" i="19"/>
  <c r="AF21" i="19"/>
  <c r="AM21" i="19"/>
  <c r="AM19" i="19" s="1"/>
  <c r="AE21" i="19"/>
  <c r="AL21" i="19"/>
  <c r="AD21" i="19"/>
  <c r="AO21" i="19"/>
  <c r="AO19" i="19" s="1"/>
  <c r="AG21" i="19"/>
  <c r="AG19" i="19" s="1"/>
  <c r="AR21" i="19"/>
  <c r="AJ21" i="19"/>
  <c r="AJ19" i="19" s="1"/>
  <c r="AQ21" i="19"/>
  <c r="AI21" i="19"/>
  <c r="AP21" i="19"/>
  <c r="AH21" i="19"/>
  <c r="AO18" i="19"/>
  <c r="AG18" i="19"/>
  <c r="AR18" i="19"/>
  <c r="AJ18" i="19"/>
  <c r="AQ18" i="19"/>
  <c r="AI18" i="19"/>
  <c r="AP18" i="19"/>
  <c r="AH18" i="19"/>
  <c r="AK18" i="19"/>
  <c r="AC18" i="19"/>
  <c r="AN18" i="19"/>
  <c r="AF18" i="19"/>
  <c r="AM18" i="19"/>
  <c r="AE18" i="19"/>
  <c r="AL18" i="19"/>
  <c r="AD18" i="19"/>
  <c r="AL16" i="19"/>
  <c r="AD16" i="19"/>
  <c r="AK16" i="19"/>
  <c r="AC16" i="19"/>
  <c r="AN16" i="19"/>
  <c r="AF16" i="19"/>
  <c r="AM16" i="19"/>
  <c r="AE16" i="19"/>
  <c r="AP16" i="19"/>
  <c r="AH16" i="19"/>
  <c r="AO16" i="19"/>
  <c r="AG16" i="19"/>
  <c r="AR16" i="19"/>
  <c r="AJ16" i="19"/>
  <c r="AQ16" i="19"/>
  <c r="AI16" i="19"/>
  <c r="AP14" i="19"/>
  <c r="AP11" i="19" s="1"/>
  <c r="AH14" i="19"/>
  <c r="AH11" i="19" s="1"/>
  <c r="AO14" i="19"/>
  <c r="AG14" i="19"/>
  <c r="AG11" i="19" s="1"/>
  <c r="AR14" i="19"/>
  <c r="AR11" i="19" s="1"/>
  <c r="AJ14" i="19"/>
  <c r="AJ11" i="19" s="1"/>
  <c r="AQ14" i="19"/>
  <c r="AI14" i="19"/>
  <c r="AI11" i="19" s="1"/>
  <c r="AL14" i="19"/>
  <c r="AL11" i="19" s="1"/>
  <c r="AD14" i="19"/>
  <c r="AD11" i="19" s="1"/>
  <c r="AK14" i="19"/>
  <c r="AC14" i="19"/>
  <c r="AN14" i="19"/>
  <c r="AN11" i="19" s="1"/>
  <c r="AF14" i="19"/>
  <c r="AF11" i="19" s="1"/>
  <c r="AM14" i="19"/>
  <c r="AE14" i="19"/>
  <c r="AE11" i="19" s="1"/>
  <c r="AB141" i="19"/>
  <c r="AI197" i="19"/>
  <c r="E17" i="16"/>
  <c r="E206" i="45"/>
  <c r="E112" i="45"/>
  <c r="E204" i="45"/>
  <c r="E202" i="45"/>
  <c r="E230" i="45"/>
  <c r="E225" i="45"/>
  <c r="E219" i="45"/>
  <c r="E140" i="45"/>
  <c r="E138" i="45"/>
  <c r="E136" i="45"/>
  <c r="E134" i="45"/>
  <c r="E132" i="45"/>
  <c r="E130" i="45"/>
  <c r="E128" i="45"/>
  <c r="E126" i="45"/>
  <c r="E102" i="45"/>
  <c r="E100" i="45"/>
  <c r="E98" i="45"/>
  <c r="E96" i="45"/>
  <c r="E94" i="45"/>
  <c r="E92" i="45"/>
  <c r="E90" i="45"/>
  <c r="E238" i="47"/>
  <c r="E241" i="22"/>
  <c r="E224" i="22"/>
  <c r="E14" i="47"/>
  <c r="E12" i="47" s="1"/>
  <c r="E19" i="47"/>
  <c r="E221" i="22"/>
  <c r="E203" i="22"/>
  <c r="E235" i="22"/>
  <c r="E234" i="22"/>
  <c r="E223" i="22"/>
  <c r="E222" i="22"/>
  <c r="E220" i="22"/>
  <c r="E217" i="22"/>
  <c r="E215" i="22"/>
  <c r="E139" i="22"/>
  <c r="E137" i="22"/>
  <c r="E135" i="22"/>
  <c r="E133" i="22"/>
  <c r="E131" i="22"/>
  <c r="E129" i="22"/>
  <c r="E127" i="22"/>
  <c r="E125" i="22"/>
  <c r="E123" i="22"/>
  <c r="E121" i="22"/>
  <c r="E118" i="22"/>
  <c r="E116" i="22"/>
  <c r="E114" i="22"/>
  <c r="E108" i="22" s="1"/>
  <c r="E110" i="22"/>
  <c r="E103" i="22"/>
  <c r="E101" i="22"/>
  <c r="E99" i="22"/>
  <c r="E97" i="22"/>
  <c r="E95" i="22"/>
  <c r="E93" i="22"/>
  <c r="E91" i="22"/>
  <c r="E187" i="47"/>
  <c r="E188" i="47"/>
  <c r="E189" i="47"/>
  <c r="E190" i="47"/>
  <c r="E191" i="47"/>
  <c r="B12" i="17"/>
  <c r="E206" i="22"/>
  <c r="E112" i="22"/>
  <c r="E204" i="22"/>
  <c r="E202" i="22"/>
  <c r="E230" i="22"/>
  <c r="E225" i="22"/>
  <c r="E219" i="22"/>
  <c r="E140" i="22"/>
  <c r="E138" i="22"/>
  <c r="E136" i="22"/>
  <c r="E134" i="22"/>
  <c r="E132" i="22"/>
  <c r="E130" i="22"/>
  <c r="E128" i="22"/>
  <c r="E126" i="22"/>
  <c r="E102" i="22"/>
  <c r="E100" i="22"/>
  <c r="E98" i="22"/>
  <c r="E96" i="22"/>
  <c r="E94" i="22"/>
  <c r="E92" i="22"/>
  <c r="E90" i="22"/>
  <c r="E32" i="47"/>
  <c r="E33" i="47"/>
  <c r="E27" i="47" s="1"/>
  <c r="E224" i="45"/>
  <c r="E14" i="41"/>
  <c r="E12" i="41" s="1"/>
  <c r="E19" i="41"/>
  <c r="E16" i="41" s="1"/>
  <c r="E221" i="45"/>
  <c r="E203" i="45"/>
  <c r="E235" i="45"/>
  <c r="E234" i="45"/>
  <c r="E223" i="45"/>
  <c r="E222" i="45"/>
  <c r="E220" i="45"/>
  <c r="E217" i="45"/>
  <c r="E215" i="45"/>
  <c r="E214" i="45" s="1"/>
  <c r="H17" i="16" s="1"/>
  <c r="E139" i="45"/>
  <c r="E137" i="45"/>
  <c r="E135" i="45"/>
  <c r="E133" i="45"/>
  <c r="E131" i="45"/>
  <c r="E129" i="45"/>
  <c r="E127" i="45"/>
  <c r="E125" i="45"/>
  <c r="E123" i="45"/>
  <c r="E121" i="45"/>
  <c r="E118" i="45"/>
  <c r="E116" i="45"/>
  <c r="E114" i="45"/>
  <c r="E110" i="45"/>
  <c r="E103" i="45"/>
  <c r="E101" i="45"/>
  <c r="E99" i="45"/>
  <c r="E97" i="45"/>
  <c r="E95" i="45"/>
  <c r="E93" i="45"/>
  <c r="E91" i="45"/>
  <c r="AB144" i="19" l="1"/>
  <c r="AI189" i="19"/>
  <c r="AP189" i="19"/>
  <c r="AC81" i="19"/>
  <c r="AB85" i="19"/>
  <c r="AB81" i="19" s="1"/>
  <c r="AJ76" i="19"/>
  <c r="AL100" i="19"/>
  <c r="AF100" i="19"/>
  <c r="AF269" i="19" s="1"/>
  <c r="AJ100" i="19"/>
  <c r="AF111" i="19"/>
  <c r="AN111" i="19"/>
  <c r="AD111" i="19"/>
  <c r="AB29" i="19"/>
  <c r="AB20" i="19"/>
  <c r="AB59" i="19"/>
  <c r="AF189" i="19"/>
  <c r="AL189" i="19"/>
  <c r="AK189" i="19"/>
  <c r="AM189" i="19"/>
  <c r="AB46" i="19"/>
  <c r="AC96" i="19"/>
  <c r="AB98" i="19"/>
  <c r="AB96" i="19" s="1"/>
  <c r="AB49" i="19"/>
  <c r="AB174" i="19"/>
  <c r="AB108" i="19"/>
  <c r="E108" i="45"/>
  <c r="AO11" i="19"/>
  <c r="AB66" i="19"/>
  <c r="AL111" i="19"/>
  <c r="AB166" i="19"/>
  <c r="AB53" i="19"/>
  <c r="AB45" i="19"/>
  <c r="AB62" i="19"/>
  <c r="AB63" i="19"/>
  <c r="AB65" i="19"/>
  <c r="AB182" i="19"/>
  <c r="AB145" i="19"/>
  <c r="AB147" i="19"/>
  <c r="AB54" i="19"/>
  <c r="AB118" i="19"/>
  <c r="AG189" i="19"/>
  <c r="AR189" i="19"/>
  <c r="AO189" i="19"/>
  <c r="AQ189" i="19"/>
  <c r="AB116" i="19"/>
  <c r="AB126" i="19"/>
  <c r="AB109" i="19"/>
  <c r="AB168" i="19"/>
  <c r="AB134" i="19"/>
  <c r="AB24" i="19"/>
  <c r="AB132" i="19"/>
  <c r="E119" i="45"/>
  <c r="AM11" i="19"/>
  <c r="AK11" i="19"/>
  <c r="AN19" i="19"/>
  <c r="AN38" i="19"/>
  <c r="AF38" i="19"/>
  <c r="AR100" i="19"/>
  <c r="AO111" i="19"/>
  <c r="AG111" i="19"/>
  <c r="AR111" i="19"/>
  <c r="AG38" i="19"/>
  <c r="AE76" i="19"/>
  <c r="AI76" i="19"/>
  <c r="AC100" i="19"/>
  <c r="AE100" i="19"/>
  <c r="AI100" i="19"/>
  <c r="AG100" i="19"/>
  <c r="AG269" i="19" s="1"/>
  <c r="AP111" i="19"/>
  <c r="AP269" i="19" s="1"/>
  <c r="AE111" i="19"/>
  <c r="AB37" i="19"/>
  <c r="AB80" i="19"/>
  <c r="AB22" i="19"/>
  <c r="AB192" i="19"/>
  <c r="AB104" i="19"/>
  <c r="AB41" i="19"/>
  <c r="AB157" i="19"/>
  <c r="AH189" i="19"/>
  <c r="AC189" i="19"/>
  <c r="AB190" i="19"/>
  <c r="AB189" i="19" s="1"/>
  <c r="AN189" i="19"/>
  <c r="AD189" i="19"/>
  <c r="AB57" i="19"/>
  <c r="AC193" i="19"/>
  <c r="AB195" i="19"/>
  <c r="AB193" i="19" s="1"/>
  <c r="AB135" i="19"/>
  <c r="AB48" i="19"/>
  <c r="AB140" i="19"/>
  <c r="E181" i="47"/>
  <c r="E107" i="47" s="1"/>
  <c r="AQ11" i="19"/>
  <c r="AL19" i="19"/>
  <c r="AP19" i="19"/>
  <c r="AR19" i="19"/>
  <c r="AQ38" i="19"/>
  <c r="AB50" i="19"/>
  <c r="AB52" i="19"/>
  <c r="AM38" i="19"/>
  <c r="AM8" i="19" s="1"/>
  <c r="AB75" i="19"/>
  <c r="AB185" i="19"/>
  <c r="AN197" i="19"/>
  <c r="AN269" i="19"/>
  <c r="AF197" i="19"/>
  <c r="AR69" i="19"/>
  <c r="AL69" i="19"/>
  <c r="AQ69" i="19"/>
  <c r="AO69" i="19"/>
  <c r="AO8" i="19" s="1"/>
  <c r="AN69" i="19"/>
  <c r="AN8" i="19" s="1"/>
  <c r="AD69" i="19"/>
  <c r="AM69" i="19"/>
  <c r="AK69" i="19"/>
  <c r="AK8" i="19" s="1"/>
  <c r="AQ197" i="19"/>
  <c r="AQ269" i="19"/>
  <c r="AO269" i="19"/>
  <c r="AO197" i="19"/>
  <c r="AB124" i="19"/>
  <c r="AB107" i="19"/>
  <c r="AB137" i="19"/>
  <c r="AC133" i="19"/>
  <c r="AG133" i="19"/>
  <c r="AD133" i="19"/>
  <c r="AF133" i="19"/>
  <c r="AK133" i="19"/>
  <c r="AO133" i="19"/>
  <c r="AH133" i="19"/>
  <c r="AJ133" i="19"/>
  <c r="AB148" i="19"/>
  <c r="AB164" i="19"/>
  <c r="AB172" i="19"/>
  <c r="AB179" i="19"/>
  <c r="AB187" i="19"/>
  <c r="AH197" i="19"/>
  <c r="AR173" i="19"/>
  <c r="AN173" i="19"/>
  <c r="AL173" i="19"/>
  <c r="AK173" i="19"/>
  <c r="AE173" i="19"/>
  <c r="AI173" i="19"/>
  <c r="AQ173" i="19"/>
  <c r="AO173" i="19"/>
  <c r="AB30" i="19"/>
  <c r="AQ19" i="19"/>
  <c r="AL76" i="19"/>
  <c r="AD76" i="19"/>
  <c r="AC11" i="19"/>
  <c r="AB14" i="19"/>
  <c r="AB16" i="19"/>
  <c r="AB18" i="19"/>
  <c r="AH19" i="19"/>
  <c r="AI19" i="19"/>
  <c r="AD19" i="19"/>
  <c r="AE19" i="19"/>
  <c r="AF19" i="19"/>
  <c r="AC19" i="19"/>
  <c r="AB21" i="19"/>
  <c r="AB23" i="19"/>
  <c r="AB33" i="19"/>
  <c r="AB35" i="19"/>
  <c r="AL38" i="19"/>
  <c r="AP38" i="19"/>
  <c r="AI38" i="19"/>
  <c r="AI8" i="19" s="1"/>
  <c r="AD38" i="19"/>
  <c r="AH38" i="19"/>
  <c r="AE38" i="19"/>
  <c r="AC38" i="19"/>
  <c r="AB42" i="19"/>
  <c r="AB44" i="19"/>
  <c r="AB58" i="19"/>
  <c r="AB60" i="19"/>
  <c r="AB68" i="19"/>
  <c r="AC76" i="19"/>
  <c r="AB78" i="19"/>
  <c r="AB105" i="19"/>
  <c r="AB100" i="19" s="1"/>
  <c r="AH111" i="19"/>
  <c r="AH269" i="19" s="1"/>
  <c r="AJ111" i="19"/>
  <c r="AC111" i="19"/>
  <c r="AB112" i="19"/>
  <c r="AB114" i="19"/>
  <c r="AB120" i="19"/>
  <c r="AB122" i="19"/>
  <c r="AB128" i="19"/>
  <c r="AB130" i="19"/>
  <c r="AB139" i="19"/>
  <c r="AB150" i="19"/>
  <c r="AB158" i="19"/>
  <c r="AB178" i="19"/>
  <c r="AB184" i="19"/>
  <c r="AR269" i="19"/>
  <c r="AR197" i="19"/>
  <c r="AJ269" i="19"/>
  <c r="AJ197" i="19"/>
  <c r="AB186" i="19"/>
  <c r="AB177" i="19"/>
  <c r="AB25" i="19"/>
  <c r="AB36" i="19"/>
  <c r="AJ69" i="19"/>
  <c r="AJ8" i="19" s="1"/>
  <c r="AP69" i="19"/>
  <c r="AI69" i="19"/>
  <c r="AG69" i="19"/>
  <c r="AG8" i="19" s="1"/>
  <c r="AF69" i="19"/>
  <c r="AH69" i="19"/>
  <c r="AE69" i="19"/>
  <c r="AC69" i="19"/>
  <c r="AB70" i="19"/>
  <c r="AB69" i="19" s="1"/>
  <c r="AI269" i="19"/>
  <c r="AG197" i="19"/>
  <c r="E241" i="47"/>
  <c r="E205" i="47" s="1"/>
  <c r="F19" i="16" s="1"/>
  <c r="E84" i="47"/>
  <c r="E16" i="47" s="1"/>
  <c r="E11" i="47" s="1"/>
  <c r="E46" i="47"/>
  <c r="AM269" i="19"/>
  <c r="AE133" i="19"/>
  <c r="AE99" i="19" s="1"/>
  <c r="AI133" i="19"/>
  <c r="AI99" i="19" s="1"/>
  <c r="AL133" i="19"/>
  <c r="AL99" i="19" s="1"/>
  <c r="AN133" i="19"/>
  <c r="AM133" i="19"/>
  <c r="AM99" i="19" s="1"/>
  <c r="AQ133" i="19"/>
  <c r="AQ99" i="19" s="1"/>
  <c r="AP133" i="19"/>
  <c r="AR133" i="19"/>
  <c r="AB156" i="19"/>
  <c r="AL197" i="19"/>
  <c r="AL269" i="19"/>
  <c r="AD197" i="19"/>
  <c r="AD269" i="19"/>
  <c r="AD173" i="19"/>
  <c r="AM173" i="19"/>
  <c r="AP173" i="19"/>
  <c r="AB175" i="19"/>
  <c r="AC173" i="19"/>
  <c r="AJ173" i="19"/>
  <c r="AH173" i="19"/>
  <c r="AF173" i="19"/>
  <c r="AF99" i="19" s="1"/>
  <c r="AG173" i="19"/>
  <c r="AB61" i="19"/>
  <c r="AF76" i="19"/>
  <c r="AB79" i="19"/>
  <c r="AB76" i="19" s="1"/>
  <c r="AE197" i="19"/>
  <c r="AE269" i="19"/>
  <c r="AB233" i="19"/>
  <c r="AC269" i="19"/>
  <c r="AC197" i="19"/>
  <c r="AK197" i="19"/>
  <c r="AK269" i="19"/>
  <c r="AB180" i="19"/>
  <c r="E119" i="22"/>
  <c r="E107" i="22" s="1"/>
  <c r="E233" i="45"/>
  <c r="E205" i="45" s="1"/>
  <c r="F17" i="16" s="1"/>
  <c r="E89" i="22"/>
  <c r="E16" i="22" s="1"/>
  <c r="E201" i="22"/>
  <c r="E233" i="22"/>
  <c r="E89" i="45"/>
  <c r="E16" i="45" s="1"/>
  <c r="E201" i="45"/>
  <c r="E107" i="45" s="1"/>
  <c r="E11" i="41"/>
  <c r="E18" i="16"/>
  <c r="G16" i="16"/>
  <c r="E19" i="16"/>
  <c r="G17" i="16"/>
  <c r="E214" i="22"/>
  <c r="H16" i="16" s="1"/>
  <c r="AP8" i="19" l="1"/>
  <c r="AF8" i="19"/>
  <c r="AF3" i="19" s="1"/>
  <c r="AF267" i="19" s="1"/>
  <c r="AF270" i="19" s="1"/>
  <c r="AR99" i="19"/>
  <c r="AN99" i="19"/>
  <c r="AD8" i="19"/>
  <c r="AK99" i="19"/>
  <c r="AK3" i="19" s="1"/>
  <c r="AK267" i="19" s="1"/>
  <c r="AK270" i="19" s="1"/>
  <c r="AL8" i="19"/>
  <c r="AL3" i="19" s="1"/>
  <c r="AL267" i="19" s="1"/>
  <c r="AL270" i="19" s="1"/>
  <c r="AC99" i="19"/>
  <c r="AE8" i="19"/>
  <c r="AE3" i="19" s="1"/>
  <c r="AE267" i="19" s="1"/>
  <c r="AE270" i="19" s="1"/>
  <c r="AO99" i="19"/>
  <c r="AO3" i="19" s="1"/>
  <c r="AO267" i="19" s="1"/>
  <c r="AO270" i="19" s="1"/>
  <c r="AI3" i="19"/>
  <c r="AI267" i="19" s="1"/>
  <c r="AI270" i="19" s="1"/>
  <c r="AH8" i="19"/>
  <c r="AD99" i="19"/>
  <c r="AR8" i="19"/>
  <c r="AR3" i="19" s="1"/>
  <c r="AR267" i="19" s="1"/>
  <c r="AR270" i="19" s="1"/>
  <c r="AN3" i="19"/>
  <c r="AN267" i="19" s="1"/>
  <c r="AN270" i="19" s="1"/>
  <c r="AM3" i="19"/>
  <c r="AM267" i="19" s="1"/>
  <c r="AM270" i="19" s="1"/>
  <c r="AB197" i="19"/>
  <c r="AB111" i="19"/>
  <c r="AB269" i="19" s="1"/>
  <c r="AB38" i="19"/>
  <c r="AC8" i="19"/>
  <c r="AJ99" i="19"/>
  <c r="AJ3" i="19" s="1"/>
  <c r="AJ267" i="19" s="1"/>
  <c r="AJ270" i="19" s="1"/>
  <c r="AG99" i="19"/>
  <c r="AG3" i="19" s="1"/>
  <c r="AG267" i="19" s="1"/>
  <c r="AG270" i="19" s="1"/>
  <c r="AB133" i="19"/>
  <c r="AQ8" i="19"/>
  <c r="AQ3" i="19" s="1"/>
  <c r="AQ267" i="19" s="1"/>
  <c r="AQ270" i="19" s="1"/>
  <c r="AB173" i="19"/>
  <c r="AP99" i="19"/>
  <c r="AP3" i="19" s="1"/>
  <c r="AP267" i="19" s="1"/>
  <c r="AP270" i="19" s="1"/>
  <c r="AB19" i="19"/>
  <c r="AB11" i="19"/>
  <c r="AH99" i="19"/>
  <c r="AH3" i="19" s="1"/>
  <c r="AH267" i="19" s="1"/>
  <c r="AH270" i="19" s="1"/>
  <c r="E205" i="22"/>
  <c r="F16" i="16" s="1"/>
  <c r="D19" i="16"/>
  <c r="C19" i="16" s="1"/>
  <c r="E275" i="47"/>
  <c r="D18" i="16"/>
  <c r="C18" i="16" s="1"/>
  <c r="E275" i="41"/>
  <c r="E11" i="45"/>
  <c r="E11" i="22"/>
  <c r="AD3" i="19" l="1"/>
  <c r="AD267" i="19" s="1"/>
  <c r="AD270" i="19" s="1"/>
  <c r="AB99" i="19"/>
  <c r="AC3" i="19"/>
  <c r="AB8" i="19"/>
  <c r="D17" i="16"/>
  <c r="C17" i="16" s="1"/>
  <c r="E275" i="45"/>
  <c r="D47" i="17"/>
  <c r="C47" i="17" s="1"/>
  <c r="H47" i="17" s="1"/>
  <c r="D48" i="17"/>
  <c r="C48" i="17" s="1"/>
  <c r="H48" i="17" s="1"/>
  <c r="D50" i="17"/>
  <c r="C50" i="17" s="1"/>
  <c r="H50" i="17" s="1"/>
  <c r="D52" i="17"/>
  <c r="C52" i="17" s="1"/>
  <c r="H52" i="17" s="1"/>
  <c r="D54" i="17"/>
  <c r="C54" i="17" s="1"/>
  <c r="H54" i="17" s="1"/>
  <c r="D56" i="17"/>
  <c r="C56" i="17" s="1"/>
  <c r="H56" i="17" s="1"/>
  <c r="D58" i="17"/>
  <c r="C58" i="17" s="1"/>
  <c r="H58" i="17" s="1"/>
  <c r="D60" i="17"/>
  <c r="C60" i="17" s="1"/>
  <c r="H60" i="17" s="1"/>
  <c r="D62" i="17"/>
  <c r="C62" i="17" s="1"/>
  <c r="H62" i="17" s="1"/>
  <c r="D49" i="17"/>
  <c r="C49" i="17" s="1"/>
  <c r="H49" i="17" s="1"/>
  <c r="D51" i="17"/>
  <c r="C51" i="17" s="1"/>
  <c r="H51" i="17" s="1"/>
  <c r="D53" i="17"/>
  <c r="C53" i="17" s="1"/>
  <c r="H53" i="17" s="1"/>
  <c r="D55" i="17"/>
  <c r="C55" i="17" s="1"/>
  <c r="H55" i="17" s="1"/>
  <c r="D57" i="17"/>
  <c r="C57" i="17" s="1"/>
  <c r="H57" i="17" s="1"/>
  <c r="D59" i="17"/>
  <c r="C59" i="17" s="1"/>
  <c r="H59" i="17" s="1"/>
  <c r="D61" i="17"/>
  <c r="C61" i="17" s="1"/>
  <c r="H61" i="17" s="1"/>
  <c r="D64" i="17"/>
  <c r="C64" i="17" s="1"/>
  <c r="H64" i="17" s="1"/>
  <c r="D66" i="17"/>
  <c r="C66" i="17" s="1"/>
  <c r="H66" i="17" s="1"/>
  <c r="D68" i="17"/>
  <c r="C68" i="17" s="1"/>
  <c r="H68" i="17" s="1"/>
  <c r="D70" i="17"/>
  <c r="C70" i="17" s="1"/>
  <c r="H70" i="17" s="1"/>
  <c r="D72" i="17"/>
  <c r="C72" i="17" s="1"/>
  <c r="H72" i="17" s="1"/>
  <c r="D74" i="17"/>
  <c r="C74" i="17" s="1"/>
  <c r="H74" i="17" s="1"/>
  <c r="D76" i="17"/>
  <c r="C76" i="17" s="1"/>
  <c r="H76" i="17" s="1"/>
  <c r="D78" i="17"/>
  <c r="C78" i="17" s="1"/>
  <c r="H78" i="17" s="1"/>
  <c r="D65" i="17"/>
  <c r="C65" i="17" s="1"/>
  <c r="H65" i="17" s="1"/>
  <c r="D67" i="17"/>
  <c r="C67" i="17" s="1"/>
  <c r="H67" i="17" s="1"/>
  <c r="D69" i="17"/>
  <c r="C69" i="17" s="1"/>
  <c r="H69" i="17" s="1"/>
  <c r="D71" i="17"/>
  <c r="C71" i="17" s="1"/>
  <c r="H71" i="17" s="1"/>
  <c r="D73" i="17"/>
  <c r="C73" i="17" s="1"/>
  <c r="H73" i="17" s="1"/>
  <c r="D75" i="17"/>
  <c r="C75" i="17" s="1"/>
  <c r="H75" i="17" s="1"/>
  <c r="D77" i="17"/>
  <c r="C77" i="17" s="1"/>
  <c r="H77" i="17" s="1"/>
  <c r="D79" i="17"/>
  <c r="C79" i="17" s="1"/>
  <c r="H79" i="17" s="1"/>
  <c r="D16" i="16"/>
  <c r="C16" i="16" s="1"/>
  <c r="E275" i="22"/>
  <c r="AC267" i="19" l="1"/>
  <c r="AB3" i="19"/>
  <c r="D13" i="17"/>
  <c r="C13" i="17" s="1"/>
  <c r="H13" i="17" s="1"/>
  <c r="D14" i="17"/>
  <c r="C14" i="17" s="1"/>
  <c r="H14" i="17" s="1"/>
  <c r="D16" i="17"/>
  <c r="C16" i="17" s="1"/>
  <c r="H16" i="17" s="1"/>
  <c r="D18" i="17"/>
  <c r="C18" i="17" s="1"/>
  <c r="H18" i="17" s="1"/>
  <c r="D20" i="17"/>
  <c r="C20" i="17" s="1"/>
  <c r="H20" i="17" s="1"/>
  <c r="D22" i="17"/>
  <c r="C22" i="17" s="1"/>
  <c r="H22" i="17" s="1"/>
  <c r="D24" i="17"/>
  <c r="C24" i="17" s="1"/>
  <c r="H24" i="17" s="1"/>
  <c r="D26" i="17"/>
  <c r="C26" i="17" s="1"/>
  <c r="H26" i="17" s="1"/>
  <c r="D28" i="17"/>
  <c r="C28" i="17" s="1"/>
  <c r="H28" i="17" s="1"/>
  <c r="D15" i="17"/>
  <c r="C15" i="17" s="1"/>
  <c r="H15" i="17" s="1"/>
  <c r="D17" i="17"/>
  <c r="C17" i="17" s="1"/>
  <c r="H17" i="17" s="1"/>
  <c r="D19" i="17"/>
  <c r="C19" i="17" s="1"/>
  <c r="H19" i="17" s="1"/>
  <c r="D21" i="17"/>
  <c r="C21" i="17" s="1"/>
  <c r="H21" i="17" s="1"/>
  <c r="D23" i="17"/>
  <c r="C23" i="17" s="1"/>
  <c r="H23" i="17" s="1"/>
  <c r="D25" i="17"/>
  <c r="C25" i="17" s="1"/>
  <c r="H25" i="17" s="1"/>
  <c r="D27" i="17"/>
  <c r="C27" i="17" s="1"/>
  <c r="H27" i="17" s="1"/>
  <c r="I47" i="17"/>
  <c r="H46" i="17"/>
  <c r="D30" i="17"/>
  <c r="C30" i="17" s="1"/>
  <c r="H30" i="17" s="1"/>
  <c r="D32" i="17"/>
  <c r="C32" i="17" s="1"/>
  <c r="H32" i="17" s="1"/>
  <c r="D34" i="17"/>
  <c r="C34" i="17" s="1"/>
  <c r="H34" i="17" s="1"/>
  <c r="D36" i="17"/>
  <c r="C36" i="17" s="1"/>
  <c r="H36" i="17" s="1"/>
  <c r="D38" i="17"/>
  <c r="C38" i="17" s="1"/>
  <c r="H38" i="17" s="1"/>
  <c r="D40" i="17"/>
  <c r="C40" i="17" s="1"/>
  <c r="H40" i="17" s="1"/>
  <c r="D42" i="17"/>
  <c r="C42" i="17" s="1"/>
  <c r="H42" i="17" s="1"/>
  <c r="D44" i="17"/>
  <c r="C44" i="17" s="1"/>
  <c r="H44" i="17" s="1"/>
  <c r="D31" i="17"/>
  <c r="C31" i="17" s="1"/>
  <c r="H31" i="17" s="1"/>
  <c r="D33" i="17"/>
  <c r="C33" i="17" s="1"/>
  <c r="H33" i="17" s="1"/>
  <c r="D35" i="17"/>
  <c r="C35" i="17" s="1"/>
  <c r="H35" i="17" s="1"/>
  <c r="D37" i="17"/>
  <c r="C37" i="17" s="1"/>
  <c r="H37" i="17" s="1"/>
  <c r="D39" i="17"/>
  <c r="C39" i="17" s="1"/>
  <c r="H39" i="17" s="1"/>
  <c r="D41" i="17"/>
  <c r="C41" i="17" s="1"/>
  <c r="H41" i="17" s="1"/>
  <c r="D43" i="17"/>
  <c r="C43" i="17" s="1"/>
  <c r="H43" i="17" s="1"/>
  <c r="D45" i="17"/>
  <c r="C45" i="17" s="1"/>
  <c r="H45" i="17" s="1"/>
  <c r="H63" i="17"/>
  <c r="I59" i="17"/>
  <c r="I55" i="17"/>
  <c r="I51" i="17"/>
  <c r="I62" i="17"/>
  <c r="I58" i="17"/>
  <c r="I54" i="17"/>
  <c r="I50" i="17"/>
  <c r="I61" i="17"/>
  <c r="I57" i="17"/>
  <c r="I53" i="17"/>
  <c r="I49" i="17"/>
  <c r="I60" i="17"/>
  <c r="I56" i="17"/>
  <c r="I52" i="17"/>
  <c r="I48" i="17"/>
  <c r="AB267" i="19" l="1"/>
  <c r="AB270" i="19" s="1"/>
  <c r="AB273" i="19" s="1"/>
  <c r="AC270" i="19"/>
  <c r="B23" i="20"/>
  <c r="F23" i="20" s="1"/>
  <c r="C42" i="20" s="1"/>
  <c r="I25" i="17"/>
  <c r="B19" i="20"/>
  <c r="F19" i="20" s="1"/>
  <c r="C38" i="20" s="1"/>
  <c r="I21" i="17"/>
  <c r="I17" i="17"/>
  <c r="B15" i="20"/>
  <c r="F15" i="20" s="1"/>
  <c r="C34" i="20" s="1"/>
  <c r="B26" i="20"/>
  <c r="F26" i="20" s="1"/>
  <c r="C45" i="20" s="1"/>
  <c r="I28" i="17"/>
  <c r="B22" i="20"/>
  <c r="F22" i="20" s="1"/>
  <c r="C41" i="20" s="1"/>
  <c r="I24" i="17"/>
  <c r="B18" i="20"/>
  <c r="F18" i="20" s="1"/>
  <c r="C37" i="20" s="1"/>
  <c r="I20" i="17"/>
  <c r="B14" i="20"/>
  <c r="F14" i="20" s="1"/>
  <c r="C33" i="20" s="1"/>
  <c r="I16" i="17"/>
  <c r="I13" i="17"/>
  <c r="B11" i="20"/>
  <c r="H12" i="17"/>
  <c r="H29" i="17"/>
  <c r="I27" i="17"/>
  <c r="B25" i="20"/>
  <c r="F25" i="20" s="1"/>
  <c r="C44" i="20" s="1"/>
  <c r="I23" i="17"/>
  <c r="B21" i="20"/>
  <c r="F21" i="20" s="1"/>
  <c r="C40" i="20" s="1"/>
  <c r="B17" i="20"/>
  <c r="F17" i="20" s="1"/>
  <c r="C36" i="20" s="1"/>
  <c r="I19" i="17"/>
  <c r="I15" i="17"/>
  <c r="B13" i="20"/>
  <c r="F13" i="20" s="1"/>
  <c r="C32" i="20" s="1"/>
  <c r="B24" i="20"/>
  <c r="F24" i="20" s="1"/>
  <c r="C43" i="20" s="1"/>
  <c r="I26" i="17"/>
  <c r="B20" i="20"/>
  <c r="F20" i="20" s="1"/>
  <c r="C39" i="20" s="1"/>
  <c r="I22" i="17"/>
  <c r="B16" i="20"/>
  <c r="F16" i="20" s="1"/>
  <c r="C35" i="20" s="1"/>
  <c r="I18" i="17"/>
  <c r="B12" i="20"/>
  <c r="F12" i="20" s="1"/>
  <c r="C31" i="20" s="1"/>
  <c r="I14" i="17"/>
  <c r="H80" i="17" l="1"/>
  <c r="F11" i="20"/>
  <c r="B27" i="20"/>
  <c r="F27" i="20" l="1"/>
  <c r="C30" i="20"/>
  <c r="C46" i="20" s="1"/>
</calcChain>
</file>

<file path=xl/sharedStrings.xml><?xml version="1.0" encoding="utf-8"?>
<sst xmlns="http://schemas.openxmlformats.org/spreadsheetml/2006/main" count="1724" uniqueCount="520">
  <si>
    <t>Наименование ресурса</t>
  </si>
  <si>
    <t>Ед. изм.</t>
  </si>
  <si>
    <t>ИТОГО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</si>
  <si>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</si>
  <si>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</si>
  <si>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</si>
  <si>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</si>
  <si>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</si>
  <si>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Мед.осмотр</t>
  </si>
  <si>
    <t>Медицинский осмотр при трудоутройстве</t>
  </si>
  <si>
    <t>Услуги СЭС (дезинфекция при ротовирусе)</t>
  </si>
  <si>
    <t>Гигиеническая аттестация сотрудников</t>
  </si>
  <si>
    <t>Исследование воды (питьевая)</t>
  </si>
  <si>
    <t>Исследование песка</t>
  </si>
  <si>
    <t>Курсы по ПБ</t>
  </si>
  <si>
    <t>Обучение 44-ФЗ</t>
  </si>
  <si>
    <t>Обучение на курсах по охране труда</t>
  </si>
  <si>
    <t>Курсы (пожарно-технический минимум)</t>
  </si>
  <si>
    <t>Курсы  (тепловые энергоустановки и тс)</t>
  </si>
  <si>
    <t>Приобретение постельных принадлежностей</t>
  </si>
  <si>
    <t>шт.</t>
  </si>
  <si>
    <t>Приобретение матрасов</t>
  </si>
  <si>
    <t>2. Базовый норматив затрат на общехозяйственные нужды, в том числе:</t>
  </si>
  <si>
    <t>Приобретение подушек</t>
  </si>
  <si>
    <t>Одеяло детское</t>
  </si>
  <si>
    <t>2.1. Затраты на коммунальные услуги</t>
  </si>
  <si>
    <t>Кровать детская</t>
  </si>
  <si>
    <t>Стул офисный</t>
  </si>
  <si>
    <t>Стулья детские</t>
  </si>
  <si>
    <t>Шкаф для одежды,96*175*37</t>
  </si>
  <si>
    <t>Скамейка,125*40*25</t>
  </si>
  <si>
    <t>Стол письменный с ящиками на металлических опорах,90*60*75</t>
  </si>
  <si>
    <t>Стол детский прямоугольный регулируемый</t>
  </si>
  <si>
    <t>Стол детский квадратный регулируемый</t>
  </si>
  <si>
    <t>Стол компьютерный угловой</t>
  </si>
  <si>
    <t>Стол разделочный (пищеблок)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</si>
  <si>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</si>
  <si>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Стеллаж (пищеблок)</t>
  </si>
  <si>
    <t>Шкаф для доски и полотенец на металлических ножках,145*100*35</t>
  </si>
  <si>
    <t>Шкаф для сотрудников трехстворчатый</t>
  </si>
  <si>
    <t>Стол кухонный со столешницей</t>
  </si>
  <si>
    <t>Стол журнальный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</si>
  <si>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</si>
  <si>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Кухонный гарнитур со стойкой 100см</t>
  </si>
  <si>
    <t>2.4. Затраты на приобретение услуг связи</t>
  </si>
  <si>
    <t>Водонагреватель</t>
  </si>
  <si>
    <t>Кастрюля 3л</t>
  </si>
  <si>
    <t>Кастрюля 5л</t>
  </si>
  <si>
    <t>Кастрюля 11л</t>
  </si>
  <si>
    <t>2.5. Затраты на приобретение транспортных услуг</t>
  </si>
  <si>
    <t>Кастрюля 15л</t>
  </si>
  <si>
    <t>Доска разделочная деревянная</t>
  </si>
  <si>
    <t>Котел 20л</t>
  </si>
  <si>
    <t>Котел 30л</t>
  </si>
  <si>
    <t>Котел 40л</t>
  </si>
  <si>
    <t>Котел 34-37л</t>
  </si>
  <si>
    <t>Миска Д-260</t>
  </si>
  <si>
    <t>Миска Д-480</t>
  </si>
  <si>
    <t>Емкость для столовых приборов</t>
  </si>
  <si>
    <t>Тарелка глубокая</t>
  </si>
  <si>
    <t>Тарелка мелкая</t>
  </si>
  <si>
    <t>Салатник</t>
  </si>
  <si>
    <t>Кувшин для воды</t>
  </si>
  <si>
    <t>Таз 20 л</t>
  </si>
  <si>
    <t>Таз 30 л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</si>
  <si>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</si>
  <si>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 xml:space="preserve">Нож </t>
  </si>
  <si>
    <t>Поварской колпак</t>
  </si>
  <si>
    <t>Фартук для мытья посуды</t>
  </si>
  <si>
    <t>Рабочий фартук</t>
  </si>
  <si>
    <t>Фартук для кормления св.тонов</t>
  </si>
  <si>
    <t>Ложка гарнирная</t>
  </si>
  <si>
    <t>Ложка столовая</t>
  </si>
  <si>
    <t>Ложка чайная</t>
  </si>
  <si>
    <t>Вилка столовая</t>
  </si>
  <si>
    <t>Бокал с ручкой</t>
  </si>
  <si>
    <t>Блюдце</t>
  </si>
  <si>
    <t>Чайник 3л</t>
  </si>
  <si>
    <t>Веник</t>
  </si>
  <si>
    <t>Скребок для льда</t>
  </si>
  <si>
    <t>Грабли</t>
  </si>
  <si>
    <t>Тачка садовая</t>
  </si>
  <si>
    <t>2.7. Затраты на прочие общехозяйственные нужды на оказание муниципальной услуги</t>
  </si>
  <si>
    <t>Ерш унитазный</t>
  </si>
  <si>
    <t>Швабра деревянная в сборе</t>
  </si>
  <si>
    <t>Миска нерж (6 л)</t>
  </si>
  <si>
    <t>Миска нерж (600мл)</t>
  </si>
  <si>
    <t>Ведро эмалированное 12л с крышкой</t>
  </si>
  <si>
    <t>Ведро 10л</t>
  </si>
  <si>
    <t>Мыло хозяйственное 72%(200гр)</t>
  </si>
  <si>
    <t>Итого по муниципальной услуге</t>
  </si>
  <si>
    <t>Порошок стиральный автомат (о,4 кг)</t>
  </si>
  <si>
    <t>Кондиционер для белья</t>
  </si>
  <si>
    <t>Сода 400 гр.</t>
  </si>
  <si>
    <t>Чистящее средство (400гр)</t>
  </si>
  <si>
    <t>банка</t>
  </si>
  <si>
    <t>Мыло детское 90 гр.</t>
  </si>
  <si>
    <t>Мыло жидкое(300мл)</t>
  </si>
  <si>
    <t>Мыло жидкое(500 мл)</t>
  </si>
  <si>
    <t>Мыло жидкое(1000мл)</t>
  </si>
  <si>
    <t>Средство для мытья посуды(500мл)</t>
  </si>
  <si>
    <t>Средство для обработки яиц</t>
  </si>
  <si>
    <t xml:space="preserve">Чистящее средство для окон </t>
  </si>
  <si>
    <t>Тест-полоска Оптимакс 50 шт</t>
  </si>
  <si>
    <t>Дезсредство Оптимакс (1л)</t>
  </si>
  <si>
    <t>Отбеливатель Белизна 0,9 л</t>
  </si>
  <si>
    <t>Салфетки бумажные</t>
  </si>
  <si>
    <t>уп.</t>
  </si>
  <si>
    <t>Салфетка микрофибра</t>
  </si>
  <si>
    <t>Салфетка для пола х/б</t>
  </si>
  <si>
    <t>Мешки для мусора</t>
  </si>
  <si>
    <t>рул.</t>
  </si>
  <si>
    <t xml:space="preserve">Пылесос </t>
  </si>
  <si>
    <t>Электроплита четырехконфорочная</t>
  </si>
  <si>
    <t>Электромясорубка</t>
  </si>
  <si>
    <t>Холодильник</t>
  </si>
  <si>
    <t>Лазерный МФУ</t>
  </si>
  <si>
    <t>Ноутбук</t>
  </si>
  <si>
    <t>Системный блок</t>
  </si>
  <si>
    <t>Папка-регистратор</t>
  </si>
  <si>
    <t>Папка скоросшиватель Дело</t>
  </si>
  <si>
    <t>Накопитель архивный</t>
  </si>
  <si>
    <t>Бумага А4</t>
  </si>
  <si>
    <t>Файлы А4</t>
  </si>
  <si>
    <t>Карандаши ч/гр.</t>
  </si>
  <si>
    <t>Закладки самоклеящ.</t>
  </si>
  <si>
    <t>Линейка</t>
  </si>
  <si>
    <t xml:space="preserve">Ножницы </t>
  </si>
  <si>
    <t>Ластик</t>
  </si>
  <si>
    <t>Ручка</t>
  </si>
  <si>
    <t>Скобы для степлера</t>
  </si>
  <si>
    <t>Скоросшиватель</t>
  </si>
  <si>
    <t>Скрепки</t>
  </si>
  <si>
    <t>Степлер</t>
  </si>
  <si>
    <t>Тетрадь</t>
  </si>
  <si>
    <t>Точилка</t>
  </si>
  <si>
    <t>Корректор</t>
  </si>
  <si>
    <t>Зажимы для бумаги больш.</t>
  </si>
  <si>
    <t>Зажимы для бумаги мал.</t>
  </si>
  <si>
    <t>Перчатки хозяйственные</t>
  </si>
  <si>
    <t>пар.</t>
  </si>
  <si>
    <t>Журнал: Дошкольная педагогика</t>
  </si>
  <si>
    <t>Журнал: Дошкольное воспитание</t>
  </si>
  <si>
    <t>Журнал: Инструктор по физкультуре</t>
  </si>
  <si>
    <t>Журнал: Медработник ДОУ</t>
  </si>
  <si>
    <t>Журнал: Детский сад будущего-галерея творческих проекто</t>
  </si>
  <si>
    <t>Приложение к журналу: Дошкольная педагогика</t>
  </si>
  <si>
    <t>Управление дошкольным образовательным учреждением с приложением</t>
  </si>
  <si>
    <t>Справочник музыкального работника</t>
  </si>
  <si>
    <t>Справочник: Педагога-психолога</t>
  </si>
  <si>
    <t>Справочник руководителя дошкольного учреждения</t>
  </si>
  <si>
    <t>Справочник старшего воспитателя дошкольного учреждения</t>
  </si>
  <si>
    <t>Журнал: Воспитатель дошкольного образовательного учреждения</t>
  </si>
  <si>
    <t>Анальгин</t>
  </si>
  <si>
    <t>Парацетамол</t>
  </si>
  <si>
    <t>Активированный уголь</t>
  </si>
  <si>
    <t>Аскорбиновая кислота</t>
  </si>
  <si>
    <t>Аскорбиновая кислота (драже)</t>
  </si>
  <si>
    <t>Аммиак</t>
  </si>
  <si>
    <t>Пантенол спрей</t>
  </si>
  <si>
    <t>Ингалипт аэрозоль</t>
  </si>
  <si>
    <t>Фурацилин</t>
  </si>
  <si>
    <t>Витамин "С"</t>
  </si>
  <si>
    <t>Ревит</t>
  </si>
  <si>
    <t>Нафтизин</t>
  </si>
  <si>
    <t>Ксилен</t>
  </si>
  <si>
    <t>Риностоп</t>
  </si>
  <si>
    <t>Тавегин</t>
  </si>
  <si>
    <t>Сульфацил-натрия</t>
  </si>
  <si>
    <t>Валосердин</t>
  </si>
  <si>
    <t>Нурофен</t>
  </si>
  <si>
    <t>Дротаверин</t>
  </si>
  <si>
    <t>Диазолин</t>
  </si>
  <si>
    <t>Тетрациклиновая глазная мазь</t>
  </si>
  <si>
    <t>Оксолиновая мазь</t>
  </si>
  <si>
    <t>Цитрамон</t>
  </si>
  <si>
    <t>Напальчник</t>
  </si>
  <si>
    <t>Л/П бактериц.</t>
  </si>
  <si>
    <t>Вата</t>
  </si>
  <si>
    <t>Лейкопластырь</t>
  </si>
  <si>
    <t>Бинт</t>
  </si>
  <si>
    <t xml:space="preserve">Шпатель </t>
  </si>
  <si>
    <t>Перекись водорода</t>
  </si>
  <si>
    <t>флакон</t>
  </si>
  <si>
    <t>Бриллиантовый зеленый</t>
  </si>
  <si>
    <t>Клей БФ</t>
  </si>
  <si>
    <t>Уголь активированный</t>
  </si>
  <si>
    <t>Нитроглицерин</t>
  </si>
  <si>
    <t>Настойка пустырника</t>
  </si>
  <si>
    <t>Валерианы эк-т</t>
  </si>
  <si>
    <t>Салициловый к-ты спирт</t>
  </si>
  <si>
    <t>Адреналина г/х</t>
  </si>
  <si>
    <t>Йод спиртовой 5%</t>
  </si>
  <si>
    <t>Наволочки</t>
  </si>
  <si>
    <t>Простыни</t>
  </si>
  <si>
    <t>Пододеяльники</t>
  </si>
  <si>
    <t>Полотенце вафельное</t>
  </si>
  <si>
    <t>Спецодежда</t>
  </si>
  <si>
    <t>Дератизация</t>
  </si>
  <si>
    <t>м2</t>
  </si>
  <si>
    <t>Дезинсекция</t>
  </si>
  <si>
    <t>Дезинфекция</t>
  </si>
  <si>
    <t>Камерная обработка</t>
  </si>
  <si>
    <t>ТО КТС</t>
  </si>
  <si>
    <t>Охрана КТС</t>
  </si>
  <si>
    <t>Пожарная охрана</t>
  </si>
  <si>
    <t>усл</t>
  </si>
  <si>
    <t>ТО автоматизированного теплового пункта</t>
  </si>
  <si>
    <t>ТО приборов учета тепловой энергии</t>
  </si>
  <si>
    <t>Проверка качества огнезащитной пропитки</t>
  </si>
  <si>
    <t>Испытание пожарного рукава</t>
  </si>
  <si>
    <t>Испытание пожарного крана</t>
  </si>
  <si>
    <t>Перемотка рукава на другое ребро</t>
  </si>
  <si>
    <t>Огнетушители</t>
  </si>
  <si>
    <t>Метрологическая аттестация узлов учета</t>
  </si>
  <si>
    <t>Вывоз ТБО</t>
  </si>
  <si>
    <t>м3</t>
  </si>
  <si>
    <t>ТО пожарной сигнализации</t>
  </si>
  <si>
    <t>Проверка пожарных кранов</t>
  </si>
  <si>
    <t>Обработка чердачных перекрытий</t>
  </si>
  <si>
    <t>Поверка и ТО весы настольные циферблатные</t>
  </si>
  <si>
    <t>Поверка и ТО весы электронные торговые</t>
  </si>
  <si>
    <t>Поверка и ТО весы медицинские</t>
  </si>
  <si>
    <t>Поверка и ТО весы напольные медицинские электронные ВМЭН 150</t>
  </si>
  <si>
    <t>Поверка и ТО весы электронные длястатистического взвешивания</t>
  </si>
  <si>
    <t>Поверка и ТО весы механические для статистического взвешивания</t>
  </si>
  <si>
    <t>Поверка и ТО гири общего назначения</t>
  </si>
  <si>
    <t>Поверка динамометры медицинские кистевые механические</t>
  </si>
  <si>
    <t>Огнезащитная обработка веранд</t>
  </si>
  <si>
    <t>Прочистка канализации</t>
  </si>
  <si>
    <t>Ремонт МФУ</t>
  </si>
  <si>
    <t>Ткань на половые тряпки</t>
  </si>
  <si>
    <t>м</t>
  </si>
  <si>
    <t>Рукавицы ватные</t>
  </si>
  <si>
    <t>Перчатки обливные</t>
  </si>
  <si>
    <t>Ведро пластик</t>
  </si>
  <si>
    <t>Лопата</t>
  </si>
  <si>
    <t>Метла</t>
  </si>
  <si>
    <t>Движок для снега</t>
  </si>
  <si>
    <t>Ростелеком внутризоновая связь</t>
  </si>
  <si>
    <t>Ростелеком интернет</t>
  </si>
  <si>
    <t>Хостинг сайта</t>
  </si>
  <si>
    <t>Теплоэнергия (город)</t>
  </si>
  <si>
    <t>Гкал</t>
  </si>
  <si>
    <t>Теплоэнергия в горячей воде</t>
  </si>
  <si>
    <t>Теплоноситель</t>
  </si>
  <si>
    <t>Электроэнергия</t>
  </si>
  <si>
    <t>Квт*ч</t>
  </si>
  <si>
    <t>Холодное водоснабжение</t>
  </si>
  <si>
    <t>Водоотведение</t>
  </si>
  <si>
    <t>Сбросы загрязнений</t>
  </si>
  <si>
    <t>Подписка</t>
  </si>
  <si>
    <t>Ковш нержавейка</t>
  </si>
  <si>
    <t>Замеры сопротивления изоляции</t>
  </si>
  <si>
    <t>усл. ед.</t>
  </si>
  <si>
    <t>Значение натуральной нормы</t>
  </si>
  <si>
    <t>Примечание</t>
  </si>
  <si>
    <t>Срок использования ресурса (год)</t>
  </si>
  <si>
    <t>Цена единицы ресурса, руб.</t>
  </si>
  <si>
    <t>Нормативные затраты, руб.</t>
  </si>
  <si>
    <t>1 ед. в год (с учетом сменности)</t>
  </si>
  <si>
    <t>1 ед. раз в 5 лет</t>
  </si>
  <si>
    <t>Мебель детская</t>
  </si>
  <si>
    <t>По данным ДОУ 18</t>
  </si>
  <si>
    <t>По данным ДОУ 1</t>
  </si>
  <si>
    <t>Шкаф для книг</t>
  </si>
  <si>
    <t>По данным ДОУ 16 (2 ед / 216 дет.)</t>
  </si>
  <si>
    <t>По данным ДОУ 16 (6 ед / 216 дет.)</t>
  </si>
  <si>
    <t>По данным ДОУ 18 (15 ед / 117 дет.)</t>
  </si>
  <si>
    <t>По данным ДОУ 1 (2 ед / 119 дет.)</t>
  </si>
  <si>
    <t>По данным ДОУ 16 (10 ед / 216 дет.)</t>
  </si>
  <si>
    <t>По данным ДОУ 21 (12 ед / 122 дет.)</t>
  </si>
  <si>
    <t>По данным ДОУ 21 (6 ед / 122 дет.)</t>
  </si>
  <si>
    <t>По данным ДОУ 21 (1 ед / 122 дет.)</t>
  </si>
  <si>
    <t>По данным ДОУ 1 (1 ед / 119 дет.)</t>
  </si>
  <si>
    <t>Шкаф для документов</t>
  </si>
  <si>
    <t>По данным ДОУ 18 (1 ед / 117 дет.)</t>
  </si>
  <si>
    <t>Посуда</t>
  </si>
  <si>
    <t>Бокал 180 мл</t>
  </si>
  <si>
    <t>По данным ДОУ 18 (9 ед / 117 дет.)</t>
  </si>
  <si>
    <t>По данным ДОУ 18 (8 ед / 117 дет.)</t>
  </si>
  <si>
    <t>По данным ДОУ 18 (6 ед / 117 дет.)</t>
  </si>
  <si>
    <t>По данным ДОУ 18 (5 ед / 117 дет.)</t>
  </si>
  <si>
    <t>По данным ДОУ 1 (3 ед / 119 дет.)</t>
  </si>
  <si>
    <t>По данным ДОУ 41 (5 ед / 100 дет.)</t>
  </si>
  <si>
    <t>По данным ДОУ 14 (4 ед / 90 дет.)</t>
  </si>
  <si>
    <t>Половник 500 мл</t>
  </si>
  <si>
    <t>По данным ДОУ 13 (1 ед / 104 дет.)</t>
  </si>
  <si>
    <t>По данным ДОУ 18 (2 ед / 117 дет.)</t>
  </si>
  <si>
    <t>По данным ДОУ 18 (50 ед / 117 дет.)</t>
  </si>
  <si>
    <t>По данным ДОУ 18 (100 ед / 117 дет.)</t>
  </si>
  <si>
    <t>По данным ДОУ 18 (18 ед / 117 дет.)</t>
  </si>
  <si>
    <t>По данным ДОУ 1 (30 ед / 119 дет.)</t>
  </si>
  <si>
    <t>По данным ДОУ 18 (20 ед / 117 дет.)</t>
  </si>
  <si>
    <t>По данным ДОУ 16 (20 ед / 216 дет.)</t>
  </si>
  <si>
    <t>Оборудование (бытовая техника, медицинское оборудование)</t>
  </si>
  <si>
    <t>По данным ДОУ 1 (6 ед / 119 дет.)</t>
  </si>
  <si>
    <t>По данным ДОУ 14 (1 ед / 90 дет.)</t>
  </si>
  <si>
    <t>По данным ДОУ 18 (4 ед / 117 дет.)</t>
  </si>
  <si>
    <t>По данным ДОУ 18 (7 ед / 117 дет.)</t>
  </si>
  <si>
    <t>По данным ДОУ 18 (10 ед / 117 дет.)</t>
  </si>
  <si>
    <t>Услуги сторонних организаций</t>
  </si>
  <si>
    <t>Канцелярские товары</t>
  </si>
  <si>
    <t>Медикаменты</t>
  </si>
  <si>
    <t>Чистящие, моющие, дезинфицирующие средства</t>
  </si>
  <si>
    <t>Средства личной гигиены</t>
  </si>
  <si>
    <t>По данным ДОУ 5 (1 ед / 96 дет.)</t>
  </si>
  <si>
    <t>По данным ДОУ 18 (34 ед / 117 дет.)</t>
  </si>
  <si>
    <t>По данным ДОУ 18 (12 ед / 117 дет.)</t>
  </si>
  <si>
    <t>По данным ДОУ 14 (2 ед / 90 дет.)</t>
  </si>
  <si>
    <t>усл.ед.</t>
  </si>
  <si>
    <t>По данным ДОУ 4 (1 ед / 212 дет.)</t>
  </si>
  <si>
    <t>Журнал: Детский сад. Теория</t>
  </si>
  <si>
    <t>По данным ДОУ 4 (40 ед / 212 дет.)</t>
  </si>
  <si>
    <t>По данным ДОУ 4 (90 ед / 212 дет.)</t>
  </si>
  <si>
    <t>По данным ДОУ 4 (1000 ед / 212 дет.)</t>
  </si>
  <si>
    <t>По данным ДОУ 13 (10 ед / 104 дет.)</t>
  </si>
  <si>
    <t>По данным ДОУ 13 (20 ед / 104 дет.)</t>
  </si>
  <si>
    <t>По данным ДОУ 13 (30 ед / 104 дет.)</t>
  </si>
  <si>
    <t>По данным ДОУ 13 (50 ед / 104 дет.)</t>
  </si>
  <si>
    <t>По данным ДОУ 13 (6 ед / 104 дет.)</t>
  </si>
  <si>
    <t>По данным ДОУ 13 (5 ед / 104 дет.)</t>
  </si>
  <si>
    <t>По данным ДОУ 13 (12 ед / 104 дет.)</t>
  </si>
  <si>
    <t>По данным ДОУ 5 (5 ед / 96 дет.)</t>
  </si>
  <si>
    <t>По данным ДОУ 57 (6 ед / 70 дет.)</t>
  </si>
  <si>
    <t>По данным ДОУ 18 (200 ед / 117 дет.)</t>
  </si>
  <si>
    <t>По данным ДОУ 57 (20 ед / 70 дет.)</t>
  </si>
  <si>
    <t>По данным ДОУ 18 (400 ед / 117 дет.)</t>
  </si>
  <si>
    <t>По данным ДОУ 1 (10 ед / 119 дет.)</t>
  </si>
  <si>
    <t>По данным ДОУ 1 (7 ед / 119 дет.)</t>
  </si>
  <si>
    <t>По данным ДОУ 1 (40 ед / 119 дет.)</t>
  </si>
  <si>
    <t>По данным ДОУ 18 (300 ед / 117 дет.)</t>
  </si>
  <si>
    <t>Прочие хозяйственные товары</t>
  </si>
  <si>
    <t>Компьютерное оборудование</t>
  </si>
  <si>
    <t>По данным ДОУ 10 (50 ед / 81 дет.)</t>
  </si>
  <si>
    <t>По данным ДОУ 10 (60 ед / 81 дет.)</t>
  </si>
  <si>
    <t>По данным ДОУ 15 (1 ед / 117 дет.)</t>
  </si>
  <si>
    <t>Охрана при помощи ОС</t>
  </si>
  <si>
    <t>Приобретение продуктов питания</t>
  </si>
  <si>
    <t>Продукты питания, согласно СанПиН 2.4.1.3049-13.</t>
  </si>
  <si>
    <t>Кол-во рабочих дней(247 дней) * процент посещаемости (8/12)</t>
  </si>
  <si>
    <t>По данным ДОУ 16 (675,73 ед / 216,7 дет.)</t>
  </si>
  <si>
    <t>По данным ДОУ 16 (37,3 ед / 216,7 дет.)</t>
  </si>
  <si>
    <t>По данным ДОУ 16 (565,3 ед / 216,7 дет.)</t>
  </si>
  <si>
    <t>По данным ДОУ 16 (54760 ед / 216,7 дет.)</t>
  </si>
  <si>
    <t>По данным ДОУ 16 (2389 ед / 216,7 дет.)</t>
  </si>
  <si>
    <t>По данным ДОУ 16 (2719 ед / 216,7 дет.)</t>
  </si>
  <si>
    <t>По данным ДОУ 16 (1698 ед / 216,7 дет.)</t>
  </si>
  <si>
    <t>По данным ДОУ 16 (усл. ед / 216,7 дет.)</t>
  </si>
  <si>
    <t>По данным ДОУ 16 (усл. Ед. / 216,7 дет.)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</si>
  <si>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</si>
  <si>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</si>
  <si>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</si>
  <si>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</si>
  <si>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</si>
  <si>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</si>
  <si>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</si>
  <si>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</si>
  <si>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</si>
  <si>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</si>
  <si>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</si>
  <si>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</si>
  <si>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</si>
  <si>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</si>
  <si>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</si>
  <si>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</si>
  <si>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</si>
  <si>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</si>
  <si>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</si>
  <si>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</si>
  <si>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</si>
  <si>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</si>
  <si>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</si>
  <si>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</si>
  <si>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</si>
  <si>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</si>
  <si>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</si>
  <si>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</si>
  <si>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</si>
  <si>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</si>
  <si>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</si>
  <si>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</si>
  <si>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</si>
  <si>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</si>
  <si>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</si>
  <si>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</si>
  <si>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</si>
  <si>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</si>
  <si>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</si>
  <si>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</si>
  <si>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</si>
  <si>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</si>
  <si>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</si>
  <si>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</si>
  <si>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</si>
  <si>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</si>
  <si>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</si>
  <si>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</si>
  <si>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</si>
  <si>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</si>
  <si>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</si>
  <si>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</si>
  <si>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</si>
  <si>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</si>
  <si>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</si>
  <si>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</si>
  <si>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</si>
  <si>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</si>
  <si>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</si>
  <si>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</si>
  <si>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</si>
  <si>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</si>
  <si>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</si>
  <si>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</si>
  <si>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</si>
  <si>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Реализация основных общеобразовательных программ дошкольного образования</t>
  </si>
  <si>
    <t>Приложение № 8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</si>
  <si>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</si>
  <si>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</si>
  <si>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</si>
  <si>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</si>
  <si>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</si>
  <si>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</si>
  <si>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</si>
  <si>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</si>
  <si>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</si>
  <si>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</si>
  <si>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</si>
  <si>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Присмотр и уход</t>
  </si>
  <si>
    <r>
      <t xml:space="preserve">Наименование муниципальной услуги: </t>
    </r>
    <r>
      <rPr>
        <b/>
        <sz val="10"/>
        <color indexed="8"/>
        <rFont val="Times New Roman"/>
        <family val="1"/>
        <charset val="204"/>
      </rPr>
      <t>Реализация основных общеобразовательных программ дошкольного образования</t>
    </r>
  </si>
  <si>
    <r>
      <t xml:space="preserve">Наименование муниципальной услуги: </t>
    </r>
    <r>
      <rPr>
        <b/>
        <sz val="10"/>
        <color indexed="8"/>
        <rFont val="Times New Roman"/>
        <family val="1"/>
        <charset val="204"/>
      </rPr>
      <t>Присмотр и уход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</si>
  <si>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11785004300300009002100; 11785004300500009007100</t>
    </r>
  </si>
  <si>
    <t>Краткое обозначение</t>
  </si>
  <si>
    <t>Наименование формы расчета</t>
  </si>
  <si>
    <t>1.1.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</si>
  <si>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</si>
  <si>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</si>
  <si>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</si>
  <si>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</si>
  <si>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</si>
  <si>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1.2.</t>
  </si>
  <si>
    <t>Реализация основных общеобразовательных программ дошкольного образования (дети-инвалиды, обучающиеся с ограниченными возможностями)</t>
  </si>
  <si>
    <t>2.1.</t>
  </si>
  <si>
    <t>2.2.</t>
  </si>
  <si>
    <t>Присмотр и уход (дети-инвалиды)</t>
  </si>
  <si>
    <t>3.1.</t>
  </si>
  <si>
    <t>3.2.</t>
  </si>
  <si>
    <t>4.1.</t>
  </si>
  <si>
    <t>4.2.</t>
  </si>
  <si>
    <t>11785004300300009002100;
11785004300500009007100</t>
  </si>
  <si>
    <t>11785000500300009008100;
11785000500500009003100</t>
  </si>
  <si>
    <t>МБДОУ № 1 г. Кировска</t>
  </si>
  <si>
    <t>МБДОУ № 4 г. Кировска</t>
  </si>
  <si>
    <t>МБДОУ № 5 г. Кировска</t>
  </si>
  <si>
    <t>МБДОУ «Детский сад № 12»</t>
  </si>
  <si>
    <t>МБДОУ «Детский сад № 10»</t>
  </si>
  <si>
    <t>МБДОУ №13 г. Кировска</t>
  </si>
  <si>
    <t>МБДОУ «Детский сад № 14»</t>
  </si>
  <si>
    <t>МБДОУ № 15 г. Кировска</t>
  </si>
  <si>
    <t>МАДОУ № 16 г. Кировска</t>
  </si>
  <si>
    <t>МБДОУ № 18 г. Кировска</t>
  </si>
  <si>
    <t>МБДОУ № 21 г. Кировска</t>
  </si>
  <si>
    <t>МБДОУ № 30 г. Кировска</t>
  </si>
  <si>
    <t>МБДОУ «Детский сад № 36»</t>
  </si>
  <si>
    <t>МБДОУ «Детский сад № 41»</t>
  </si>
  <si>
    <t>МБДОУ «Детский сад № 54»</t>
  </si>
  <si>
    <t>МБДОУ № 57  г. Кировска</t>
  </si>
  <si>
    <t>Присмотр и уход (11785004300300009002100;
11785004300500009007100)</t>
  </si>
  <si>
    <t>Услуга</t>
  </si>
  <si>
    <t>Родительская плата</t>
  </si>
  <si>
    <t>По данным ДОУ 16 (726 ед / 117 дет.)</t>
  </si>
  <si>
    <t>По данным ДОУ 16 (усл ед / 216,7 дет.)</t>
  </si>
  <si>
    <t>Результаты расчетов базовых нормативных затрат на оказание муниципальных услуг</t>
  </si>
  <si>
    <t>5.</t>
  </si>
  <si>
    <t>Результаты расчетов объемов нормативных затрат на оказание муниципальных услуг</t>
  </si>
  <si>
    <t>6.</t>
  </si>
  <si>
    <t>Результаты расчетов финансового обеспечения выполнения муниципального задания</t>
  </si>
  <si>
    <t>7.</t>
  </si>
  <si>
    <t>8.</t>
  </si>
  <si>
    <t>МБДОУ № 13 г. Кировска</t>
  </si>
  <si>
    <t>шт.ед.</t>
  </si>
  <si>
    <t>Средний медицинский персонал</t>
  </si>
  <si>
    <t xml:space="preserve">Учебно-вспомогательный </t>
  </si>
  <si>
    <t>Сравнительный анализ прочих расходов</t>
  </si>
  <si>
    <t>Согласовано начальником финансово-экономического управления администрации города Кировска</t>
  </si>
  <si>
    <t>Коммерческие предложения</t>
  </si>
  <si>
    <t>Порядковый номер</t>
  </si>
  <si>
    <t>Журнал: Логопед</t>
  </si>
  <si>
    <t>Туалетная бумага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</si>
  <si>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11785000500300009008100; 11785000500500009003100</t>
    </r>
  </si>
  <si>
    <t>423.01</t>
  </si>
  <si>
    <t>Административно-управленческий персонал</t>
  </si>
  <si>
    <t>Обслуживающий персонал</t>
  </si>
  <si>
    <t>компл.</t>
  </si>
  <si>
    <t>кг.</t>
  </si>
  <si>
    <t>Педагогический персонал (соц. поддержка)</t>
  </si>
  <si>
    <t xml:space="preserve">Административно-управленческий </t>
  </si>
  <si>
    <t xml:space="preserve">Обслуживающий </t>
  </si>
  <si>
    <t>Заработная плата</t>
  </si>
  <si>
    <t>Продукты питания</t>
  </si>
  <si>
    <t>Налоги за негативное воздействие</t>
  </si>
  <si>
    <t>Коммунальные расходы</t>
  </si>
  <si>
    <t>Расходы к распределению</t>
  </si>
  <si>
    <t>Внебюджет</t>
  </si>
  <si>
    <t>11д45000301000201066100;
11д45000301000301065100</t>
  </si>
  <si>
    <t>11д45000100500301067100;
11д45000100400301060100;
11д45000100500201068100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</si>
  <si>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11д45000301000201066100; 11д45000301000301065100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</si>
  <si>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11д45000100500301067100; 11д45000100400301060100; 11д45000100500201068100</t>
    </r>
  </si>
  <si>
    <t>Реализация основных общеобразовательных программ дошкольного образования (11д45000301000201066100;
11д45000301000301065100)</t>
  </si>
  <si>
    <t>Реализация основных общеобразовательных программ дошкольного образования (11д45000100500301067100;
11д45000100400301060100;
11д45000100500201068100)</t>
  </si>
  <si>
    <t>Присмотр и уход (11785000500300009008100;
11785000500500009003100)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</si>
  <si>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</si>
  <si>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</si>
  <si>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плановый период 2018-2019 г.г.</t>
  </si>
  <si>
    <t>МУНИЦИПАЛЬНОГО ЗАДАНИЯ НА ПЛАНОВЫЙ ПЕРИОД 2018-2019 Г.Г.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</si>
  <si>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</si>
  <si>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17</t>
  </si>
  <si>
    <t xml:space="preserve">к приказу комитета образования, культуры и спорта                                                                от 22.12.2016 №  529 а
</t>
  </si>
  <si>
    <t>Приложение № 36</t>
  </si>
  <si>
    <t>Приложение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</si>
</sst>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1"/>
      <color rgb="FF000000"/>
      <name val="Calibri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9" fillId="0" borderId="0"/>
    <xf numFmtId="0" fontId="20" fillId="0" borderId="0"/>
  </cellStyleXfs>
  <cellXfs count="192">
    <xf numFmtId="0" fontId="0" fillId="0" borderId="0" xfId="0" applyFont="1" applyAlignment="1"/>
    <xf numFmtId="0" fontId="9" fillId="0" borderId="0" xfId="1" applyFont="1"/>
    <xf numFmtId="0" fontId="9" fillId="0" borderId="0" xfId="1" applyFont="1" applyAlignment="1">
      <alignment horizontal="justify" vertical="center"/>
    </xf>
    <xf numFmtId="0" fontId="19" fillId="0" borderId="0" xfId="1" applyAlignment="1">
      <alignment horizontal="right" vertical="center"/>
    </xf>
    <xf numFmtId="0" fontId="19" fillId="0" borderId="0" xfId="1"/>
    <xf numFmtId="0" fontId="19" fillId="0" borderId="0" xfId="1" applyAlignment="1">
      <alignment horizontal="justify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11" fillId="0" borderId="0" xfId="1" applyFont="1" applyAlignment="1">
      <alignment horizontal="justify" vertical="center"/>
    </xf>
    <xf numFmtId="0" fontId="9" fillId="0" borderId="0" xfId="1" applyFont="1" applyAlignment="1">
      <alignment horizontal="right" vertical="center"/>
    </xf>
    <xf numFmtId="0" fontId="14" fillId="0" borderId="0" xfId="1" applyFont="1" applyAlignment="1">
      <alignment horizontal="justify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2" xfId="1" applyFont="1" applyBorder="1" applyAlignment="1">
      <alignment vertical="top" wrapText="1"/>
    </xf>
    <xf numFmtId="0" fontId="11" fillId="0" borderId="0" xfId="1" applyFont="1"/>
    <xf numFmtId="0" fontId="11" fillId="0" borderId="0" xfId="1" applyFont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vertical="center" wrapText="1"/>
    </xf>
    <xf numFmtId="0" fontId="8" fillId="0" borderId="0" xfId="1" applyFont="1"/>
    <xf numFmtId="164" fontId="11" fillId="0" borderId="2" xfId="1" applyNumberFormat="1" applyFont="1" applyBorder="1" applyAlignment="1">
      <alignment horizontal="center" vertical="top" wrapText="1"/>
    </xf>
    <xf numFmtId="0" fontId="9" fillId="0" borderId="4" xfId="1" applyFont="1" applyBorder="1"/>
    <xf numFmtId="0" fontId="12" fillId="0" borderId="0" xfId="1" applyFont="1" applyAlignment="1">
      <alignment horizontal="center" vertical="top"/>
    </xf>
    <xf numFmtId="4" fontId="11" fillId="0" borderId="2" xfId="1" applyNumberFormat="1" applyFont="1" applyBorder="1" applyAlignment="1">
      <alignment horizontal="center" vertical="top" wrapText="1"/>
    </xf>
    <xf numFmtId="4" fontId="16" fillId="0" borderId="2" xfId="1" applyNumberFormat="1" applyFont="1" applyBorder="1" applyAlignment="1">
      <alignment horizontal="center" vertical="top" wrapText="1"/>
    </xf>
    <xf numFmtId="0" fontId="11" fillId="0" borderId="0" xfId="1" applyFont="1" applyFill="1"/>
    <xf numFmtId="0" fontId="9" fillId="0" borderId="2" xfId="1" applyFont="1" applyBorder="1" applyAlignment="1">
      <alignment horizontal="left" vertical="top" wrapText="1"/>
    </xf>
    <xf numFmtId="4" fontId="9" fillId="0" borderId="2" xfId="1" applyNumberFormat="1" applyFont="1" applyBorder="1" applyAlignment="1">
      <alignment vertical="top" wrapText="1"/>
    </xf>
    <xf numFmtId="4" fontId="9" fillId="0" borderId="2" xfId="1" applyNumberFormat="1" applyFont="1" applyBorder="1" applyAlignment="1">
      <alignment horizontal="right" vertical="top" wrapText="1"/>
    </xf>
    <xf numFmtId="4" fontId="9" fillId="0" borderId="2" xfId="1" applyNumberFormat="1" applyFont="1" applyBorder="1" applyAlignment="1">
      <alignment vertical="center" wrapText="1"/>
    </xf>
    <xf numFmtId="0" fontId="10" fillId="0" borderId="2" xfId="1" applyFont="1" applyBorder="1" applyAlignment="1">
      <alignment horizontal="center" vertical="top" wrapText="1"/>
    </xf>
    <xf numFmtId="4" fontId="10" fillId="0" borderId="2" xfId="1" applyNumberFormat="1" applyFont="1" applyBorder="1" applyAlignment="1">
      <alignment horizontal="right" vertical="top" wrapText="1"/>
    </xf>
    <xf numFmtId="0" fontId="10" fillId="0" borderId="2" xfId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right" wrapText="1"/>
    </xf>
    <xf numFmtId="0" fontId="19" fillId="0" borderId="0" xfId="1" applyBorder="1"/>
    <xf numFmtId="0" fontId="11" fillId="0" borderId="0" xfId="1" applyFont="1" applyAlignment="1">
      <alignment vertical="top"/>
    </xf>
    <xf numFmtId="4" fontId="1" fillId="0" borderId="0" xfId="1" applyNumberFormat="1" applyFont="1" applyAlignment="1">
      <alignment horizontal="center" vertical="top"/>
    </xf>
    <xf numFmtId="4" fontId="8" fillId="0" borderId="0" xfId="1" applyNumberFormat="1" applyFont="1" applyAlignment="1">
      <alignment horizontal="right" vertical="top"/>
    </xf>
    <xf numFmtId="0" fontId="8" fillId="0" borderId="0" xfId="1" applyFont="1" applyAlignment="1">
      <alignment horizontal="right" vertical="top"/>
    </xf>
    <xf numFmtId="0" fontId="19" fillId="0" borderId="0" xfId="1" applyAlignment="1">
      <alignment horizontal="right" vertical="top"/>
    </xf>
    <xf numFmtId="4" fontId="19" fillId="0" borderId="0" xfId="1" applyNumberFormat="1" applyAlignment="1">
      <alignment horizontal="right" vertical="top"/>
    </xf>
    <xf numFmtId="4" fontId="1" fillId="0" borderId="0" xfId="1" applyNumberFormat="1" applyFont="1" applyAlignment="1">
      <alignment horizontal="right" vertical="top"/>
    </xf>
    <xf numFmtId="164" fontId="19" fillId="0" borderId="0" xfId="1" applyNumberFormat="1" applyAlignment="1">
      <alignment horizontal="right" vertical="top"/>
    </xf>
    <xf numFmtId="4" fontId="19" fillId="0" borderId="0" xfId="1" applyNumberFormat="1" applyBorder="1" applyAlignment="1">
      <alignment horizontal="right" vertical="top"/>
    </xf>
    <xf numFmtId="0" fontId="9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vertical="top" wrapText="1"/>
    </xf>
    <xf numFmtId="4" fontId="10" fillId="0" borderId="2" xfId="1" applyNumberFormat="1" applyFont="1" applyFill="1" applyBorder="1" applyAlignment="1">
      <alignment vertical="top" wrapText="1"/>
    </xf>
    <xf numFmtId="0" fontId="9" fillId="0" borderId="2" xfId="1" applyFont="1" applyFill="1" applyBorder="1" applyAlignment="1">
      <alignment vertical="top" wrapText="1"/>
    </xf>
    <xf numFmtId="4" fontId="9" fillId="0" borderId="2" xfId="1" applyNumberFormat="1" applyFont="1" applyFill="1" applyBorder="1" applyAlignment="1">
      <alignment vertical="top" wrapText="1"/>
    </xf>
    <xf numFmtId="0" fontId="11" fillId="0" borderId="2" xfId="1" applyFont="1" applyBorder="1" applyAlignment="1">
      <alignment vertical="top" wrapText="1"/>
    </xf>
    <xf numFmtId="0" fontId="11" fillId="0" borderId="0" xfId="1" applyFont="1" applyAlignment="1">
      <alignment horizontal="right" vertical="top"/>
    </xf>
    <xf numFmtId="0" fontId="11" fillId="0" borderId="0" xfId="1" applyFont="1" applyAlignment="1">
      <alignment horizontal="center" vertical="top"/>
    </xf>
    <xf numFmtId="0" fontId="11" fillId="0" borderId="0" xfId="1" applyFont="1" applyAlignment="1">
      <alignment horizontal="justify" vertical="top"/>
    </xf>
    <xf numFmtId="4" fontId="11" fillId="0" borderId="2" xfId="1" applyNumberFormat="1" applyFont="1" applyFill="1" applyBorder="1" applyAlignment="1">
      <alignment horizontal="center" vertical="top" wrapText="1"/>
    </xf>
    <xf numFmtId="0" fontId="11" fillId="0" borderId="0" xfId="1" applyFont="1" applyFill="1" applyAlignment="1">
      <alignment vertical="top"/>
    </xf>
    <xf numFmtId="0" fontId="16" fillId="0" borderId="0" xfId="1" applyFont="1" applyAlignment="1">
      <alignment vertical="top"/>
    </xf>
    <xf numFmtId="0" fontId="11" fillId="0" borderId="2" xfId="1" applyFont="1" applyFill="1" applyBorder="1" applyAlignment="1">
      <alignment vertical="top" wrapText="1"/>
    </xf>
    <xf numFmtId="0" fontId="11" fillId="0" borderId="0" xfId="1" applyFont="1" applyAlignment="1">
      <alignment horizontal="left" wrapText="1"/>
    </xf>
    <xf numFmtId="4" fontId="19" fillId="0" borderId="0" xfId="1" applyNumberFormat="1"/>
    <xf numFmtId="0" fontId="11" fillId="0" borderId="2" xfId="1" applyFont="1" applyFill="1" applyBorder="1" applyAlignment="1">
      <alignment horizontal="center" vertical="top" wrapText="1"/>
    </xf>
    <xf numFmtId="0" fontId="11" fillId="5" borderId="2" xfId="1" applyFont="1" applyFill="1" applyBorder="1" applyAlignment="1">
      <alignment vertical="top" wrapText="1"/>
    </xf>
    <xf numFmtId="164" fontId="11" fillId="0" borderId="2" xfId="1" applyNumberFormat="1" applyFont="1" applyFill="1" applyBorder="1" applyAlignment="1">
      <alignment horizontal="center" vertical="top" wrapText="1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justify" vertical="center"/>
    </xf>
    <xf numFmtId="0" fontId="11" fillId="0" borderId="0" xfId="1" applyFont="1" applyFill="1" applyAlignment="1">
      <alignment horizontal="left" wrapText="1"/>
    </xf>
    <xf numFmtId="164" fontId="19" fillId="0" borderId="0" xfId="1" applyNumberFormat="1" applyBorder="1" applyAlignment="1">
      <alignment horizontal="right" vertical="top"/>
    </xf>
    <xf numFmtId="0" fontId="11" fillId="0" borderId="0" xfId="1" applyFont="1" applyFill="1" applyAlignment="1">
      <alignment horizontal="right" vertical="top"/>
    </xf>
    <xf numFmtId="0" fontId="11" fillId="0" borderId="0" xfId="1" applyFont="1" applyFill="1" applyAlignment="1">
      <alignment horizontal="center" vertical="top"/>
    </xf>
    <xf numFmtId="0" fontId="11" fillId="0" borderId="0" xfId="1" applyFont="1" applyFill="1" applyAlignment="1">
      <alignment horizontal="justify" vertical="top"/>
    </xf>
    <xf numFmtId="4" fontId="16" fillId="0" borderId="2" xfId="1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vertical="top"/>
    </xf>
    <xf numFmtId="0" fontId="9" fillId="0" borderId="0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4" fontId="9" fillId="0" borderId="0" xfId="1" applyNumberFormat="1" applyFont="1"/>
    <xf numFmtId="4" fontId="10" fillId="0" borderId="2" xfId="1" applyNumberFormat="1" applyFont="1" applyBorder="1" applyAlignment="1">
      <alignment horizontal="right" vertical="center"/>
    </xf>
    <xf numFmtId="4" fontId="10" fillId="0" borderId="0" xfId="1" applyNumberFormat="1" applyFont="1" applyAlignment="1">
      <alignment horizontal="right"/>
    </xf>
    <xf numFmtId="0" fontId="9" fillId="0" borderId="2" xfId="1" applyFont="1" applyBorder="1" applyAlignment="1">
      <alignment horizontal="justify" vertical="center"/>
    </xf>
    <xf numFmtId="4" fontId="9" fillId="0" borderId="2" xfId="1" applyNumberFormat="1" applyFont="1" applyBorder="1"/>
    <xf numFmtId="4" fontId="10" fillId="0" borderId="2" xfId="1" applyNumberFormat="1" applyFont="1" applyBorder="1" applyAlignment="1">
      <alignment horizontal="right"/>
    </xf>
    <xf numFmtId="0" fontId="2" fillId="0" borderId="2" xfId="2" applyFont="1" applyBorder="1" applyAlignment="1" applyProtection="1">
      <alignment horizontal="center" vertical="top" wrapText="1"/>
    </xf>
    <xf numFmtId="0" fontId="5" fillId="0" borderId="2" xfId="2" applyFont="1" applyBorder="1" applyAlignment="1" applyProtection="1">
      <alignment horizontal="center" vertical="top" wrapText="1"/>
    </xf>
    <xf numFmtId="0" fontId="4" fillId="0" borderId="0" xfId="2" applyFont="1" applyAlignment="1" applyProtection="1">
      <alignment vertical="top" wrapText="1"/>
    </xf>
    <xf numFmtId="0" fontId="2" fillId="2" borderId="2" xfId="2" applyFont="1" applyFill="1" applyBorder="1" applyAlignment="1" applyProtection="1">
      <alignment horizontal="left" vertical="top" wrapText="1"/>
    </xf>
    <xf numFmtId="0" fontId="2" fillId="2" borderId="2" xfId="2" applyFont="1" applyFill="1" applyBorder="1" applyAlignment="1" applyProtection="1">
      <alignment horizontal="center" vertical="top" wrapText="1"/>
    </xf>
    <xf numFmtId="4" fontId="2" fillId="2" borderId="2" xfId="2" applyNumberFormat="1" applyFont="1" applyFill="1" applyBorder="1" applyAlignment="1" applyProtection="1">
      <alignment horizontal="center" vertical="top" wrapText="1"/>
    </xf>
    <xf numFmtId="4" fontId="2" fillId="3" borderId="2" xfId="2" applyNumberFormat="1" applyFont="1" applyFill="1" applyBorder="1" applyAlignment="1" applyProtection="1">
      <alignment horizontal="right" vertical="top" wrapText="1"/>
    </xf>
    <xf numFmtId="4" fontId="4" fillId="0" borderId="0" xfId="2" applyNumberFormat="1" applyFont="1" applyAlignment="1" applyProtection="1">
      <alignment vertical="top" wrapText="1"/>
    </xf>
    <xf numFmtId="0" fontId="4" fillId="2" borderId="2" xfId="2" applyFont="1" applyFill="1" applyBorder="1" applyAlignment="1" applyProtection="1">
      <alignment horizontal="left" vertical="top" wrapText="1"/>
    </xf>
    <xf numFmtId="0" fontId="4" fillId="2" borderId="2" xfId="2" applyFont="1" applyFill="1" applyBorder="1" applyAlignment="1" applyProtection="1">
      <alignment horizontal="center" vertical="top" wrapText="1"/>
    </xf>
    <xf numFmtId="4" fontId="4" fillId="3" borderId="2" xfId="2" applyNumberFormat="1" applyFont="1" applyFill="1" applyBorder="1" applyAlignment="1" applyProtection="1">
      <alignment horizontal="right" vertical="top" wrapText="1"/>
    </xf>
    <xf numFmtId="0" fontId="4" fillId="0" borderId="2" xfId="2" applyFont="1" applyFill="1" applyBorder="1" applyAlignment="1" applyProtection="1">
      <alignment horizontal="left" vertical="top" wrapText="1"/>
    </xf>
    <xf numFmtId="0" fontId="4" fillId="0" borderId="2" xfId="2" applyFont="1" applyFill="1" applyBorder="1" applyAlignment="1" applyProtection="1">
      <alignment horizontal="center" vertical="top" wrapText="1"/>
    </xf>
    <xf numFmtId="164" fontId="2" fillId="0" borderId="2" xfId="2" applyNumberFormat="1" applyFont="1" applyFill="1" applyBorder="1" applyAlignment="1" applyProtection="1">
      <alignment horizontal="right" vertical="top" wrapText="1"/>
    </xf>
    <xf numFmtId="4" fontId="4" fillId="0" borderId="2" xfId="2" applyNumberFormat="1" applyFont="1" applyFill="1" applyBorder="1" applyAlignment="1" applyProtection="1">
      <alignment horizontal="right" vertical="top" wrapText="1"/>
    </xf>
    <xf numFmtId="4" fontId="2" fillId="0" borderId="2" xfId="2" applyNumberFormat="1" applyFont="1" applyFill="1" applyBorder="1" applyAlignment="1" applyProtection="1">
      <alignment horizontal="right" vertical="top" wrapText="1"/>
    </xf>
    <xf numFmtId="4" fontId="2" fillId="0" borderId="2" xfId="2" applyNumberFormat="1" applyFont="1" applyFill="1" applyBorder="1" applyAlignment="1" applyProtection="1">
      <alignment horizontal="center" vertical="top" wrapText="1"/>
    </xf>
    <xf numFmtId="0" fontId="4" fillId="0" borderId="2" xfId="2" applyFont="1" applyFill="1" applyBorder="1" applyAlignment="1" applyProtection="1">
      <alignment vertical="top" wrapText="1"/>
    </xf>
    <xf numFmtId="4" fontId="2" fillId="4" borderId="2" xfId="2" applyNumberFormat="1" applyFont="1" applyFill="1" applyBorder="1" applyAlignment="1" applyProtection="1">
      <alignment horizontal="right" vertical="top" wrapText="1"/>
    </xf>
    <xf numFmtId="4" fontId="4" fillId="4" borderId="2" xfId="2" applyNumberFormat="1" applyFont="1" applyFill="1" applyBorder="1" applyAlignment="1" applyProtection="1">
      <alignment horizontal="right" vertical="top" wrapText="1"/>
    </xf>
    <xf numFmtId="0" fontId="4" fillId="0" borderId="0" xfId="2" applyFont="1" applyFill="1" applyAlignment="1" applyProtection="1">
      <alignment vertical="top" wrapText="1"/>
    </xf>
    <xf numFmtId="164" fontId="16" fillId="0" borderId="2" xfId="1" applyNumberFormat="1" applyFont="1" applyFill="1" applyBorder="1" applyAlignment="1" applyProtection="1">
      <alignment horizontal="right" vertical="top" wrapText="1"/>
    </xf>
    <xf numFmtId="4" fontId="16" fillId="0" borderId="2" xfId="1" applyNumberFormat="1" applyFont="1" applyFill="1" applyBorder="1" applyAlignment="1" applyProtection="1">
      <alignment horizontal="right" vertical="top" wrapText="1"/>
    </xf>
    <xf numFmtId="0" fontId="2" fillId="0" borderId="2" xfId="2" applyFont="1" applyFill="1" applyBorder="1" applyAlignment="1" applyProtection="1">
      <alignment horizontal="left" vertical="top" wrapText="1"/>
    </xf>
    <xf numFmtId="0" fontId="2" fillId="0" borderId="2" xfId="2" applyFont="1" applyFill="1" applyBorder="1" applyAlignment="1" applyProtection="1">
      <alignment horizontal="center" vertical="top" wrapText="1"/>
    </xf>
    <xf numFmtId="0" fontId="2" fillId="0" borderId="0" xfId="2" applyFont="1" applyFill="1" applyAlignment="1" applyProtection="1">
      <alignment vertical="top" wrapText="1"/>
    </xf>
    <xf numFmtId="4" fontId="2" fillId="0" borderId="0" xfId="2" applyNumberFormat="1" applyFont="1" applyFill="1" applyAlignment="1" applyProtection="1">
      <alignment vertical="top" wrapText="1"/>
    </xf>
    <xf numFmtId="0" fontId="3" fillId="0" borderId="2" xfId="2" applyFont="1" applyFill="1" applyBorder="1" applyAlignment="1" applyProtection="1">
      <alignment vertical="top" wrapText="1"/>
    </xf>
    <xf numFmtId="0" fontId="3" fillId="0" borderId="0" xfId="2" applyFont="1" applyFill="1" applyAlignment="1" applyProtection="1">
      <alignment vertical="top"/>
    </xf>
    <xf numFmtId="4" fontId="4" fillId="6" borderId="2" xfId="2" applyNumberFormat="1" applyFont="1" applyFill="1" applyBorder="1" applyAlignment="1" applyProtection="1">
      <alignment horizontal="right" vertical="top" wrapText="1"/>
    </xf>
    <xf numFmtId="0" fontId="2" fillId="5" borderId="2" xfId="2" applyFont="1" applyFill="1" applyBorder="1" applyAlignment="1" applyProtection="1">
      <alignment horizontal="left" vertical="top" wrapText="1"/>
    </xf>
    <xf numFmtId="0" fontId="2" fillId="5" borderId="2" xfId="2" applyFont="1" applyFill="1" applyBorder="1" applyAlignment="1" applyProtection="1">
      <alignment horizontal="center" vertical="top" wrapText="1"/>
    </xf>
    <xf numFmtId="4" fontId="2" fillId="5" borderId="2" xfId="2" applyNumberFormat="1" applyFont="1" applyFill="1" applyBorder="1" applyAlignment="1" applyProtection="1">
      <alignment horizontal="right" vertical="top" wrapText="1"/>
    </xf>
    <xf numFmtId="4" fontId="4" fillId="5" borderId="2" xfId="2" applyNumberFormat="1" applyFont="1" applyFill="1" applyBorder="1" applyAlignment="1" applyProtection="1">
      <alignment horizontal="right" vertical="top" wrapText="1"/>
    </xf>
    <xf numFmtId="0" fontId="2" fillId="5" borderId="0" xfId="2" applyFont="1" applyFill="1" applyAlignment="1" applyProtection="1">
      <alignment vertical="top" wrapText="1"/>
    </xf>
    <xf numFmtId="0" fontId="4" fillId="7" borderId="2" xfId="2" applyFont="1" applyFill="1" applyBorder="1" applyAlignment="1" applyProtection="1">
      <alignment horizontal="left" vertical="top" wrapText="1"/>
    </xf>
    <xf numFmtId="0" fontId="4" fillId="0" borderId="2" xfId="2" applyFont="1" applyBorder="1" applyAlignment="1" applyProtection="1">
      <alignment horizontal="left" vertical="top" wrapText="1"/>
    </xf>
    <xf numFmtId="4" fontId="2" fillId="0" borderId="2" xfId="2" applyNumberFormat="1" applyFont="1" applyBorder="1" applyAlignment="1" applyProtection="1">
      <alignment horizontal="right" vertical="top" wrapText="1"/>
    </xf>
    <xf numFmtId="0" fontId="3" fillId="0" borderId="0" xfId="2" applyFont="1" applyAlignment="1" applyProtection="1">
      <alignment vertical="top"/>
    </xf>
    <xf numFmtId="4" fontId="2" fillId="5" borderId="0" xfId="2" applyNumberFormat="1" applyFont="1" applyFill="1" applyAlignment="1" applyProtection="1">
      <alignment vertical="top" wrapText="1"/>
    </xf>
    <xf numFmtId="4" fontId="4" fillId="2" borderId="2" xfId="2" applyNumberFormat="1" applyFont="1" applyFill="1" applyBorder="1" applyAlignment="1" applyProtection="1">
      <alignment horizontal="right" vertical="top" wrapText="1"/>
    </xf>
    <xf numFmtId="0" fontId="15" fillId="0" borderId="2" xfId="2" applyFont="1" applyFill="1" applyBorder="1" applyAlignment="1" applyProtection="1">
      <alignment horizontal="left" vertical="top" wrapText="1"/>
    </xf>
    <xf numFmtId="0" fontId="15" fillId="0" borderId="2" xfId="2" applyFont="1" applyFill="1" applyBorder="1" applyAlignment="1" applyProtection="1">
      <alignment horizontal="center" vertical="top" wrapText="1"/>
    </xf>
    <xf numFmtId="4" fontId="15" fillId="0" borderId="2" xfId="2" applyNumberFormat="1" applyFont="1" applyFill="1" applyBorder="1" applyAlignment="1" applyProtection="1">
      <alignment horizontal="right" vertical="top" wrapText="1"/>
    </xf>
    <xf numFmtId="4" fontId="7" fillId="0" borderId="2" xfId="2" applyNumberFormat="1" applyFont="1" applyFill="1" applyBorder="1" applyAlignment="1" applyProtection="1">
      <alignment horizontal="right" vertical="top" wrapText="1"/>
    </xf>
    <xf numFmtId="4" fontId="15" fillId="4" borderId="2" xfId="2" applyNumberFormat="1" applyFont="1" applyFill="1" applyBorder="1" applyAlignment="1" applyProtection="1">
      <alignment horizontal="right" vertical="top" wrapText="1"/>
    </xf>
    <xf numFmtId="4" fontId="2" fillId="2" borderId="2" xfId="2" applyNumberFormat="1" applyFont="1" applyFill="1" applyBorder="1" applyAlignment="1" applyProtection="1">
      <alignment horizontal="right" vertical="top" wrapText="1"/>
    </xf>
    <xf numFmtId="4" fontId="4" fillId="0" borderId="3" xfId="2" applyNumberFormat="1" applyFont="1" applyFill="1" applyBorder="1" applyAlignment="1" applyProtection="1">
      <alignment horizontal="right" vertical="top" wrapText="1"/>
    </xf>
    <xf numFmtId="0" fontId="4" fillId="5" borderId="2" xfId="2" applyFont="1" applyFill="1" applyBorder="1" applyAlignment="1" applyProtection="1">
      <alignment horizontal="left" vertical="top" wrapText="1"/>
    </xf>
    <xf numFmtId="0" fontId="4" fillId="5" borderId="2" xfId="2" applyFont="1" applyFill="1" applyBorder="1" applyAlignment="1" applyProtection="1">
      <alignment horizontal="center" vertical="top" wrapText="1"/>
    </xf>
    <xf numFmtId="0" fontId="4" fillId="5" borderId="2" xfId="2" applyFont="1" applyFill="1" applyBorder="1" applyAlignment="1" applyProtection="1">
      <alignment vertical="top" wrapText="1"/>
    </xf>
    <xf numFmtId="0" fontId="4" fillId="5" borderId="0" xfId="2" applyFont="1" applyFill="1" applyAlignment="1" applyProtection="1">
      <alignment vertical="top" wrapText="1"/>
    </xf>
    <xf numFmtId="4" fontId="4" fillId="0" borderId="2" xfId="2" applyNumberFormat="1" applyFont="1" applyBorder="1" applyAlignment="1" applyProtection="1">
      <alignment horizontal="right" vertical="top" wrapText="1"/>
    </xf>
    <xf numFmtId="0" fontId="3" fillId="5" borderId="0" xfId="2" applyFont="1" applyFill="1" applyAlignment="1" applyProtection="1">
      <alignment vertical="top"/>
    </xf>
    <xf numFmtId="0" fontId="2" fillId="0" borderId="0" xfId="2" applyFont="1" applyAlignment="1" applyProtection="1">
      <alignment vertical="top" wrapText="1"/>
    </xf>
    <xf numFmtId="4" fontId="2" fillId="0" borderId="0" xfId="2" applyNumberFormat="1" applyFont="1" applyAlignment="1" applyProtection="1">
      <alignment vertical="top" wrapText="1"/>
    </xf>
    <xf numFmtId="4" fontId="4" fillId="5" borderId="2" xfId="2" applyNumberFormat="1" applyFont="1" applyFill="1" applyBorder="1" applyAlignment="1" applyProtection="1">
      <alignment vertical="top" wrapText="1"/>
    </xf>
    <xf numFmtId="0" fontId="4" fillId="0" borderId="2" xfId="2" applyFont="1" applyBorder="1" applyAlignment="1" applyProtection="1">
      <alignment vertical="top" wrapText="1"/>
    </xf>
    <xf numFmtId="4" fontId="17" fillId="0" borderId="0" xfId="0" applyNumberFormat="1" applyFont="1" applyBorder="1" applyAlignment="1" applyProtection="1">
      <alignment horizontal="right" vertical="top"/>
    </xf>
    <xf numFmtId="4" fontId="4" fillId="0" borderId="0" xfId="2" applyNumberFormat="1" applyFont="1" applyBorder="1" applyAlignment="1" applyProtection="1">
      <alignment vertical="top" wrapText="1"/>
    </xf>
    <xf numFmtId="0" fontId="4" fillId="0" borderId="0" xfId="0" applyFont="1" applyAlignment="1" applyProtection="1">
      <alignment horizontal="justify" vertical="top" wrapText="1"/>
    </xf>
    <xf numFmtId="0" fontId="2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justify" vertical="top" wrapText="1"/>
    </xf>
    <xf numFmtId="0" fontId="4" fillId="0" borderId="2" xfId="0" applyFont="1" applyBorder="1" applyAlignment="1" applyProtection="1">
      <alignment horizontal="center" vertical="top" wrapText="1"/>
    </xf>
    <xf numFmtId="16" fontId="4" fillId="0" borderId="2" xfId="0" applyNumberFormat="1" applyFont="1" applyBorder="1" applyAlignment="1" applyProtection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2" fillId="0" borderId="2" xfId="2" applyFont="1" applyBorder="1" applyAlignment="1" applyProtection="1">
      <alignment horizontal="center" vertical="top" wrapText="1"/>
    </xf>
    <xf numFmtId="0" fontId="6" fillId="0" borderId="2" xfId="2" applyFont="1" applyBorder="1" applyAlignment="1" applyProtection="1">
      <alignment vertical="top" wrapText="1"/>
    </xf>
    <xf numFmtId="0" fontId="2" fillId="0" borderId="6" xfId="2" applyFont="1" applyBorder="1" applyAlignment="1" applyProtection="1">
      <alignment horizontal="center" vertical="top" wrapText="1"/>
    </xf>
    <xf numFmtId="0" fontId="2" fillId="0" borderId="7" xfId="2" applyFont="1" applyBorder="1" applyAlignment="1" applyProtection="1">
      <alignment horizontal="center" vertical="top" wrapText="1"/>
    </xf>
    <xf numFmtId="0" fontId="5" fillId="0" borderId="8" xfId="2" applyFont="1" applyBorder="1" applyAlignment="1" applyProtection="1">
      <alignment horizontal="center" vertical="top" wrapText="1"/>
    </xf>
    <xf numFmtId="0" fontId="5" fillId="0" borderId="1" xfId="2" applyFont="1" applyBorder="1" applyAlignment="1" applyProtection="1">
      <alignment horizontal="center" vertical="top" wrapText="1"/>
    </xf>
    <xf numFmtId="0" fontId="5" fillId="0" borderId="9" xfId="2" applyFont="1" applyBorder="1" applyAlignment="1" applyProtection="1">
      <alignment horizontal="center" vertical="top" wrapText="1"/>
    </xf>
    <xf numFmtId="0" fontId="5" fillId="0" borderId="6" xfId="2" applyFont="1" applyBorder="1" applyAlignment="1" applyProtection="1">
      <alignment horizontal="center" vertical="top" wrapText="1"/>
    </xf>
    <xf numFmtId="0" fontId="5" fillId="0" borderId="7" xfId="2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justify" vertical="top" wrapText="1"/>
    </xf>
    <xf numFmtId="0" fontId="4" fillId="0" borderId="7" xfId="0" applyFont="1" applyBorder="1" applyAlignment="1" applyProtection="1">
      <alignment horizontal="justify" vertical="top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 applyProtection="1">
      <alignment horizontal="center" vertical="top" wrapText="1"/>
    </xf>
    <xf numFmtId="0" fontId="11" fillId="0" borderId="2" xfId="1" applyFont="1" applyBorder="1" applyAlignment="1">
      <alignment vertical="top" wrapText="1"/>
    </xf>
    <xf numFmtId="0" fontId="16" fillId="0" borderId="2" xfId="1" applyFont="1" applyBorder="1" applyAlignment="1">
      <alignment vertical="top" wrapText="1"/>
    </xf>
    <xf numFmtId="0" fontId="11" fillId="0" borderId="2" xfId="1" applyFont="1" applyBorder="1" applyAlignment="1">
      <alignment vertical="top"/>
    </xf>
    <xf numFmtId="0" fontId="16" fillId="0" borderId="2" xfId="1" applyFont="1" applyFill="1" applyBorder="1" applyAlignment="1">
      <alignment vertical="top" wrapText="1"/>
    </xf>
    <xf numFmtId="0" fontId="16" fillId="0" borderId="0" xfId="1" applyFont="1" applyAlignment="1">
      <alignment horizontal="center" vertical="center"/>
    </xf>
    <xf numFmtId="0" fontId="11" fillId="0" borderId="6" xfId="1" applyFont="1" applyBorder="1" applyAlignment="1">
      <alignment horizontal="justify" vertical="top" wrapText="1"/>
    </xf>
    <xf numFmtId="0" fontId="11" fillId="0" borderId="10" xfId="1" applyFont="1" applyBorder="1" applyAlignment="1">
      <alignment horizontal="justify" vertical="top" wrapText="1"/>
    </xf>
    <xf numFmtId="0" fontId="11" fillId="0" borderId="7" xfId="1" applyFont="1" applyBorder="1" applyAlignment="1">
      <alignment horizontal="justify" vertical="top" wrapText="1"/>
    </xf>
    <xf numFmtId="0" fontId="11" fillId="0" borderId="2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6" fillId="0" borderId="0" xfId="1" applyFont="1" applyAlignment="1">
      <alignment horizontal="center" vertical="top"/>
    </xf>
    <xf numFmtId="0" fontId="11" fillId="0" borderId="2" xfId="1" applyFont="1" applyFill="1" applyBorder="1" applyAlignment="1">
      <alignment vertical="top" wrapText="1"/>
    </xf>
    <xf numFmtId="0" fontId="16" fillId="0" borderId="0" xfId="1" applyFont="1" applyFill="1" applyAlignment="1">
      <alignment horizontal="center" vertical="center"/>
    </xf>
    <xf numFmtId="0" fontId="11" fillId="0" borderId="2" xfId="1" applyFont="1" applyFill="1" applyBorder="1" applyAlignment="1">
      <alignment vertical="top"/>
    </xf>
    <xf numFmtId="0" fontId="11" fillId="0" borderId="2" xfId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left" vertical="top" wrapText="1"/>
    </xf>
    <xf numFmtId="0" fontId="16" fillId="0" borderId="0" xfId="1" applyFont="1" applyFill="1" applyAlignment="1">
      <alignment horizontal="center" vertical="top"/>
    </xf>
    <xf numFmtId="0" fontId="11" fillId="0" borderId="6" xfId="1" applyFont="1" applyFill="1" applyBorder="1" applyAlignment="1">
      <alignment horizontal="center" vertical="top" wrapText="1"/>
    </xf>
    <xf numFmtId="0" fontId="11" fillId="0" borderId="10" xfId="1" applyFont="1" applyFill="1" applyBorder="1" applyAlignment="1">
      <alignment horizontal="center" vertical="top" wrapText="1"/>
    </xf>
    <xf numFmtId="0" fontId="11" fillId="0" borderId="7" xfId="1" applyFont="1" applyFill="1" applyBorder="1" applyAlignment="1">
      <alignment horizontal="center" vertical="top" wrapText="1"/>
    </xf>
    <xf numFmtId="0" fontId="10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horizontal="left" wrapText="1"/>
    </xf>
    <xf numFmtId="4" fontId="9" fillId="0" borderId="2" xfId="1" applyNumberFormat="1" applyFont="1" applyBorder="1" applyAlignment="1">
      <alignment horizontal="right" vertical="center" wrapText="1"/>
    </xf>
    <xf numFmtId="0" fontId="11" fillId="0" borderId="0" xfId="1" applyFont="1" applyAlignment="1">
      <alignment horizontal="left" vertical="center" wrapText="1"/>
    </xf>
    <xf numFmtId="0" fontId="12" fillId="0" borderId="5" xfId="1" applyFont="1" applyBorder="1" applyAlignment="1">
      <alignment horizontal="center" vertical="top"/>
    </xf>
    <xf numFmtId="0" fontId="9" fillId="0" borderId="5" xfId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T1012"/>
  <sheetViews>
    <sheetView zoomScale="70" zoomScaleNormal="70" workbookViewId="0">
      <pane xSplit="2" ySplit="2" topLeftCell="C3" activePane="bottomRight" state="frozen"/>
      <selection activeCell="A11" sqref="A11"/>
      <selection pane="topRight" activeCell="A11" sqref="A11"/>
      <selection pane="bottomLeft" activeCell="A11" sqref="A11"/>
      <selection pane="bottomRight" activeCell="V2" sqref="V2"/>
    </sheetView>
  </sheetViews>
  <sheetFormatPr defaultColWidth="15.1796875" defaultRowHeight="15" customHeight="1" outlineLevelRow="3" outlineLevelCol="2" x14ac:dyDescent="0.35"/>
  <cols>
    <col min="1" max="1" width="22.453125" style="80" customWidth="1"/>
    <col min="2" max="2" width="8.7265625" style="80" customWidth="1"/>
    <col min="3" max="3" width="12.54296875" style="80" customWidth="1" collapsed="1"/>
    <col min="4" max="4" width="9" style="80" hidden="1" customWidth="1" outlineLevel="1"/>
    <col min="5" max="5" width="10.26953125" style="80" hidden="1" customWidth="1" outlineLevel="1"/>
    <col min="6" max="7" width="9" style="80" hidden="1" customWidth="1" outlineLevel="1"/>
    <col min="8" max="8" width="10" style="80" hidden="1" customWidth="1" outlineLevel="1"/>
    <col min="9" max="14" width="9" style="80" hidden="1" customWidth="1" outlineLevel="1"/>
    <col min="15" max="15" width="10.453125" style="80" hidden="1" customWidth="1" outlineLevel="1"/>
    <col min="16" max="19" width="9" style="80" hidden="1" customWidth="1" outlineLevel="1"/>
    <col min="20" max="20" width="14.453125" style="132" customWidth="1"/>
    <col min="21" max="21" width="15.1796875" style="132" customWidth="1" collapsed="1"/>
    <col min="22" max="25" width="15.1796875" style="80" hidden="1" customWidth="1" outlineLevel="1"/>
    <col min="26" max="26" width="15.1796875" style="80" customWidth="1"/>
    <col min="27" max="27" width="32.81640625" style="80" customWidth="1" collapsed="1"/>
    <col min="28" max="28" width="17.81640625" style="80" hidden="1" customWidth="1" outlineLevel="1"/>
    <col min="29" max="44" width="15.1796875" style="80" hidden="1" customWidth="1" outlineLevel="2"/>
    <col min="45" max="16384" width="15.1796875" style="80"/>
  </cols>
  <sheetData>
    <row r="1" spans="1:46" ht="53.25" customHeight="1" x14ac:dyDescent="0.35">
      <c r="A1" s="150" t="s">
        <v>0</v>
      </c>
      <c r="B1" s="150" t="s">
        <v>1</v>
      </c>
      <c r="C1" s="150" t="s">
        <v>255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78" t="s">
        <v>257</v>
      </c>
      <c r="U1" s="79" t="s">
        <v>258</v>
      </c>
      <c r="V1" s="154" t="s">
        <v>485</v>
      </c>
      <c r="W1" s="155"/>
      <c r="X1" s="156"/>
      <c r="Y1" s="157" t="s">
        <v>486</v>
      </c>
      <c r="Z1" s="79" t="s">
        <v>259</v>
      </c>
      <c r="AA1" s="79" t="s">
        <v>256</v>
      </c>
      <c r="AB1" s="152" t="s">
        <v>2</v>
      </c>
      <c r="AC1" s="78">
        <v>1</v>
      </c>
      <c r="AD1" s="78">
        <v>4</v>
      </c>
      <c r="AE1" s="78">
        <v>5</v>
      </c>
      <c r="AF1" s="78">
        <v>10</v>
      </c>
      <c r="AG1" s="78">
        <v>12</v>
      </c>
      <c r="AH1" s="78">
        <v>13</v>
      </c>
      <c r="AI1" s="78">
        <v>14</v>
      </c>
      <c r="AJ1" s="78">
        <v>15</v>
      </c>
      <c r="AK1" s="78">
        <v>16</v>
      </c>
      <c r="AL1" s="78">
        <v>18</v>
      </c>
      <c r="AM1" s="78">
        <v>21</v>
      </c>
      <c r="AN1" s="78">
        <v>30</v>
      </c>
      <c r="AO1" s="78">
        <v>36</v>
      </c>
      <c r="AP1" s="78">
        <v>41</v>
      </c>
      <c r="AQ1" s="78">
        <v>54</v>
      </c>
      <c r="AR1" s="78">
        <v>57</v>
      </c>
    </row>
    <row r="2" spans="1:46" ht="12.75" customHeight="1" x14ac:dyDescent="0.35">
      <c r="A2" s="151"/>
      <c r="B2" s="151"/>
      <c r="C2" s="78" t="s">
        <v>2</v>
      </c>
      <c r="D2" s="78">
        <v>1</v>
      </c>
      <c r="E2" s="78">
        <v>4</v>
      </c>
      <c r="F2" s="78">
        <v>5</v>
      </c>
      <c r="G2" s="78">
        <v>10</v>
      </c>
      <c r="H2" s="78">
        <v>12</v>
      </c>
      <c r="I2" s="78">
        <v>13</v>
      </c>
      <c r="J2" s="78">
        <v>14</v>
      </c>
      <c r="K2" s="78">
        <v>15</v>
      </c>
      <c r="L2" s="78">
        <v>16</v>
      </c>
      <c r="M2" s="78">
        <v>18</v>
      </c>
      <c r="N2" s="78">
        <v>21</v>
      </c>
      <c r="O2" s="78">
        <v>30</v>
      </c>
      <c r="P2" s="78">
        <v>36</v>
      </c>
      <c r="Q2" s="78">
        <v>41</v>
      </c>
      <c r="R2" s="78">
        <v>54</v>
      </c>
      <c r="S2" s="78">
        <v>57</v>
      </c>
      <c r="T2" s="78" t="s">
        <v>3</v>
      </c>
      <c r="U2" s="78" t="s">
        <v>3</v>
      </c>
      <c r="V2" s="78">
        <v>1</v>
      </c>
      <c r="W2" s="78">
        <v>2</v>
      </c>
      <c r="X2" s="78">
        <v>3</v>
      </c>
      <c r="Y2" s="158"/>
      <c r="Z2" s="78" t="s">
        <v>3</v>
      </c>
      <c r="AA2" s="78" t="s">
        <v>3</v>
      </c>
      <c r="AB2" s="153"/>
      <c r="AC2" s="78">
        <v>118.3</v>
      </c>
      <c r="AD2" s="78">
        <v>213.3</v>
      </c>
      <c r="AE2" s="78">
        <v>93.3</v>
      </c>
      <c r="AF2" s="78">
        <v>75</v>
      </c>
      <c r="AG2" s="78">
        <v>208</v>
      </c>
      <c r="AH2" s="78">
        <v>100.7</v>
      </c>
      <c r="AI2" s="78">
        <v>89.4</v>
      </c>
      <c r="AJ2" s="78">
        <v>120</v>
      </c>
      <c r="AK2" s="78">
        <v>216.7</v>
      </c>
      <c r="AL2" s="78">
        <v>118</v>
      </c>
      <c r="AM2" s="78">
        <v>119.4</v>
      </c>
      <c r="AN2" s="78">
        <v>56</v>
      </c>
      <c r="AO2" s="78">
        <v>96.3</v>
      </c>
      <c r="AP2" s="78">
        <v>98.7</v>
      </c>
      <c r="AQ2" s="78">
        <v>102.7</v>
      </c>
      <c r="AR2" s="78">
        <v>66.7</v>
      </c>
    </row>
    <row r="3" spans="1:46" ht="62.25" customHeight="1" x14ac:dyDescent="0.35">
      <c r="A3" s="81" t="s">
        <v>4</v>
      </c>
      <c r="B3" s="82" t="s">
        <v>3</v>
      </c>
      <c r="C3" s="83" t="s">
        <v>3</v>
      </c>
      <c r="D3" s="83" t="s">
        <v>3</v>
      </c>
      <c r="E3" s="83" t="s">
        <v>3</v>
      </c>
      <c r="F3" s="83" t="s">
        <v>3</v>
      </c>
      <c r="G3" s="83" t="s">
        <v>3</v>
      </c>
      <c r="H3" s="83" t="s">
        <v>3</v>
      </c>
      <c r="I3" s="83" t="s">
        <v>3</v>
      </c>
      <c r="J3" s="83" t="s">
        <v>3</v>
      </c>
      <c r="K3" s="83" t="s">
        <v>3</v>
      </c>
      <c r="L3" s="83" t="s">
        <v>3</v>
      </c>
      <c r="M3" s="83" t="s">
        <v>3</v>
      </c>
      <c r="N3" s="83" t="s">
        <v>3</v>
      </c>
      <c r="O3" s="83" t="s">
        <v>3</v>
      </c>
      <c r="P3" s="83" t="s">
        <v>3</v>
      </c>
      <c r="Q3" s="83" t="s">
        <v>3</v>
      </c>
      <c r="R3" s="83" t="s">
        <v>3</v>
      </c>
      <c r="S3" s="83" t="s">
        <v>3</v>
      </c>
      <c r="T3" s="83" t="s">
        <v>3</v>
      </c>
      <c r="U3" s="83" t="s">
        <v>3</v>
      </c>
      <c r="V3" s="83" t="s">
        <v>3</v>
      </c>
      <c r="W3" s="83" t="s">
        <v>3</v>
      </c>
      <c r="X3" s="83" t="s">
        <v>3</v>
      </c>
      <c r="Y3" s="83" t="s">
        <v>3</v>
      </c>
      <c r="Z3" s="83" t="s">
        <v>3</v>
      </c>
      <c r="AA3" s="83" t="s">
        <v>3</v>
      </c>
      <c r="AB3" s="84">
        <f t="shared" ref="AB3:AB8" si="0">SUM(AC3:AR3)</f>
        <v>77240997.276281312</v>
      </c>
      <c r="AC3" s="84">
        <f t="shared" ref="AC3:AR3" si="1">AC4+AC8+AC99</f>
        <v>4445802.2191725643</v>
      </c>
      <c r="AD3" s="84">
        <f t="shared" si="1"/>
        <v>7685936.8710862882</v>
      </c>
      <c r="AE3" s="84">
        <f t="shared" si="1"/>
        <v>5637483.679195269</v>
      </c>
      <c r="AF3" s="84">
        <f t="shared" si="1"/>
        <v>5107793.6199318878</v>
      </c>
      <c r="AG3" s="84">
        <f t="shared" si="1"/>
        <v>8108448.1326111034</v>
      </c>
      <c r="AH3" s="84">
        <f t="shared" si="1"/>
        <v>3784528.0310285483</v>
      </c>
      <c r="AI3" s="84">
        <f t="shared" si="1"/>
        <v>3674302.6829588097</v>
      </c>
      <c r="AJ3" s="84">
        <f t="shared" si="1"/>
        <v>4110514.1918910206</v>
      </c>
      <c r="AK3" s="84">
        <f t="shared" si="1"/>
        <v>7647697.8165231999</v>
      </c>
      <c r="AL3" s="84">
        <f t="shared" si="1"/>
        <v>4190092.9886928364</v>
      </c>
      <c r="AM3" s="84">
        <f t="shared" si="1"/>
        <v>6175870.7309315652</v>
      </c>
      <c r="AN3" s="84">
        <f t="shared" si="1"/>
        <v>2587589.689549143</v>
      </c>
      <c r="AO3" s="84">
        <f t="shared" si="1"/>
        <v>3715572.983992544</v>
      </c>
      <c r="AP3" s="84">
        <f t="shared" si="1"/>
        <v>3767121.8278303635</v>
      </c>
      <c r="AQ3" s="84">
        <f t="shared" si="1"/>
        <v>3790829.234226732</v>
      </c>
      <c r="AR3" s="84">
        <f t="shared" si="1"/>
        <v>2811412.5766594256</v>
      </c>
      <c r="AT3" s="85"/>
    </row>
    <row r="4" spans="1:46" ht="76.5" customHeight="1" outlineLevel="1" x14ac:dyDescent="0.35">
      <c r="A4" s="86" t="s">
        <v>5</v>
      </c>
      <c r="B4" s="87" t="s">
        <v>3</v>
      </c>
      <c r="C4" s="83" t="s">
        <v>3</v>
      </c>
      <c r="D4" s="83" t="s">
        <v>3</v>
      </c>
      <c r="E4" s="83" t="s">
        <v>3</v>
      </c>
      <c r="F4" s="83" t="s">
        <v>3</v>
      </c>
      <c r="G4" s="83" t="s">
        <v>3</v>
      </c>
      <c r="H4" s="83" t="s">
        <v>3</v>
      </c>
      <c r="I4" s="83" t="s">
        <v>3</v>
      </c>
      <c r="J4" s="83" t="s">
        <v>3</v>
      </c>
      <c r="K4" s="83" t="s">
        <v>3</v>
      </c>
      <c r="L4" s="83" t="s">
        <v>3</v>
      </c>
      <c r="M4" s="83" t="s">
        <v>3</v>
      </c>
      <c r="N4" s="83" t="s">
        <v>3</v>
      </c>
      <c r="O4" s="83" t="s">
        <v>3</v>
      </c>
      <c r="P4" s="83" t="s">
        <v>3</v>
      </c>
      <c r="Q4" s="83" t="s">
        <v>3</v>
      </c>
      <c r="R4" s="83" t="s">
        <v>3</v>
      </c>
      <c r="S4" s="83" t="s">
        <v>3</v>
      </c>
      <c r="T4" s="83" t="s">
        <v>3</v>
      </c>
      <c r="U4" s="83" t="s">
        <v>3</v>
      </c>
      <c r="V4" s="83" t="s">
        <v>3</v>
      </c>
      <c r="W4" s="83" t="s">
        <v>3</v>
      </c>
      <c r="X4" s="83" t="s">
        <v>3</v>
      </c>
      <c r="Y4" s="83" t="s">
        <v>3</v>
      </c>
      <c r="Z4" s="83" t="s">
        <v>3</v>
      </c>
      <c r="AA4" s="83" t="s">
        <v>3</v>
      </c>
      <c r="AB4" s="84">
        <f t="shared" si="0"/>
        <v>26815274</v>
      </c>
      <c r="AC4" s="88">
        <f>SUM(AC5:AC7)</f>
        <v>1285147</v>
      </c>
      <c r="AD4" s="88">
        <f t="shared" ref="AD4:AR4" si="2">SUM(AD5:AD7)</f>
        <v>2054584</v>
      </c>
      <c r="AE4" s="88">
        <f t="shared" si="2"/>
        <v>3124345</v>
      </c>
      <c r="AF4" s="88">
        <f t="shared" si="2"/>
        <v>3095081</v>
      </c>
      <c r="AG4" s="88">
        <f t="shared" si="2"/>
        <v>2546326</v>
      </c>
      <c r="AH4" s="88">
        <f t="shared" si="2"/>
        <v>1015205</v>
      </c>
      <c r="AI4" s="88">
        <f t="shared" si="2"/>
        <v>1308453</v>
      </c>
      <c r="AJ4" s="88">
        <f t="shared" si="2"/>
        <v>922137</v>
      </c>
      <c r="AK4" s="88">
        <f t="shared" si="2"/>
        <v>1902432</v>
      </c>
      <c r="AL4" s="88">
        <f t="shared" si="2"/>
        <v>1057259</v>
      </c>
      <c r="AM4" s="88">
        <f t="shared" si="2"/>
        <v>3000259</v>
      </c>
      <c r="AN4" s="88">
        <f t="shared" si="2"/>
        <v>1094743</v>
      </c>
      <c r="AO4" s="88">
        <f t="shared" si="2"/>
        <v>1126915</v>
      </c>
      <c r="AP4" s="88">
        <f t="shared" si="2"/>
        <v>1142996</v>
      </c>
      <c r="AQ4" s="88">
        <f t="shared" si="2"/>
        <v>1067310</v>
      </c>
      <c r="AR4" s="88">
        <f t="shared" si="2"/>
        <v>1072082</v>
      </c>
      <c r="AT4" s="85"/>
    </row>
    <row r="5" spans="1:46" s="98" customFormat="1" ht="24.75" customHeight="1" outlineLevel="2" x14ac:dyDescent="0.35">
      <c r="A5" s="89" t="s">
        <v>495</v>
      </c>
      <c r="B5" s="90" t="s">
        <v>480</v>
      </c>
      <c r="C5" s="91">
        <f>26.33/216.7</f>
        <v>0.12150438394093216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3">
        <v>1</v>
      </c>
      <c r="U5" s="93">
        <f>517595/26.33</f>
        <v>19657.994682871249</v>
      </c>
      <c r="V5" s="92"/>
      <c r="W5" s="92"/>
      <c r="X5" s="92"/>
      <c r="Y5" s="94" t="s">
        <v>3</v>
      </c>
      <c r="Z5" s="92">
        <f>C5/$T5*$U5</f>
        <v>2388.5325334563913</v>
      </c>
      <c r="AA5" s="95" t="s">
        <v>348</v>
      </c>
      <c r="AB5" s="96">
        <f t="shared" si="0"/>
        <v>4262743</v>
      </c>
      <c r="AC5" s="97">
        <v>194305</v>
      </c>
      <c r="AD5" s="97">
        <v>331117</v>
      </c>
      <c r="AE5" s="97">
        <v>285499</v>
      </c>
      <c r="AF5" s="97">
        <v>212342</v>
      </c>
      <c r="AG5" s="97">
        <v>789243</v>
      </c>
      <c r="AH5" s="97">
        <v>225190</v>
      </c>
      <c r="AI5" s="97">
        <v>305170</v>
      </c>
      <c r="AJ5" s="97">
        <v>163129</v>
      </c>
      <c r="AK5" s="97">
        <v>517595</v>
      </c>
      <c r="AL5" s="97">
        <v>160610</v>
      </c>
      <c r="AM5" s="97">
        <v>212527</v>
      </c>
      <c r="AN5" s="97">
        <v>93608</v>
      </c>
      <c r="AO5" s="97">
        <v>195288</v>
      </c>
      <c r="AP5" s="97">
        <v>139713</v>
      </c>
      <c r="AQ5" s="97">
        <v>155340</v>
      </c>
      <c r="AR5" s="97">
        <v>282067</v>
      </c>
    </row>
    <row r="6" spans="1:46" s="98" customFormat="1" ht="24.75" customHeight="1" outlineLevel="2" x14ac:dyDescent="0.35">
      <c r="A6" s="89" t="s">
        <v>481</v>
      </c>
      <c r="B6" s="90" t="s">
        <v>480</v>
      </c>
      <c r="C6" s="99">
        <f>2.1/216.7</f>
        <v>9.6908167974157824E-3</v>
      </c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3">
        <v>1</v>
      </c>
      <c r="U6" s="100">
        <f>1171569/2.1</f>
        <v>557890</v>
      </c>
      <c r="V6" s="92"/>
      <c r="W6" s="92"/>
      <c r="X6" s="92"/>
      <c r="Y6" s="94" t="s">
        <v>3</v>
      </c>
      <c r="Z6" s="92">
        <f>C6/$T6*$U6</f>
        <v>5406.4097831102908</v>
      </c>
      <c r="AA6" s="95" t="s">
        <v>348</v>
      </c>
      <c r="AB6" s="93">
        <f t="shared" si="0"/>
        <v>17590726</v>
      </c>
      <c r="AC6" s="92">
        <v>760055</v>
      </c>
      <c r="AD6" s="92">
        <v>1286046</v>
      </c>
      <c r="AE6" s="92">
        <v>2614693</v>
      </c>
      <c r="AF6" s="92">
        <v>2445318</v>
      </c>
      <c r="AG6" s="92">
        <v>1426296</v>
      </c>
      <c r="AH6" s="92">
        <v>565862</v>
      </c>
      <c r="AI6" s="92">
        <v>565862</v>
      </c>
      <c r="AJ6" s="92">
        <v>534855</v>
      </c>
      <c r="AK6" s="92">
        <v>1171569</v>
      </c>
      <c r="AL6" s="92">
        <v>565862</v>
      </c>
      <c r="AM6" s="92">
        <v>2350311</v>
      </c>
      <c r="AN6" s="92">
        <v>776982</v>
      </c>
      <c r="AO6" s="92">
        <v>707474</v>
      </c>
      <c r="AP6" s="92">
        <v>565862</v>
      </c>
      <c r="AQ6" s="92">
        <v>687817</v>
      </c>
      <c r="AR6" s="92">
        <v>565862</v>
      </c>
    </row>
    <row r="7" spans="1:46" s="98" customFormat="1" ht="24.75" customHeight="1" outlineLevel="2" x14ac:dyDescent="0.35">
      <c r="A7" s="89" t="s">
        <v>482</v>
      </c>
      <c r="B7" s="90" t="s">
        <v>480</v>
      </c>
      <c r="C7" s="99">
        <f>1/216.7</f>
        <v>4.6146746654360873E-3</v>
      </c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3">
        <v>1</v>
      </c>
      <c r="U7" s="100">
        <f>213268/1</f>
        <v>213268</v>
      </c>
      <c r="V7" s="92"/>
      <c r="W7" s="92"/>
      <c r="X7" s="92"/>
      <c r="Y7" s="94" t="s">
        <v>3</v>
      </c>
      <c r="Z7" s="92">
        <f>C7/$T7*$U7</f>
        <v>984.16243654822347</v>
      </c>
      <c r="AA7" s="95" t="s">
        <v>348</v>
      </c>
      <c r="AB7" s="93">
        <f>SUM(AC7:AR7)</f>
        <v>4961805</v>
      </c>
      <c r="AC7" s="92">
        <v>330787</v>
      </c>
      <c r="AD7" s="92">
        <v>437421</v>
      </c>
      <c r="AE7" s="92">
        <v>224153</v>
      </c>
      <c r="AF7" s="92">
        <v>437421</v>
      </c>
      <c r="AG7" s="92">
        <v>330787</v>
      </c>
      <c r="AH7" s="92">
        <v>224153</v>
      </c>
      <c r="AI7" s="92">
        <v>437421</v>
      </c>
      <c r="AJ7" s="92">
        <v>224153</v>
      </c>
      <c r="AK7" s="92">
        <v>213268</v>
      </c>
      <c r="AL7" s="92">
        <v>330787</v>
      </c>
      <c r="AM7" s="92">
        <v>437421</v>
      </c>
      <c r="AN7" s="92">
        <v>224153</v>
      </c>
      <c r="AO7" s="92">
        <v>224153</v>
      </c>
      <c r="AP7" s="92">
        <v>437421</v>
      </c>
      <c r="AQ7" s="92">
        <v>224153</v>
      </c>
      <c r="AR7" s="92">
        <v>224153</v>
      </c>
    </row>
    <row r="8" spans="1:46" ht="156" outlineLevel="1" x14ac:dyDescent="0.35">
      <c r="A8" s="86" t="s">
        <v>6</v>
      </c>
      <c r="B8" s="87" t="s">
        <v>3</v>
      </c>
      <c r="C8" s="83" t="s">
        <v>3</v>
      </c>
      <c r="D8" s="83" t="s">
        <v>3</v>
      </c>
      <c r="E8" s="83" t="s">
        <v>3</v>
      </c>
      <c r="F8" s="83" t="s">
        <v>3</v>
      </c>
      <c r="G8" s="83" t="s">
        <v>3</v>
      </c>
      <c r="H8" s="83" t="s">
        <v>3</v>
      </c>
      <c r="I8" s="83" t="s">
        <v>3</v>
      </c>
      <c r="J8" s="83" t="s">
        <v>3</v>
      </c>
      <c r="K8" s="83" t="s">
        <v>3</v>
      </c>
      <c r="L8" s="83" t="s">
        <v>3</v>
      </c>
      <c r="M8" s="83" t="s">
        <v>3</v>
      </c>
      <c r="N8" s="83" t="s">
        <v>3</v>
      </c>
      <c r="O8" s="83" t="s">
        <v>3</v>
      </c>
      <c r="P8" s="83" t="s">
        <v>3</v>
      </c>
      <c r="Q8" s="83" t="s">
        <v>3</v>
      </c>
      <c r="R8" s="83" t="s">
        <v>3</v>
      </c>
      <c r="S8" s="83" t="s">
        <v>3</v>
      </c>
      <c r="T8" s="83" t="s">
        <v>3</v>
      </c>
      <c r="U8" s="83" t="s">
        <v>3</v>
      </c>
      <c r="V8" s="83" t="s">
        <v>3</v>
      </c>
      <c r="W8" s="83" t="s">
        <v>3</v>
      </c>
      <c r="X8" s="83" t="s">
        <v>3</v>
      </c>
      <c r="Y8" s="83" t="s">
        <v>3</v>
      </c>
      <c r="Z8" s="83" t="s">
        <v>3</v>
      </c>
      <c r="AA8" s="83" t="s">
        <v>3</v>
      </c>
      <c r="AB8" s="84">
        <f t="shared" si="0"/>
        <v>45030491.652908653</v>
      </c>
      <c r="AC8" s="88">
        <f t="shared" ref="AC8:AR8" si="3">AC9+AC11+AC19+AC38+AC69+AC76+AC81+AC96</f>
        <v>2823399.7892941046</v>
      </c>
      <c r="AD8" s="88">
        <f t="shared" si="3"/>
        <v>5023266.7916858196</v>
      </c>
      <c r="AE8" s="88">
        <f t="shared" si="3"/>
        <v>2247154.4728752328</v>
      </c>
      <c r="AF8" s="88">
        <f t="shared" si="3"/>
        <v>1798898.9492566176</v>
      </c>
      <c r="AG8" s="88">
        <f t="shared" si="3"/>
        <v>4969145.5526050208</v>
      </c>
      <c r="AH8" s="88">
        <f t="shared" si="3"/>
        <v>2482242.5425352189</v>
      </c>
      <c r="AI8" s="88">
        <f t="shared" si="3"/>
        <v>2110983.7875138875</v>
      </c>
      <c r="AJ8" s="88">
        <f t="shared" si="3"/>
        <v>2846275.3188105882</v>
      </c>
      <c r="AK8" s="88">
        <f t="shared" si="3"/>
        <v>5127486.850718786</v>
      </c>
      <c r="AL8" s="88">
        <f t="shared" si="3"/>
        <v>2796433.8134970777</v>
      </c>
      <c r="AM8" s="88">
        <f t="shared" si="3"/>
        <v>2835220.3672165349</v>
      </c>
      <c r="AN8" s="88">
        <f t="shared" si="3"/>
        <v>1333199.1487782747</v>
      </c>
      <c r="AO8" s="88">
        <f t="shared" si="3"/>
        <v>2314121.230845497</v>
      </c>
      <c r="AP8" s="88">
        <f t="shared" si="3"/>
        <v>2342747.0372217079</v>
      </c>
      <c r="AQ8" s="88">
        <f t="shared" si="3"/>
        <v>2430737.0478487285</v>
      </c>
      <c r="AR8" s="88">
        <f t="shared" si="3"/>
        <v>1549178.9522055518</v>
      </c>
      <c r="AT8" s="85"/>
    </row>
    <row r="9" spans="1:46" s="103" customFormat="1" ht="26" outlineLevel="2" collapsed="1" x14ac:dyDescent="0.35">
      <c r="A9" s="101" t="s">
        <v>338</v>
      </c>
      <c r="B9" s="102" t="s">
        <v>3</v>
      </c>
      <c r="C9" s="102" t="s">
        <v>3</v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102" t="s">
        <v>3</v>
      </c>
      <c r="U9" s="102" t="s">
        <v>3</v>
      </c>
      <c r="V9" s="102" t="s">
        <v>3</v>
      </c>
      <c r="W9" s="102" t="s">
        <v>3</v>
      </c>
      <c r="X9" s="102" t="s">
        <v>3</v>
      </c>
      <c r="Y9" s="102" t="s">
        <v>3</v>
      </c>
      <c r="Z9" s="102" t="s">
        <v>3</v>
      </c>
      <c r="AA9" s="102" t="s">
        <v>3</v>
      </c>
      <c r="AB9" s="92">
        <f>AB10</f>
        <v>40387711</v>
      </c>
      <c r="AC9" s="92">
        <f t="shared" ref="AC9:AR9" si="4">AC10</f>
        <v>2533180</v>
      </c>
      <c r="AD9" s="92">
        <f t="shared" si="4"/>
        <v>4499988</v>
      </c>
      <c r="AE9" s="92">
        <f t="shared" si="4"/>
        <v>2018266</v>
      </c>
      <c r="AF9" s="92">
        <f t="shared" si="4"/>
        <v>1614905</v>
      </c>
      <c r="AG9" s="92">
        <f t="shared" si="4"/>
        <v>4458869</v>
      </c>
      <c r="AH9" s="92">
        <f t="shared" si="4"/>
        <v>2235200</v>
      </c>
      <c r="AI9" s="92">
        <f t="shared" si="4"/>
        <v>1891663</v>
      </c>
      <c r="AJ9" s="92">
        <f t="shared" si="4"/>
        <v>2551885</v>
      </c>
      <c r="AK9" s="92">
        <f t="shared" si="4"/>
        <v>4595867</v>
      </c>
      <c r="AL9" s="92">
        <f t="shared" si="4"/>
        <v>2506950</v>
      </c>
      <c r="AM9" s="92">
        <f t="shared" si="4"/>
        <v>2542302</v>
      </c>
      <c r="AN9" s="92">
        <f t="shared" si="4"/>
        <v>1195817</v>
      </c>
      <c r="AO9" s="92">
        <f t="shared" si="4"/>
        <v>2077873</v>
      </c>
      <c r="AP9" s="92">
        <f t="shared" si="4"/>
        <v>2100611</v>
      </c>
      <c r="AQ9" s="92">
        <f t="shared" si="4"/>
        <v>2178788</v>
      </c>
      <c r="AR9" s="92">
        <f t="shared" si="4"/>
        <v>1385547</v>
      </c>
      <c r="AT9" s="104"/>
    </row>
    <row r="10" spans="1:46" s="98" customFormat="1" ht="39" hidden="1" outlineLevel="3" x14ac:dyDescent="0.35">
      <c r="A10" s="89" t="s">
        <v>339</v>
      </c>
      <c r="B10" s="90" t="s">
        <v>254</v>
      </c>
      <c r="C10" s="93">
        <f>247*0.5481</f>
        <v>135.38070000000002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3">
        <v>1</v>
      </c>
      <c r="U10" s="93">
        <v>156.6577142134274</v>
      </c>
      <c r="V10" s="92"/>
      <c r="W10" s="92"/>
      <c r="X10" s="92"/>
      <c r="Y10" s="92"/>
      <c r="Z10" s="92">
        <f>C10/$T10*$U10</f>
        <v>21208.431010613753</v>
      </c>
      <c r="AA10" s="105" t="s">
        <v>340</v>
      </c>
      <c r="AB10" s="97">
        <f>SUM(AC10:AR10)</f>
        <v>40387711</v>
      </c>
      <c r="AC10" s="88">
        <v>2533180</v>
      </c>
      <c r="AD10" s="88">
        <v>4499988</v>
      </c>
      <c r="AE10" s="88">
        <v>2018266</v>
      </c>
      <c r="AF10" s="88">
        <v>1614905</v>
      </c>
      <c r="AG10" s="88">
        <v>4458869</v>
      </c>
      <c r="AH10" s="88">
        <v>2235200</v>
      </c>
      <c r="AI10" s="88">
        <v>1891663</v>
      </c>
      <c r="AJ10" s="88">
        <v>2551885</v>
      </c>
      <c r="AK10" s="88">
        <v>4595867</v>
      </c>
      <c r="AL10" s="88">
        <v>2506950</v>
      </c>
      <c r="AM10" s="88">
        <v>2542302</v>
      </c>
      <c r="AN10" s="88">
        <v>1195817</v>
      </c>
      <c r="AO10" s="88">
        <v>2077873</v>
      </c>
      <c r="AP10" s="88">
        <v>2100611</v>
      </c>
      <c r="AQ10" s="88">
        <v>2178788</v>
      </c>
      <c r="AR10" s="88">
        <v>1385547</v>
      </c>
    </row>
    <row r="11" spans="1:46" s="103" customFormat="1" ht="39" outlineLevel="2" collapsed="1" x14ac:dyDescent="0.35">
      <c r="A11" s="101" t="s">
        <v>19</v>
      </c>
      <c r="B11" s="102" t="s">
        <v>3</v>
      </c>
      <c r="C11" s="102" t="s">
        <v>3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102" t="s">
        <v>3</v>
      </c>
      <c r="U11" s="102" t="s">
        <v>3</v>
      </c>
      <c r="V11" s="102" t="s">
        <v>3</v>
      </c>
      <c r="W11" s="102" t="s">
        <v>3</v>
      </c>
      <c r="X11" s="102" t="s">
        <v>3</v>
      </c>
      <c r="Y11" s="102" t="s">
        <v>3</v>
      </c>
      <c r="Z11" s="102" t="s">
        <v>3</v>
      </c>
      <c r="AA11" s="102" t="s">
        <v>3</v>
      </c>
      <c r="AB11" s="92">
        <f>SUM(AB12:AB18)</f>
        <v>1543289.5916666666</v>
      </c>
      <c r="AC11" s="92">
        <f t="shared" ref="AC11:AR11" si="5">SUM(AC12:AC18)</f>
        <v>96470.889666666655</v>
      </c>
      <c r="AD11" s="92">
        <f t="shared" si="5"/>
        <v>173941.17300000001</v>
      </c>
      <c r="AE11" s="92">
        <f t="shared" si="5"/>
        <v>76083.972999999998</v>
      </c>
      <c r="AF11" s="92">
        <f t="shared" si="5"/>
        <v>61160.75</v>
      </c>
      <c r="AG11" s="92">
        <f t="shared" si="5"/>
        <v>169619.14666666664</v>
      </c>
      <c r="AH11" s="92">
        <f t="shared" si="5"/>
        <v>82118.50033333333</v>
      </c>
      <c r="AI11" s="92">
        <f t="shared" si="5"/>
        <v>72903.614000000001</v>
      </c>
      <c r="AJ11" s="92">
        <f t="shared" si="5"/>
        <v>97857.2</v>
      </c>
      <c r="AK11" s="92">
        <f t="shared" si="5"/>
        <v>176713.79366666666</v>
      </c>
      <c r="AL11" s="92">
        <f t="shared" si="5"/>
        <v>96226.246666666659</v>
      </c>
      <c r="AM11" s="92">
        <f t="shared" si="5"/>
        <v>97367.914000000019</v>
      </c>
      <c r="AN11" s="92">
        <f t="shared" si="5"/>
        <v>45666.693333333329</v>
      </c>
      <c r="AO11" s="92">
        <f t="shared" si="5"/>
        <v>78530.402999999991</v>
      </c>
      <c r="AP11" s="92">
        <f t="shared" si="5"/>
        <v>80487.547000000006</v>
      </c>
      <c r="AQ11" s="92">
        <f t="shared" si="5"/>
        <v>83749.453666666668</v>
      </c>
      <c r="AR11" s="92">
        <f t="shared" si="5"/>
        <v>54392.293666666672</v>
      </c>
    </row>
    <row r="12" spans="1:46" s="98" customFormat="1" ht="13" hidden="1" outlineLevel="3" x14ac:dyDescent="0.35">
      <c r="A12" s="89" t="s">
        <v>21</v>
      </c>
      <c r="B12" s="90" t="s">
        <v>20</v>
      </c>
      <c r="C12" s="92">
        <v>1</v>
      </c>
      <c r="D12" s="92">
        <v>16</v>
      </c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>
        <v>10</v>
      </c>
      <c r="U12" s="93">
        <f t="shared" ref="U12:U18" si="6">AVERAGE(V12:X12)</f>
        <v>766.66666666666663</v>
      </c>
      <c r="V12" s="92">
        <v>855</v>
      </c>
      <c r="W12" s="92">
        <v>750</v>
      </c>
      <c r="X12" s="92">
        <v>695</v>
      </c>
      <c r="Y12" s="92">
        <v>1</v>
      </c>
      <c r="Z12" s="92">
        <f t="shared" ref="Z12:Z18" si="7">C12/$T12*$U12</f>
        <v>76.666666666666671</v>
      </c>
      <c r="AA12" s="95" t="s">
        <v>261</v>
      </c>
      <c r="AB12" s="97">
        <f>SUM(AC12:AR12)</f>
        <v>145091.66666666669</v>
      </c>
      <c r="AC12" s="88">
        <f>$Z12*AC$2</f>
        <v>9069.6666666666679</v>
      </c>
      <c r="AD12" s="88">
        <f>$Z12*AD$2</f>
        <v>16353.000000000002</v>
      </c>
      <c r="AE12" s="88">
        <f t="shared" ref="AE12:AR27" si="8">$Z12*AE$2</f>
        <v>7153</v>
      </c>
      <c r="AF12" s="88">
        <f t="shared" si="8"/>
        <v>5750</v>
      </c>
      <c r="AG12" s="88">
        <f t="shared" si="8"/>
        <v>15946.666666666668</v>
      </c>
      <c r="AH12" s="88">
        <f t="shared" si="8"/>
        <v>7720.3333333333339</v>
      </c>
      <c r="AI12" s="88">
        <f t="shared" si="8"/>
        <v>6854.0000000000009</v>
      </c>
      <c r="AJ12" s="88">
        <f t="shared" si="8"/>
        <v>9200</v>
      </c>
      <c r="AK12" s="88">
        <f t="shared" si="8"/>
        <v>16613.666666666668</v>
      </c>
      <c r="AL12" s="88">
        <f t="shared" si="8"/>
        <v>9046.6666666666679</v>
      </c>
      <c r="AM12" s="88">
        <f t="shared" si="8"/>
        <v>9154.0000000000018</v>
      </c>
      <c r="AN12" s="88">
        <f t="shared" si="8"/>
        <v>4293.3333333333339</v>
      </c>
      <c r="AO12" s="88">
        <f t="shared" si="8"/>
        <v>7383</v>
      </c>
      <c r="AP12" s="88">
        <f t="shared" si="8"/>
        <v>7567.0000000000009</v>
      </c>
      <c r="AQ12" s="88">
        <f t="shared" si="8"/>
        <v>7873.666666666667</v>
      </c>
      <c r="AR12" s="88">
        <f t="shared" si="8"/>
        <v>5113.666666666667</v>
      </c>
    </row>
    <row r="13" spans="1:46" s="98" customFormat="1" ht="13" hidden="1" outlineLevel="3" x14ac:dyDescent="0.35">
      <c r="A13" s="89" t="s">
        <v>23</v>
      </c>
      <c r="B13" s="90" t="s">
        <v>20</v>
      </c>
      <c r="C13" s="92">
        <v>1</v>
      </c>
      <c r="D13" s="92">
        <v>16</v>
      </c>
      <c r="E13" s="92">
        <v>50</v>
      </c>
      <c r="F13" s="92"/>
      <c r="G13" s="92"/>
      <c r="H13" s="92"/>
      <c r="I13" s="92">
        <v>50</v>
      </c>
      <c r="J13" s="92"/>
      <c r="K13" s="92"/>
      <c r="L13" s="92"/>
      <c r="M13" s="92">
        <v>50</v>
      </c>
      <c r="N13" s="92"/>
      <c r="O13" s="92"/>
      <c r="P13" s="92"/>
      <c r="Q13" s="92"/>
      <c r="R13" s="92"/>
      <c r="S13" s="92"/>
      <c r="T13" s="93">
        <v>5</v>
      </c>
      <c r="U13" s="93">
        <f t="shared" si="6"/>
        <v>176.5</v>
      </c>
      <c r="V13" s="92">
        <v>165</v>
      </c>
      <c r="W13" s="92">
        <v>188</v>
      </c>
      <c r="X13" s="92">
        <v>176.5</v>
      </c>
      <c r="Y13" s="92">
        <v>2</v>
      </c>
      <c r="Z13" s="92">
        <f t="shared" si="7"/>
        <v>35.300000000000004</v>
      </c>
      <c r="AA13" s="95" t="s">
        <v>260</v>
      </c>
      <c r="AB13" s="97">
        <f t="shared" ref="AB13:AB18" si="9">SUM(AC13:AR13)</f>
        <v>66805.250000000015</v>
      </c>
      <c r="AC13" s="88">
        <f t="shared" ref="AC13:AD18" si="10">$Z13*AC$2</f>
        <v>4175.9900000000007</v>
      </c>
      <c r="AD13" s="88">
        <f t="shared" si="10"/>
        <v>7529.4900000000016</v>
      </c>
      <c r="AE13" s="88">
        <f t="shared" si="8"/>
        <v>3293.4900000000002</v>
      </c>
      <c r="AF13" s="88">
        <f t="shared" si="8"/>
        <v>2647.5000000000005</v>
      </c>
      <c r="AG13" s="88">
        <f t="shared" si="8"/>
        <v>7342.4000000000005</v>
      </c>
      <c r="AH13" s="88">
        <f t="shared" si="8"/>
        <v>3554.7100000000005</v>
      </c>
      <c r="AI13" s="88">
        <f t="shared" si="8"/>
        <v>3155.8200000000006</v>
      </c>
      <c r="AJ13" s="88">
        <f t="shared" si="8"/>
        <v>4236.0000000000009</v>
      </c>
      <c r="AK13" s="88">
        <f t="shared" si="8"/>
        <v>7649.51</v>
      </c>
      <c r="AL13" s="88">
        <f t="shared" si="8"/>
        <v>4165.4000000000005</v>
      </c>
      <c r="AM13" s="88">
        <f t="shared" si="8"/>
        <v>4214.8200000000006</v>
      </c>
      <c r="AN13" s="88">
        <f t="shared" si="8"/>
        <v>1976.8000000000002</v>
      </c>
      <c r="AO13" s="88">
        <f t="shared" si="8"/>
        <v>3399.3900000000003</v>
      </c>
      <c r="AP13" s="88">
        <f t="shared" si="8"/>
        <v>3484.1100000000006</v>
      </c>
      <c r="AQ13" s="88">
        <f t="shared" si="8"/>
        <v>3625.3100000000004</v>
      </c>
      <c r="AR13" s="88">
        <f t="shared" si="8"/>
        <v>2354.5100000000002</v>
      </c>
    </row>
    <row r="14" spans="1:46" s="98" customFormat="1" ht="13" hidden="1" outlineLevel="3" x14ac:dyDescent="0.35">
      <c r="A14" s="89" t="s">
        <v>24</v>
      </c>
      <c r="B14" s="90" t="s">
        <v>20</v>
      </c>
      <c r="C14" s="92">
        <v>1</v>
      </c>
      <c r="D14" s="92"/>
      <c r="E14" s="92">
        <v>50</v>
      </c>
      <c r="F14" s="92"/>
      <c r="G14" s="92"/>
      <c r="H14" s="92"/>
      <c r="I14" s="92">
        <v>50</v>
      </c>
      <c r="J14" s="92"/>
      <c r="K14" s="92"/>
      <c r="L14" s="92"/>
      <c r="M14" s="92">
        <v>50</v>
      </c>
      <c r="N14" s="92"/>
      <c r="O14" s="92"/>
      <c r="P14" s="92"/>
      <c r="Q14" s="92"/>
      <c r="R14" s="92"/>
      <c r="S14" s="92"/>
      <c r="T14" s="93">
        <v>10</v>
      </c>
      <c r="U14" s="93">
        <f t="shared" si="6"/>
        <v>430</v>
      </c>
      <c r="V14" s="92">
        <v>450</v>
      </c>
      <c r="W14" s="92">
        <v>420</v>
      </c>
      <c r="X14" s="92">
        <v>420</v>
      </c>
      <c r="Y14" s="92">
        <v>3</v>
      </c>
      <c r="Z14" s="92">
        <f t="shared" si="7"/>
        <v>43</v>
      </c>
      <c r="AA14" s="95" t="s">
        <v>260</v>
      </c>
      <c r="AB14" s="97">
        <f t="shared" si="9"/>
        <v>81377.5</v>
      </c>
      <c r="AC14" s="88">
        <f t="shared" si="10"/>
        <v>5086.8999999999996</v>
      </c>
      <c r="AD14" s="88">
        <f t="shared" si="10"/>
        <v>9171.9</v>
      </c>
      <c r="AE14" s="88">
        <f t="shared" si="8"/>
        <v>4011.9</v>
      </c>
      <c r="AF14" s="88">
        <f t="shared" si="8"/>
        <v>3225</v>
      </c>
      <c r="AG14" s="88">
        <f t="shared" si="8"/>
        <v>8944</v>
      </c>
      <c r="AH14" s="88">
        <f t="shared" si="8"/>
        <v>4330.1000000000004</v>
      </c>
      <c r="AI14" s="88">
        <f t="shared" si="8"/>
        <v>3844.2000000000003</v>
      </c>
      <c r="AJ14" s="88">
        <f t="shared" si="8"/>
        <v>5160</v>
      </c>
      <c r="AK14" s="88">
        <f t="shared" si="8"/>
        <v>9318.1</v>
      </c>
      <c r="AL14" s="88">
        <f t="shared" si="8"/>
        <v>5074</v>
      </c>
      <c r="AM14" s="88">
        <f t="shared" si="8"/>
        <v>5134.2</v>
      </c>
      <c r="AN14" s="88">
        <f t="shared" si="8"/>
        <v>2408</v>
      </c>
      <c r="AO14" s="88">
        <f t="shared" si="8"/>
        <v>4140.8999999999996</v>
      </c>
      <c r="AP14" s="88">
        <f t="shared" si="8"/>
        <v>4244.1000000000004</v>
      </c>
      <c r="AQ14" s="88">
        <f t="shared" si="8"/>
        <v>4416.1000000000004</v>
      </c>
      <c r="AR14" s="88">
        <f t="shared" si="8"/>
        <v>2868.1</v>
      </c>
    </row>
    <row r="15" spans="1:46" s="98" customFormat="1" ht="13" hidden="1" outlineLevel="3" x14ac:dyDescent="0.35">
      <c r="A15" s="89" t="s">
        <v>193</v>
      </c>
      <c r="B15" s="90" t="s">
        <v>20</v>
      </c>
      <c r="C15" s="92">
        <v>1</v>
      </c>
      <c r="D15" s="92"/>
      <c r="E15" s="92"/>
      <c r="F15" s="92"/>
      <c r="G15" s="92"/>
      <c r="H15" s="92"/>
      <c r="I15" s="92"/>
      <c r="J15" s="92"/>
      <c r="K15" s="92"/>
      <c r="L15" s="92"/>
      <c r="M15" s="92">
        <v>50</v>
      </c>
      <c r="N15" s="92"/>
      <c r="O15" s="92"/>
      <c r="P15" s="92"/>
      <c r="Q15" s="92"/>
      <c r="R15" s="92"/>
      <c r="S15" s="92"/>
      <c r="T15" s="93">
        <v>1</v>
      </c>
      <c r="U15" s="93">
        <f t="shared" si="6"/>
        <v>90</v>
      </c>
      <c r="V15" s="92">
        <v>92</v>
      </c>
      <c r="W15" s="92">
        <v>89</v>
      </c>
      <c r="X15" s="92">
        <v>89</v>
      </c>
      <c r="Y15" s="92">
        <v>4</v>
      </c>
      <c r="Z15" s="92">
        <f t="shared" si="7"/>
        <v>90</v>
      </c>
      <c r="AA15" s="95" t="s">
        <v>260</v>
      </c>
      <c r="AB15" s="97">
        <f t="shared" si="9"/>
        <v>170325</v>
      </c>
      <c r="AC15" s="88">
        <f t="shared" si="10"/>
        <v>10647</v>
      </c>
      <c r="AD15" s="88">
        <f t="shared" si="10"/>
        <v>19197</v>
      </c>
      <c r="AE15" s="88">
        <f t="shared" si="8"/>
        <v>8397</v>
      </c>
      <c r="AF15" s="88">
        <f t="shared" si="8"/>
        <v>6750</v>
      </c>
      <c r="AG15" s="88">
        <f t="shared" si="8"/>
        <v>18720</v>
      </c>
      <c r="AH15" s="88">
        <f t="shared" si="8"/>
        <v>9063</v>
      </c>
      <c r="AI15" s="88">
        <f t="shared" si="8"/>
        <v>8046.0000000000009</v>
      </c>
      <c r="AJ15" s="88">
        <f t="shared" si="8"/>
        <v>10800</v>
      </c>
      <c r="AK15" s="88">
        <f t="shared" si="8"/>
        <v>19503</v>
      </c>
      <c r="AL15" s="88">
        <f t="shared" si="8"/>
        <v>10620</v>
      </c>
      <c r="AM15" s="88">
        <f t="shared" si="8"/>
        <v>10746</v>
      </c>
      <c r="AN15" s="88">
        <f t="shared" si="8"/>
        <v>5040</v>
      </c>
      <c r="AO15" s="88">
        <f t="shared" si="8"/>
        <v>8667</v>
      </c>
      <c r="AP15" s="88">
        <f t="shared" si="8"/>
        <v>8883</v>
      </c>
      <c r="AQ15" s="88">
        <f t="shared" si="8"/>
        <v>9243</v>
      </c>
      <c r="AR15" s="88">
        <f t="shared" si="8"/>
        <v>6003</v>
      </c>
    </row>
    <row r="16" spans="1:46" s="98" customFormat="1" ht="13" hidden="1" outlineLevel="3" x14ac:dyDescent="0.35">
      <c r="A16" s="89" t="s">
        <v>194</v>
      </c>
      <c r="B16" s="90" t="s">
        <v>20</v>
      </c>
      <c r="C16" s="92">
        <v>1</v>
      </c>
      <c r="D16" s="92"/>
      <c r="E16" s="92"/>
      <c r="F16" s="92"/>
      <c r="G16" s="92"/>
      <c r="H16" s="92"/>
      <c r="I16" s="92"/>
      <c r="J16" s="92"/>
      <c r="K16" s="92"/>
      <c r="L16" s="92"/>
      <c r="M16" s="92">
        <v>50</v>
      </c>
      <c r="N16" s="92"/>
      <c r="O16" s="92"/>
      <c r="P16" s="92"/>
      <c r="Q16" s="92"/>
      <c r="R16" s="92"/>
      <c r="S16" s="92"/>
      <c r="T16" s="93">
        <v>1</v>
      </c>
      <c r="U16" s="93">
        <f t="shared" si="6"/>
        <v>161.66666666666666</v>
      </c>
      <c r="V16" s="92">
        <v>185</v>
      </c>
      <c r="W16" s="92">
        <v>140</v>
      </c>
      <c r="X16" s="92">
        <v>160</v>
      </c>
      <c r="Y16" s="92">
        <v>5</v>
      </c>
      <c r="Z16" s="92">
        <f t="shared" si="7"/>
        <v>161.66666666666666</v>
      </c>
      <c r="AA16" s="95" t="s">
        <v>260</v>
      </c>
      <c r="AB16" s="97">
        <f t="shared" si="9"/>
        <v>305954.16666666663</v>
      </c>
      <c r="AC16" s="88">
        <f t="shared" si="10"/>
        <v>19125.166666666664</v>
      </c>
      <c r="AD16" s="88">
        <f t="shared" si="10"/>
        <v>34483.5</v>
      </c>
      <c r="AE16" s="88">
        <f t="shared" si="8"/>
        <v>15083.499999999998</v>
      </c>
      <c r="AF16" s="88">
        <f t="shared" si="8"/>
        <v>12125</v>
      </c>
      <c r="AG16" s="88">
        <f t="shared" si="8"/>
        <v>33626.666666666664</v>
      </c>
      <c r="AH16" s="88">
        <f t="shared" si="8"/>
        <v>16279.833333333332</v>
      </c>
      <c r="AI16" s="88">
        <f t="shared" si="8"/>
        <v>14453</v>
      </c>
      <c r="AJ16" s="88">
        <f t="shared" si="8"/>
        <v>19400</v>
      </c>
      <c r="AK16" s="88">
        <f t="shared" si="8"/>
        <v>35033.166666666664</v>
      </c>
      <c r="AL16" s="88">
        <f t="shared" si="8"/>
        <v>19076.666666666664</v>
      </c>
      <c r="AM16" s="88">
        <f t="shared" si="8"/>
        <v>19303</v>
      </c>
      <c r="AN16" s="88">
        <f t="shared" si="8"/>
        <v>9053.3333333333321</v>
      </c>
      <c r="AO16" s="88">
        <f t="shared" si="8"/>
        <v>15568.499999999998</v>
      </c>
      <c r="AP16" s="88">
        <f t="shared" si="8"/>
        <v>15956.5</v>
      </c>
      <c r="AQ16" s="88">
        <f t="shared" si="8"/>
        <v>16603.166666666668</v>
      </c>
      <c r="AR16" s="88">
        <f t="shared" si="8"/>
        <v>10783.166666666666</v>
      </c>
    </row>
    <row r="17" spans="1:44" s="98" customFormat="1" ht="13" hidden="1" outlineLevel="3" x14ac:dyDescent="0.35">
      <c r="A17" s="89" t="s">
        <v>195</v>
      </c>
      <c r="B17" s="90" t="s">
        <v>20</v>
      </c>
      <c r="C17" s="92">
        <v>1</v>
      </c>
      <c r="D17" s="92"/>
      <c r="E17" s="92"/>
      <c r="F17" s="92"/>
      <c r="G17" s="92"/>
      <c r="H17" s="92"/>
      <c r="I17" s="92"/>
      <c r="J17" s="92"/>
      <c r="K17" s="92"/>
      <c r="L17" s="92"/>
      <c r="M17" s="92">
        <v>50</v>
      </c>
      <c r="N17" s="92"/>
      <c r="O17" s="92"/>
      <c r="P17" s="92"/>
      <c r="Q17" s="92"/>
      <c r="R17" s="92"/>
      <c r="S17" s="92"/>
      <c r="T17" s="93">
        <v>1</v>
      </c>
      <c r="U17" s="93">
        <f t="shared" si="6"/>
        <v>314.33333333333331</v>
      </c>
      <c r="V17" s="92">
        <v>330</v>
      </c>
      <c r="W17" s="92">
        <v>297</v>
      </c>
      <c r="X17" s="92">
        <v>316</v>
      </c>
      <c r="Y17" s="92">
        <v>6</v>
      </c>
      <c r="Z17" s="92">
        <f t="shared" si="7"/>
        <v>314.33333333333331</v>
      </c>
      <c r="AA17" s="95" t="s">
        <v>260</v>
      </c>
      <c r="AB17" s="97">
        <f t="shared" si="9"/>
        <v>594875.83333333326</v>
      </c>
      <c r="AC17" s="88">
        <f t="shared" si="10"/>
        <v>37185.633333333331</v>
      </c>
      <c r="AD17" s="88">
        <f t="shared" si="10"/>
        <v>67047.3</v>
      </c>
      <c r="AE17" s="88">
        <f t="shared" si="8"/>
        <v>29327.299999999996</v>
      </c>
      <c r="AF17" s="88">
        <f t="shared" si="8"/>
        <v>23575</v>
      </c>
      <c r="AG17" s="88">
        <f t="shared" si="8"/>
        <v>65381.333333333328</v>
      </c>
      <c r="AH17" s="88">
        <f t="shared" si="8"/>
        <v>31653.366666666665</v>
      </c>
      <c r="AI17" s="88">
        <f t="shared" si="8"/>
        <v>28101.4</v>
      </c>
      <c r="AJ17" s="88">
        <f t="shared" si="8"/>
        <v>37720</v>
      </c>
      <c r="AK17" s="88">
        <f t="shared" si="8"/>
        <v>68116.033333333326</v>
      </c>
      <c r="AL17" s="88">
        <f t="shared" si="8"/>
        <v>37091.333333333328</v>
      </c>
      <c r="AM17" s="88">
        <f t="shared" si="8"/>
        <v>37531.4</v>
      </c>
      <c r="AN17" s="88">
        <f t="shared" si="8"/>
        <v>17602.666666666664</v>
      </c>
      <c r="AO17" s="88">
        <f t="shared" si="8"/>
        <v>30270.299999999996</v>
      </c>
      <c r="AP17" s="88">
        <f t="shared" si="8"/>
        <v>31024.7</v>
      </c>
      <c r="AQ17" s="88">
        <f t="shared" si="8"/>
        <v>32282.033333333333</v>
      </c>
      <c r="AR17" s="88">
        <f t="shared" si="8"/>
        <v>20966.033333333333</v>
      </c>
    </row>
    <row r="18" spans="1:44" s="98" customFormat="1" ht="13" hidden="1" outlineLevel="3" x14ac:dyDescent="0.35">
      <c r="A18" s="89" t="s">
        <v>196</v>
      </c>
      <c r="B18" s="90" t="s">
        <v>20</v>
      </c>
      <c r="C18" s="92">
        <v>1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>
        <v>328</v>
      </c>
      <c r="O18" s="92"/>
      <c r="P18" s="92"/>
      <c r="Q18" s="92"/>
      <c r="R18" s="92"/>
      <c r="S18" s="92"/>
      <c r="T18" s="93">
        <v>1</v>
      </c>
      <c r="U18" s="93">
        <f t="shared" si="6"/>
        <v>94.509999999999991</v>
      </c>
      <c r="V18" s="92">
        <v>93.53</v>
      </c>
      <c r="W18" s="92">
        <v>95</v>
      </c>
      <c r="X18" s="92">
        <v>95</v>
      </c>
      <c r="Y18" s="92">
        <v>7</v>
      </c>
      <c r="Z18" s="92">
        <f t="shared" si="7"/>
        <v>94.509999999999991</v>
      </c>
      <c r="AA18" s="95" t="s">
        <v>260</v>
      </c>
      <c r="AB18" s="97">
        <f t="shared" si="9"/>
        <v>178860.17499999996</v>
      </c>
      <c r="AC18" s="88">
        <f t="shared" si="10"/>
        <v>11180.532999999999</v>
      </c>
      <c r="AD18" s="88">
        <f t="shared" si="10"/>
        <v>20158.983</v>
      </c>
      <c r="AE18" s="88">
        <f t="shared" si="8"/>
        <v>8817.7829999999994</v>
      </c>
      <c r="AF18" s="88">
        <f t="shared" si="8"/>
        <v>7088.2499999999991</v>
      </c>
      <c r="AG18" s="88">
        <f t="shared" si="8"/>
        <v>19658.079999999998</v>
      </c>
      <c r="AH18" s="88">
        <f t="shared" si="8"/>
        <v>9517.1569999999992</v>
      </c>
      <c r="AI18" s="88">
        <f t="shared" si="8"/>
        <v>8449.1939999999995</v>
      </c>
      <c r="AJ18" s="88">
        <f t="shared" si="8"/>
        <v>11341.199999999999</v>
      </c>
      <c r="AK18" s="88">
        <f t="shared" si="8"/>
        <v>20480.316999999995</v>
      </c>
      <c r="AL18" s="88">
        <f t="shared" si="8"/>
        <v>11152.179999999998</v>
      </c>
      <c r="AM18" s="88">
        <f t="shared" si="8"/>
        <v>11284.493999999999</v>
      </c>
      <c r="AN18" s="88">
        <f t="shared" si="8"/>
        <v>5292.5599999999995</v>
      </c>
      <c r="AO18" s="88">
        <f t="shared" si="8"/>
        <v>9101.3129999999983</v>
      </c>
      <c r="AP18" s="88">
        <f t="shared" si="8"/>
        <v>9328.1369999999988</v>
      </c>
      <c r="AQ18" s="88">
        <f t="shared" si="8"/>
        <v>9706.1769999999997</v>
      </c>
      <c r="AR18" s="88">
        <f t="shared" si="8"/>
        <v>6303.817</v>
      </c>
    </row>
    <row r="19" spans="1:44" s="103" customFormat="1" ht="13" outlineLevel="2" collapsed="1" x14ac:dyDescent="0.35">
      <c r="A19" s="101" t="s">
        <v>262</v>
      </c>
      <c r="B19" s="102" t="s">
        <v>3</v>
      </c>
      <c r="C19" s="102" t="s">
        <v>3</v>
      </c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102" t="s">
        <v>3</v>
      </c>
      <c r="U19" s="102" t="s">
        <v>3</v>
      </c>
      <c r="V19" s="102" t="s">
        <v>3</v>
      </c>
      <c r="W19" s="102" t="s">
        <v>3</v>
      </c>
      <c r="X19" s="102" t="s">
        <v>3</v>
      </c>
      <c r="Y19" s="102" t="s">
        <v>3</v>
      </c>
      <c r="Z19" s="102" t="s">
        <v>3</v>
      </c>
      <c r="AA19" s="102" t="s">
        <v>3</v>
      </c>
      <c r="AB19" s="92">
        <f>SUM(AB20:AB37)</f>
        <v>1891767.4781632118</v>
      </c>
      <c r="AC19" s="92">
        <f t="shared" ref="AC19:AR19" si="11">SUM(AC20:AC37)</f>
        <v>118254.21012771883</v>
      </c>
      <c r="AD19" s="92">
        <f t="shared" si="11"/>
        <v>213217.43888624205</v>
      </c>
      <c r="AE19" s="92">
        <f t="shared" si="11"/>
        <v>93263.886770212746</v>
      </c>
      <c r="AF19" s="92">
        <f t="shared" si="11"/>
        <v>74970.970072518277</v>
      </c>
      <c r="AG19" s="92">
        <f t="shared" si="11"/>
        <v>207919.49033445073</v>
      </c>
      <c r="AH19" s="92">
        <f t="shared" si="11"/>
        <v>100661.02248403456</v>
      </c>
      <c r="AI19" s="92">
        <f t="shared" si="11"/>
        <v>89365.396326441798</v>
      </c>
      <c r="AJ19" s="92">
        <f t="shared" si="11"/>
        <v>119953.55211602927</v>
      </c>
      <c r="AK19" s="92">
        <f t="shared" si="11"/>
        <v>216616.12286286286</v>
      </c>
      <c r="AL19" s="92">
        <f t="shared" si="11"/>
        <v>117954.32624742876</v>
      </c>
      <c r="AM19" s="92">
        <f t="shared" si="11"/>
        <v>119353.78435544911</v>
      </c>
      <c r="AN19" s="92">
        <f t="shared" si="11"/>
        <v>55978.324320813648</v>
      </c>
      <c r="AO19" s="92">
        <f t="shared" si="11"/>
        <v>96262.725573113494</v>
      </c>
      <c r="AP19" s="92">
        <f t="shared" si="11"/>
        <v>98661.796615434083</v>
      </c>
      <c r="AQ19" s="92">
        <f t="shared" si="11"/>
        <v>102660.24835263504</v>
      </c>
      <c r="AR19" s="92">
        <f t="shared" si="11"/>
        <v>66674.182717826261</v>
      </c>
    </row>
    <row r="20" spans="1:44" s="98" customFormat="1" ht="13" hidden="1" outlineLevel="3" x14ac:dyDescent="0.35">
      <c r="A20" s="89" t="s">
        <v>26</v>
      </c>
      <c r="B20" s="90" t="s">
        <v>20</v>
      </c>
      <c r="C20" s="93">
        <v>1</v>
      </c>
      <c r="D20" s="92"/>
      <c r="E20" s="92">
        <v>25</v>
      </c>
      <c r="F20" s="92"/>
      <c r="G20" s="92"/>
      <c r="H20" s="92"/>
      <c r="I20" s="92">
        <v>8</v>
      </c>
      <c r="J20" s="92">
        <v>27</v>
      </c>
      <c r="K20" s="92">
        <v>24</v>
      </c>
      <c r="L20" s="92">
        <v>25</v>
      </c>
      <c r="M20" s="92">
        <v>24</v>
      </c>
      <c r="N20" s="92"/>
      <c r="O20" s="92"/>
      <c r="P20" s="92"/>
      <c r="Q20" s="92">
        <v>60</v>
      </c>
      <c r="R20" s="92">
        <v>60</v>
      </c>
      <c r="S20" s="92"/>
      <c r="T20" s="93">
        <v>5</v>
      </c>
      <c r="U20" s="93">
        <f t="shared" ref="U20:U37" si="12">AVERAGE(V20:X20)</f>
        <v>2410</v>
      </c>
      <c r="V20" s="92">
        <v>2380</v>
      </c>
      <c r="W20" s="92">
        <v>2400</v>
      </c>
      <c r="X20" s="92">
        <v>2450</v>
      </c>
      <c r="Y20" s="92">
        <v>8</v>
      </c>
      <c r="Z20" s="92">
        <f t="shared" ref="Z20:Z25" si="13">C20/$T20*$U20</f>
        <v>482</v>
      </c>
      <c r="AA20" s="95" t="s">
        <v>263</v>
      </c>
      <c r="AB20" s="97">
        <f t="shared" ref="AB20:AB37" si="14">SUM(AC20:AR20)</f>
        <v>912185.00000000012</v>
      </c>
      <c r="AC20" s="88">
        <f t="shared" ref="AC20:AR37" si="15">$Z20*AC$2</f>
        <v>57020.6</v>
      </c>
      <c r="AD20" s="88">
        <f t="shared" si="15"/>
        <v>102810.6</v>
      </c>
      <c r="AE20" s="88">
        <f t="shared" si="8"/>
        <v>44970.6</v>
      </c>
      <c r="AF20" s="88">
        <f t="shared" si="8"/>
        <v>36150</v>
      </c>
      <c r="AG20" s="88">
        <f t="shared" si="8"/>
        <v>100256</v>
      </c>
      <c r="AH20" s="88">
        <f t="shared" si="8"/>
        <v>48537.4</v>
      </c>
      <c r="AI20" s="88">
        <f t="shared" si="8"/>
        <v>43090.8</v>
      </c>
      <c r="AJ20" s="88">
        <f t="shared" si="8"/>
        <v>57840</v>
      </c>
      <c r="AK20" s="88">
        <f t="shared" si="8"/>
        <v>104449.4</v>
      </c>
      <c r="AL20" s="88">
        <f t="shared" si="8"/>
        <v>56876</v>
      </c>
      <c r="AM20" s="88">
        <f t="shared" si="8"/>
        <v>57550.8</v>
      </c>
      <c r="AN20" s="88">
        <f t="shared" si="8"/>
        <v>26992</v>
      </c>
      <c r="AO20" s="88">
        <f t="shared" si="8"/>
        <v>46416.6</v>
      </c>
      <c r="AP20" s="88">
        <f t="shared" si="8"/>
        <v>47573.4</v>
      </c>
      <c r="AQ20" s="88">
        <f t="shared" si="8"/>
        <v>49501.4</v>
      </c>
      <c r="AR20" s="88">
        <f t="shared" si="8"/>
        <v>32149.4</v>
      </c>
    </row>
    <row r="21" spans="1:44" s="98" customFormat="1" ht="13" hidden="1" outlineLevel="3" x14ac:dyDescent="0.35">
      <c r="A21" s="89" t="s">
        <v>28</v>
      </c>
      <c r="B21" s="90" t="s">
        <v>20</v>
      </c>
      <c r="C21" s="93">
        <v>1</v>
      </c>
      <c r="D21" s="92"/>
      <c r="E21" s="92"/>
      <c r="F21" s="92"/>
      <c r="G21" s="92"/>
      <c r="H21" s="92"/>
      <c r="I21" s="92"/>
      <c r="J21" s="92"/>
      <c r="K21" s="92"/>
      <c r="L21" s="92">
        <v>20</v>
      </c>
      <c r="M21" s="92"/>
      <c r="N21" s="92"/>
      <c r="O21" s="92"/>
      <c r="P21" s="92"/>
      <c r="Q21" s="92">
        <v>40</v>
      </c>
      <c r="R21" s="92"/>
      <c r="S21" s="92"/>
      <c r="T21" s="93">
        <v>5</v>
      </c>
      <c r="U21" s="93">
        <f t="shared" si="12"/>
        <v>540</v>
      </c>
      <c r="V21" s="92">
        <v>590</v>
      </c>
      <c r="W21" s="92">
        <v>520</v>
      </c>
      <c r="X21" s="92">
        <v>510</v>
      </c>
      <c r="Y21" s="92">
        <v>9</v>
      </c>
      <c r="Z21" s="92">
        <f t="shared" si="13"/>
        <v>108</v>
      </c>
      <c r="AA21" s="95" t="s">
        <v>294</v>
      </c>
      <c r="AB21" s="97">
        <f t="shared" si="14"/>
        <v>204390.00000000003</v>
      </c>
      <c r="AC21" s="88">
        <f t="shared" si="15"/>
        <v>12776.4</v>
      </c>
      <c r="AD21" s="88">
        <f t="shared" si="15"/>
        <v>23036.400000000001</v>
      </c>
      <c r="AE21" s="88">
        <f t="shared" si="8"/>
        <v>10076.4</v>
      </c>
      <c r="AF21" s="88">
        <f t="shared" si="8"/>
        <v>8100</v>
      </c>
      <c r="AG21" s="88">
        <f t="shared" si="8"/>
        <v>22464</v>
      </c>
      <c r="AH21" s="88">
        <f t="shared" si="8"/>
        <v>10875.6</v>
      </c>
      <c r="AI21" s="88">
        <f t="shared" si="8"/>
        <v>9655.2000000000007</v>
      </c>
      <c r="AJ21" s="88">
        <f t="shared" si="8"/>
        <v>12960</v>
      </c>
      <c r="AK21" s="88">
        <f t="shared" si="8"/>
        <v>23403.599999999999</v>
      </c>
      <c r="AL21" s="88">
        <f t="shared" si="8"/>
        <v>12744</v>
      </c>
      <c r="AM21" s="88">
        <f t="shared" si="8"/>
        <v>12895.2</v>
      </c>
      <c r="AN21" s="88">
        <f t="shared" si="8"/>
        <v>6048</v>
      </c>
      <c r="AO21" s="88">
        <f t="shared" si="8"/>
        <v>10400.4</v>
      </c>
      <c r="AP21" s="88">
        <f t="shared" si="8"/>
        <v>10659.6</v>
      </c>
      <c r="AQ21" s="88">
        <f t="shared" si="8"/>
        <v>11091.6</v>
      </c>
      <c r="AR21" s="88">
        <f t="shared" si="8"/>
        <v>7203.6</v>
      </c>
    </row>
    <row r="22" spans="1:44" s="98" customFormat="1" ht="26" hidden="1" outlineLevel="3" x14ac:dyDescent="0.35">
      <c r="A22" s="89" t="s">
        <v>29</v>
      </c>
      <c r="B22" s="90" t="s">
        <v>20</v>
      </c>
      <c r="C22" s="93">
        <v>0.2</v>
      </c>
      <c r="D22" s="92">
        <v>1</v>
      </c>
      <c r="E22" s="92"/>
      <c r="F22" s="92"/>
      <c r="G22" s="92"/>
      <c r="H22" s="92"/>
      <c r="I22" s="92"/>
      <c r="J22" s="92"/>
      <c r="K22" s="92">
        <v>72</v>
      </c>
      <c r="L22" s="92"/>
      <c r="M22" s="92"/>
      <c r="N22" s="92"/>
      <c r="O22" s="92"/>
      <c r="P22" s="92"/>
      <c r="Q22" s="92"/>
      <c r="R22" s="92"/>
      <c r="S22" s="92"/>
      <c r="T22" s="93">
        <v>5</v>
      </c>
      <c r="U22" s="93">
        <f t="shared" si="12"/>
        <v>1208.2</v>
      </c>
      <c r="V22" s="92">
        <v>956</v>
      </c>
      <c r="W22" s="92">
        <v>1630</v>
      </c>
      <c r="X22" s="92">
        <v>1038.5999999999999</v>
      </c>
      <c r="Y22" s="92">
        <v>10</v>
      </c>
      <c r="Z22" s="92">
        <f t="shared" si="13"/>
        <v>48.328000000000003</v>
      </c>
      <c r="AA22" s="95" t="s">
        <v>264</v>
      </c>
      <c r="AB22" s="97">
        <f t="shared" si="14"/>
        <v>91460.74</v>
      </c>
      <c r="AC22" s="88">
        <f t="shared" si="15"/>
        <v>5717.2024000000001</v>
      </c>
      <c r="AD22" s="88">
        <f t="shared" si="15"/>
        <v>10308.362400000002</v>
      </c>
      <c r="AE22" s="88">
        <f t="shared" si="8"/>
        <v>4509.0024000000003</v>
      </c>
      <c r="AF22" s="88">
        <f t="shared" si="8"/>
        <v>3624.6000000000004</v>
      </c>
      <c r="AG22" s="88">
        <f t="shared" si="8"/>
        <v>10052.224</v>
      </c>
      <c r="AH22" s="88">
        <f t="shared" si="8"/>
        <v>4866.6296000000002</v>
      </c>
      <c r="AI22" s="88">
        <f t="shared" si="8"/>
        <v>4320.5232000000005</v>
      </c>
      <c r="AJ22" s="88">
        <f t="shared" si="8"/>
        <v>5799.3600000000006</v>
      </c>
      <c r="AK22" s="88">
        <f t="shared" si="8"/>
        <v>10472.677600000001</v>
      </c>
      <c r="AL22" s="88">
        <f t="shared" si="8"/>
        <v>5702.7040000000006</v>
      </c>
      <c r="AM22" s="88">
        <f t="shared" si="8"/>
        <v>5770.3632000000007</v>
      </c>
      <c r="AN22" s="88">
        <f t="shared" si="8"/>
        <v>2706.3680000000004</v>
      </c>
      <c r="AO22" s="88">
        <f t="shared" si="8"/>
        <v>4653.9863999999998</v>
      </c>
      <c r="AP22" s="88">
        <f t="shared" si="8"/>
        <v>4769.9736000000003</v>
      </c>
      <c r="AQ22" s="88">
        <f t="shared" si="8"/>
        <v>4963.2856000000002</v>
      </c>
      <c r="AR22" s="88">
        <f t="shared" si="8"/>
        <v>3223.4776000000002</v>
      </c>
    </row>
    <row r="23" spans="1:44" s="98" customFormat="1" ht="13" hidden="1" outlineLevel="3" x14ac:dyDescent="0.35">
      <c r="A23" s="89" t="s">
        <v>30</v>
      </c>
      <c r="B23" s="90" t="s">
        <v>20</v>
      </c>
      <c r="C23" s="93">
        <v>0.25</v>
      </c>
      <c r="D23" s="92">
        <v>3</v>
      </c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3">
        <v>5</v>
      </c>
      <c r="U23" s="93">
        <f t="shared" si="12"/>
        <v>1070</v>
      </c>
      <c r="V23" s="92">
        <v>1120</v>
      </c>
      <c r="W23" s="92">
        <v>990</v>
      </c>
      <c r="X23" s="92">
        <v>1100</v>
      </c>
      <c r="Y23" s="92">
        <v>11</v>
      </c>
      <c r="Z23" s="92">
        <f t="shared" si="13"/>
        <v>53.5</v>
      </c>
      <c r="AA23" s="95" t="s">
        <v>264</v>
      </c>
      <c r="AB23" s="97">
        <f t="shared" si="14"/>
        <v>101248.74999999999</v>
      </c>
      <c r="AC23" s="88">
        <f t="shared" si="15"/>
        <v>6329.05</v>
      </c>
      <c r="AD23" s="88">
        <f t="shared" si="15"/>
        <v>11411.550000000001</v>
      </c>
      <c r="AE23" s="88">
        <f t="shared" si="8"/>
        <v>4991.55</v>
      </c>
      <c r="AF23" s="88">
        <f t="shared" si="8"/>
        <v>4012.5</v>
      </c>
      <c r="AG23" s="88">
        <f t="shared" si="8"/>
        <v>11128</v>
      </c>
      <c r="AH23" s="88">
        <f t="shared" si="8"/>
        <v>5387.45</v>
      </c>
      <c r="AI23" s="88">
        <f t="shared" si="8"/>
        <v>4782.9000000000005</v>
      </c>
      <c r="AJ23" s="88">
        <f t="shared" si="8"/>
        <v>6420</v>
      </c>
      <c r="AK23" s="88">
        <f t="shared" si="8"/>
        <v>11593.449999999999</v>
      </c>
      <c r="AL23" s="88">
        <f t="shared" si="8"/>
        <v>6313</v>
      </c>
      <c r="AM23" s="88">
        <f t="shared" si="8"/>
        <v>6387.9000000000005</v>
      </c>
      <c r="AN23" s="88">
        <f t="shared" si="8"/>
        <v>2996</v>
      </c>
      <c r="AO23" s="88">
        <f t="shared" si="8"/>
        <v>5152.05</v>
      </c>
      <c r="AP23" s="88">
        <f t="shared" si="8"/>
        <v>5280.45</v>
      </c>
      <c r="AQ23" s="88">
        <f t="shared" si="8"/>
        <v>5494.45</v>
      </c>
      <c r="AR23" s="88">
        <f t="shared" si="8"/>
        <v>3568.4500000000003</v>
      </c>
    </row>
    <row r="24" spans="1:44" s="106" customFormat="1" ht="39" hidden="1" outlineLevel="3" x14ac:dyDescent="0.35">
      <c r="A24" s="89" t="s">
        <v>32</v>
      </c>
      <c r="B24" s="90" t="s">
        <v>20</v>
      </c>
      <c r="C24" s="93">
        <f>12/122</f>
        <v>9.8360655737704916E-2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>
        <v>12</v>
      </c>
      <c r="O24" s="92"/>
      <c r="P24" s="92"/>
      <c r="Q24" s="92"/>
      <c r="R24" s="92"/>
      <c r="S24" s="92"/>
      <c r="T24" s="93">
        <v>5</v>
      </c>
      <c r="U24" s="93">
        <f t="shared" si="12"/>
        <v>2158.3333333333335</v>
      </c>
      <c r="V24" s="92">
        <v>2300</v>
      </c>
      <c r="W24" s="92">
        <v>2025</v>
      </c>
      <c r="X24" s="92">
        <v>2150</v>
      </c>
      <c r="Y24" s="92">
        <v>12</v>
      </c>
      <c r="Z24" s="92">
        <f t="shared" si="13"/>
        <v>42.459016393442624</v>
      </c>
      <c r="AA24" s="95" t="s">
        <v>271</v>
      </c>
      <c r="AB24" s="97">
        <f t="shared" si="14"/>
        <v>80353.688524590165</v>
      </c>
      <c r="AC24" s="88">
        <f t="shared" si="15"/>
        <v>5022.9016393442625</v>
      </c>
      <c r="AD24" s="88">
        <f t="shared" si="15"/>
        <v>9056.5081967213118</v>
      </c>
      <c r="AE24" s="88">
        <f t="shared" si="8"/>
        <v>3961.4262295081967</v>
      </c>
      <c r="AF24" s="88">
        <f t="shared" si="8"/>
        <v>3184.4262295081967</v>
      </c>
      <c r="AG24" s="88">
        <f t="shared" si="8"/>
        <v>8831.4754098360663</v>
      </c>
      <c r="AH24" s="88">
        <f t="shared" si="8"/>
        <v>4275.622950819672</v>
      </c>
      <c r="AI24" s="88">
        <f t="shared" si="8"/>
        <v>3795.8360655737711</v>
      </c>
      <c r="AJ24" s="88">
        <f t="shared" si="8"/>
        <v>5095.0819672131147</v>
      </c>
      <c r="AK24" s="88">
        <f t="shared" si="8"/>
        <v>9200.8688524590161</v>
      </c>
      <c r="AL24" s="88">
        <f t="shared" si="8"/>
        <v>5010.1639344262294</v>
      </c>
      <c r="AM24" s="88">
        <f t="shared" si="8"/>
        <v>5069.6065573770493</v>
      </c>
      <c r="AN24" s="88">
        <f t="shared" si="8"/>
        <v>2377.7049180327867</v>
      </c>
      <c r="AO24" s="88">
        <f t="shared" si="8"/>
        <v>4088.8032786885246</v>
      </c>
      <c r="AP24" s="88">
        <f t="shared" si="8"/>
        <v>4190.7049180327867</v>
      </c>
      <c r="AQ24" s="88">
        <f t="shared" si="8"/>
        <v>4360.5409836065573</v>
      </c>
      <c r="AR24" s="88">
        <f t="shared" si="8"/>
        <v>2832.0163934426232</v>
      </c>
    </row>
    <row r="25" spans="1:44" s="106" customFormat="1" ht="26" hidden="1" outlineLevel="3" x14ac:dyDescent="0.35">
      <c r="A25" s="89" t="s">
        <v>33</v>
      </c>
      <c r="B25" s="90" t="s">
        <v>20</v>
      </c>
      <c r="C25" s="93">
        <f>6/122</f>
        <v>4.9180327868852458E-2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>
        <v>6</v>
      </c>
      <c r="O25" s="92"/>
      <c r="P25" s="92"/>
      <c r="Q25" s="92"/>
      <c r="R25" s="92"/>
      <c r="S25" s="92"/>
      <c r="T25" s="93">
        <v>5</v>
      </c>
      <c r="U25" s="93">
        <f t="shared" si="12"/>
        <v>2233.3333333333335</v>
      </c>
      <c r="V25" s="92">
        <v>2200</v>
      </c>
      <c r="W25" s="92">
        <v>2100</v>
      </c>
      <c r="X25" s="92">
        <v>2400</v>
      </c>
      <c r="Y25" s="92">
        <v>13</v>
      </c>
      <c r="Z25" s="92">
        <f t="shared" si="13"/>
        <v>21.967213114754099</v>
      </c>
      <c r="AA25" s="95" t="s">
        <v>272</v>
      </c>
      <c r="AB25" s="97">
        <f t="shared" si="14"/>
        <v>41572.950819672136</v>
      </c>
      <c r="AC25" s="88">
        <f t="shared" si="15"/>
        <v>2598.7213114754099</v>
      </c>
      <c r="AD25" s="88">
        <f t="shared" si="15"/>
        <v>4685.6065573770493</v>
      </c>
      <c r="AE25" s="88">
        <f t="shared" si="8"/>
        <v>2049.5409836065573</v>
      </c>
      <c r="AF25" s="88">
        <f t="shared" si="8"/>
        <v>1647.5409836065573</v>
      </c>
      <c r="AG25" s="88">
        <f t="shared" si="8"/>
        <v>4569.1803278688521</v>
      </c>
      <c r="AH25" s="88">
        <f t="shared" si="8"/>
        <v>2212.0983606557379</v>
      </c>
      <c r="AI25" s="88">
        <f t="shared" si="8"/>
        <v>1963.8688524590166</v>
      </c>
      <c r="AJ25" s="88">
        <f t="shared" si="8"/>
        <v>2636.0655737704919</v>
      </c>
      <c r="AK25" s="88">
        <f t="shared" si="8"/>
        <v>4760.2950819672133</v>
      </c>
      <c r="AL25" s="88">
        <f t="shared" si="8"/>
        <v>2592.1311475409839</v>
      </c>
      <c r="AM25" s="88">
        <f t="shared" si="8"/>
        <v>2622.8852459016393</v>
      </c>
      <c r="AN25" s="88">
        <f t="shared" si="8"/>
        <v>1230.1639344262296</v>
      </c>
      <c r="AO25" s="88">
        <f t="shared" si="8"/>
        <v>2115.4426229508194</v>
      </c>
      <c r="AP25" s="88">
        <f t="shared" si="8"/>
        <v>2168.1639344262294</v>
      </c>
      <c r="AQ25" s="88">
        <f t="shared" si="8"/>
        <v>2256.032786885246</v>
      </c>
      <c r="AR25" s="88">
        <f t="shared" si="8"/>
        <v>1465.2131147540983</v>
      </c>
    </row>
    <row r="26" spans="1:44" s="106" customFormat="1" ht="26" hidden="1" outlineLevel="3" x14ac:dyDescent="0.35">
      <c r="A26" s="89" t="s">
        <v>35</v>
      </c>
      <c r="B26" s="90" t="s">
        <v>20</v>
      </c>
      <c r="C26" s="93">
        <v>2.7777777777777776E-2</v>
      </c>
      <c r="D26" s="92"/>
      <c r="E26" s="92"/>
      <c r="F26" s="92"/>
      <c r="G26" s="92"/>
      <c r="H26" s="92"/>
      <c r="I26" s="92"/>
      <c r="J26" s="92"/>
      <c r="K26" s="92"/>
      <c r="L26" s="92">
        <v>6</v>
      </c>
      <c r="M26" s="92"/>
      <c r="N26" s="92"/>
      <c r="O26" s="92"/>
      <c r="P26" s="92"/>
      <c r="Q26" s="92"/>
      <c r="R26" s="92"/>
      <c r="S26" s="92"/>
      <c r="T26" s="93">
        <v>5</v>
      </c>
      <c r="U26" s="93">
        <f t="shared" si="12"/>
        <v>5937.3</v>
      </c>
      <c r="V26" s="107">
        <v>5408</v>
      </c>
      <c r="W26" s="107">
        <v>5261</v>
      </c>
      <c r="X26" s="107">
        <v>7142.9</v>
      </c>
      <c r="Y26" s="92">
        <v>14</v>
      </c>
      <c r="Z26" s="92">
        <v>32.984999999999999</v>
      </c>
      <c r="AA26" s="95" t="s">
        <v>267</v>
      </c>
      <c r="AB26" s="97">
        <f t="shared" si="14"/>
        <v>62424.112500000003</v>
      </c>
      <c r="AC26" s="88">
        <f t="shared" si="15"/>
        <v>3902.1254999999996</v>
      </c>
      <c r="AD26" s="88">
        <f t="shared" si="15"/>
        <v>7035.7004999999999</v>
      </c>
      <c r="AE26" s="88">
        <f t="shared" si="8"/>
        <v>3077.5004999999996</v>
      </c>
      <c r="AF26" s="88">
        <f t="shared" si="8"/>
        <v>2473.875</v>
      </c>
      <c r="AG26" s="88">
        <f t="shared" si="8"/>
        <v>6860.88</v>
      </c>
      <c r="AH26" s="88">
        <f t="shared" si="8"/>
        <v>3321.5895</v>
      </c>
      <c r="AI26" s="88">
        <f t="shared" si="8"/>
        <v>2948.8589999999999</v>
      </c>
      <c r="AJ26" s="88">
        <f t="shared" si="8"/>
        <v>3958.2</v>
      </c>
      <c r="AK26" s="88">
        <f t="shared" si="8"/>
        <v>7147.8494999999994</v>
      </c>
      <c r="AL26" s="88">
        <f t="shared" si="8"/>
        <v>3892.23</v>
      </c>
      <c r="AM26" s="88">
        <f t="shared" si="8"/>
        <v>3938.4090000000001</v>
      </c>
      <c r="AN26" s="88">
        <f t="shared" si="8"/>
        <v>1847.1599999999999</v>
      </c>
      <c r="AO26" s="88">
        <f t="shared" si="8"/>
        <v>3176.4555</v>
      </c>
      <c r="AP26" s="88">
        <f t="shared" si="8"/>
        <v>3255.6195000000002</v>
      </c>
      <c r="AQ26" s="88">
        <f t="shared" si="8"/>
        <v>3387.5594999999998</v>
      </c>
      <c r="AR26" s="88">
        <f t="shared" si="8"/>
        <v>2200.0995000000003</v>
      </c>
    </row>
    <row r="27" spans="1:44" s="106" customFormat="1" ht="14" hidden="1" outlineLevel="3" x14ac:dyDescent="0.35">
      <c r="A27" s="89" t="s">
        <v>37</v>
      </c>
      <c r="B27" s="90" t="s">
        <v>20</v>
      </c>
      <c r="C27" s="93">
        <v>9.2592592592592587E-3</v>
      </c>
      <c r="D27" s="92"/>
      <c r="E27" s="92"/>
      <c r="F27" s="92"/>
      <c r="G27" s="92"/>
      <c r="H27" s="92"/>
      <c r="I27" s="92"/>
      <c r="J27" s="92"/>
      <c r="K27" s="92"/>
      <c r="L27" s="92">
        <v>2</v>
      </c>
      <c r="M27" s="92"/>
      <c r="N27" s="92"/>
      <c r="O27" s="92"/>
      <c r="P27" s="92"/>
      <c r="Q27" s="92"/>
      <c r="R27" s="92"/>
      <c r="S27" s="92"/>
      <c r="T27" s="93">
        <v>5</v>
      </c>
      <c r="U27" s="93">
        <f t="shared" si="12"/>
        <v>11826.763333333334</v>
      </c>
      <c r="V27" s="92">
        <v>13483</v>
      </c>
      <c r="W27" s="92">
        <v>11997.29</v>
      </c>
      <c r="X27" s="92">
        <v>10000</v>
      </c>
      <c r="Y27" s="92">
        <v>15</v>
      </c>
      <c r="Z27" s="92">
        <v>21.901481481481479</v>
      </c>
      <c r="AA27" s="95" t="s">
        <v>266</v>
      </c>
      <c r="AB27" s="97">
        <f t="shared" si="14"/>
        <v>41448.553703703699</v>
      </c>
      <c r="AC27" s="88">
        <f t="shared" si="15"/>
        <v>2590.9452592592588</v>
      </c>
      <c r="AD27" s="88">
        <f t="shared" si="15"/>
        <v>4671.5859999999993</v>
      </c>
      <c r="AE27" s="88">
        <f t="shared" si="8"/>
        <v>2043.4082222222219</v>
      </c>
      <c r="AF27" s="88">
        <f t="shared" si="8"/>
        <v>1642.6111111111109</v>
      </c>
      <c r="AG27" s="88">
        <f t="shared" si="8"/>
        <v>4555.5081481481475</v>
      </c>
      <c r="AH27" s="88">
        <f t="shared" si="8"/>
        <v>2205.4791851851851</v>
      </c>
      <c r="AI27" s="88">
        <f t="shared" si="8"/>
        <v>1957.9924444444443</v>
      </c>
      <c r="AJ27" s="88">
        <f t="shared" si="8"/>
        <v>2628.1777777777775</v>
      </c>
      <c r="AK27" s="88">
        <f t="shared" si="8"/>
        <v>4746.0510370370366</v>
      </c>
      <c r="AL27" s="88">
        <f t="shared" si="8"/>
        <v>2584.3748148148147</v>
      </c>
      <c r="AM27" s="88">
        <f t="shared" si="8"/>
        <v>2615.0368888888888</v>
      </c>
      <c r="AN27" s="88">
        <f t="shared" si="8"/>
        <v>1226.4829629629628</v>
      </c>
      <c r="AO27" s="88">
        <f t="shared" si="8"/>
        <v>2109.1126666666664</v>
      </c>
      <c r="AP27" s="88">
        <f t="shared" si="8"/>
        <v>2161.6762222222219</v>
      </c>
      <c r="AQ27" s="88">
        <f t="shared" si="8"/>
        <v>2249.2821481481478</v>
      </c>
      <c r="AR27" s="88">
        <f t="shared" si="8"/>
        <v>1460.8288148148147</v>
      </c>
    </row>
    <row r="28" spans="1:44" s="106" customFormat="1" ht="26" hidden="1" outlineLevel="3" x14ac:dyDescent="0.35">
      <c r="A28" s="89" t="s">
        <v>43</v>
      </c>
      <c r="B28" s="90" t="s">
        <v>20</v>
      </c>
      <c r="C28" s="93">
        <v>8.4033613445378148E-3</v>
      </c>
      <c r="D28" s="92">
        <v>1</v>
      </c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3">
        <v>5</v>
      </c>
      <c r="U28" s="93">
        <f t="shared" si="12"/>
        <v>24083.333333333332</v>
      </c>
      <c r="V28" s="92">
        <v>23900</v>
      </c>
      <c r="W28" s="92">
        <v>24650</v>
      </c>
      <c r="X28" s="92">
        <v>23700</v>
      </c>
      <c r="Y28" s="92">
        <v>16</v>
      </c>
      <c r="Z28" s="92">
        <v>40.476201680672268</v>
      </c>
      <c r="AA28" s="95" t="s">
        <v>274</v>
      </c>
      <c r="AB28" s="97">
        <f t="shared" si="14"/>
        <v>76601.211680672262</v>
      </c>
      <c r="AC28" s="88">
        <f t="shared" si="15"/>
        <v>4788.334658823529</v>
      </c>
      <c r="AD28" s="88">
        <f t="shared" si="15"/>
        <v>8633.5738184873953</v>
      </c>
      <c r="AE28" s="88">
        <f t="shared" si="15"/>
        <v>3776.4296168067226</v>
      </c>
      <c r="AF28" s="88">
        <f t="shared" si="15"/>
        <v>3035.7151260504202</v>
      </c>
      <c r="AG28" s="88">
        <f t="shared" si="15"/>
        <v>8419.0499495798322</v>
      </c>
      <c r="AH28" s="88">
        <f t="shared" si="15"/>
        <v>4075.9535092436977</v>
      </c>
      <c r="AI28" s="88">
        <f t="shared" si="15"/>
        <v>3618.5724302521012</v>
      </c>
      <c r="AJ28" s="88">
        <f t="shared" si="15"/>
        <v>4857.1442016806723</v>
      </c>
      <c r="AK28" s="88">
        <f t="shared" si="15"/>
        <v>8771.19290420168</v>
      </c>
      <c r="AL28" s="88">
        <f t="shared" si="15"/>
        <v>4776.191798319328</v>
      </c>
      <c r="AM28" s="88">
        <f t="shared" si="15"/>
        <v>4832.8584806722693</v>
      </c>
      <c r="AN28" s="88">
        <f t="shared" si="15"/>
        <v>2266.6672941176471</v>
      </c>
      <c r="AO28" s="88">
        <f t="shared" si="15"/>
        <v>3897.8582218487395</v>
      </c>
      <c r="AP28" s="88">
        <f t="shared" si="15"/>
        <v>3995.0011058823529</v>
      </c>
      <c r="AQ28" s="88">
        <f t="shared" si="15"/>
        <v>4156.9059126050424</v>
      </c>
      <c r="AR28" s="88">
        <f t="shared" si="15"/>
        <v>2699.7626521008406</v>
      </c>
    </row>
    <row r="29" spans="1:44" s="106" customFormat="1" ht="26" hidden="1" outlineLevel="3" x14ac:dyDescent="0.35">
      <c r="A29" s="89" t="s">
        <v>40</v>
      </c>
      <c r="B29" s="90" t="s">
        <v>20</v>
      </c>
      <c r="C29" s="93">
        <f>1/117</f>
        <v>8.5470085470085479E-3</v>
      </c>
      <c r="D29" s="92"/>
      <c r="E29" s="92"/>
      <c r="F29" s="92"/>
      <c r="G29" s="92"/>
      <c r="H29" s="92"/>
      <c r="I29" s="92"/>
      <c r="J29" s="92"/>
      <c r="K29" s="92"/>
      <c r="L29" s="92"/>
      <c r="M29" s="92">
        <v>1</v>
      </c>
      <c r="N29" s="92"/>
      <c r="O29" s="92"/>
      <c r="P29" s="92"/>
      <c r="Q29" s="92"/>
      <c r="R29" s="92"/>
      <c r="S29" s="92"/>
      <c r="T29" s="93">
        <v>5</v>
      </c>
      <c r="U29" s="93">
        <f t="shared" si="12"/>
        <v>8660</v>
      </c>
      <c r="V29" s="107">
        <v>8640</v>
      </c>
      <c r="W29" s="107">
        <v>8840</v>
      </c>
      <c r="X29" s="107">
        <v>8500</v>
      </c>
      <c r="Y29" s="92">
        <v>17</v>
      </c>
      <c r="Z29" s="92">
        <f t="shared" ref="Z29:Z37" si="16">C29/$T29*$U29</f>
        <v>14.803418803418806</v>
      </c>
      <c r="AA29" s="95" t="s">
        <v>276</v>
      </c>
      <c r="AB29" s="97">
        <f t="shared" si="14"/>
        <v>28015.47008547009</v>
      </c>
      <c r="AC29" s="88">
        <f t="shared" si="15"/>
        <v>1751.2444444444448</v>
      </c>
      <c r="AD29" s="88">
        <f t="shared" si="15"/>
        <v>3157.5692307692316</v>
      </c>
      <c r="AE29" s="88">
        <f t="shared" si="15"/>
        <v>1381.1589743589745</v>
      </c>
      <c r="AF29" s="88">
        <f t="shared" si="15"/>
        <v>1110.2564102564104</v>
      </c>
      <c r="AG29" s="88">
        <f t="shared" si="15"/>
        <v>3079.1111111111118</v>
      </c>
      <c r="AH29" s="88">
        <f t="shared" si="15"/>
        <v>1490.7042735042737</v>
      </c>
      <c r="AI29" s="88">
        <f t="shared" si="15"/>
        <v>1323.4256410256414</v>
      </c>
      <c r="AJ29" s="88">
        <f t="shared" si="15"/>
        <v>1776.4102564102568</v>
      </c>
      <c r="AK29" s="88">
        <f t="shared" si="15"/>
        <v>3207.9008547008552</v>
      </c>
      <c r="AL29" s="88">
        <f t="shared" si="15"/>
        <v>1746.8034188034192</v>
      </c>
      <c r="AM29" s="88">
        <f t="shared" si="15"/>
        <v>1767.5282051282054</v>
      </c>
      <c r="AN29" s="88">
        <f t="shared" si="15"/>
        <v>828.99145299145312</v>
      </c>
      <c r="AO29" s="88">
        <f t="shared" si="15"/>
        <v>1425.5692307692309</v>
      </c>
      <c r="AP29" s="88">
        <f t="shared" si="15"/>
        <v>1461.0974358974361</v>
      </c>
      <c r="AQ29" s="88">
        <f t="shared" si="15"/>
        <v>1520.3111111111114</v>
      </c>
      <c r="AR29" s="88">
        <f t="shared" si="15"/>
        <v>987.38803418803434</v>
      </c>
    </row>
    <row r="30" spans="1:44" s="106" customFormat="1" ht="52" hidden="1" outlineLevel="3" x14ac:dyDescent="0.35">
      <c r="A30" s="89" t="s">
        <v>38</v>
      </c>
      <c r="B30" s="90" t="s">
        <v>20</v>
      </c>
      <c r="C30" s="93">
        <f>1/119</f>
        <v>8.4033613445378148E-3</v>
      </c>
      <c r="D30" s="92">
        <v>1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>
        <v>5</v>
      </c>
      <c r="U30" s="93">
        <f t="shared" si="12"/>
        <v>7996.666666666667</v>
      </c>
      <c r="V30" s="92">
        <v>7850</v>
      </c>
      <c r="W30" s="92">
        <v>7990</v>
      </c>
      <c r="X30" s="92">
        <v>8150</v>
      </c>
      <c r="Y30" s="92">
        <v>18</v>
      </c>
      <c r="Z30" s="92">
        <f t="shared" si="16"/>
        <v>13.439775910364146</v>
      </c>
      <c r="AA30" s="95" t="s">
        <v>274</v>
      </c>
      <c r="AB30" s="97">
        <f t="shared" si="14"/>
        <v>25434.775910364144</v>
      </c>
      <c r="AC30" s="88">
        <f t="shared" si="15"/>
        <v>1589.9254901960785</v>
      </c>
      <c r="AD30" s="88">
        <f t="shared" si="15"/>
        <v>2866.7042016806727</v>
      </c>
      <c r="AE30" s="88">
        <f t="shared" si="15"/>
        <v>1253.9310924369747</v>
      </c>
      <c r="AF30" s="88">
        <f t="shared" si="15"/>
        <v>1007.983193277311</v>
      </c>
      <c r="AG30" s="88">
        <f t="shared" si="15"/>
        <v>2795.4733893557423</v>
      </c>
      <c r="AH30" s="88">
        <f t="shared" si="15"/>
        <v>1353.3854341736696</v>
      </c>
      <c r="AI30" s="88">
        <f t="shared" si="15"/>
        <v>1201.5159663865547</v>
      </c>
      <c r="AJ30" s="88">
        <f t="shared" si="15"/>
        <v>1612.7731092436975</v>
      </c>
      <c r="AK30" s="88">
        <f t="shared" si="15"/>
        <v>2912.3994397759102</v>
      </c>
      <c r="AL30" s="88">
        <f t="shared" si="15"/>
        <v>1585.8935574229693</v>
      </c>
      <c r="AM30" s="88">
        <f t="shared" si="15"/>
        <v>1604.709243697479</v>
      </c>
      <c r="AN30" s="88">
        <f t="shared" si="15"/>
        <v>752.62745098039215</v>
      </c>
      <c r="AO30" s="88">
        <f t="shared" si="15"/>
        <v>1294.2504201680672</v>
      </c>
      <c r="AP30" s="88">
        <f t="shared" si="15"/>
        <v>1326.5058823529412</v>
      </c>
      <c r="AQ30" s="88">
        <f t="shared" si="15"/>
        <v>1380.2649859943979</v>
      </c>
      <c r="AR30" s="88">
        <f t="shared" si="15"/>
        <v>896.43305322128856</v>
      </c>
    </row>
    <row r="31" spans="1:44" s="106" customFormat="1" ht="14" hidden="1" outlineLevel="3" x14ac:dyDescent="0.35">
      <c r="A31" s="89" t="s">
        <v>265</v>
      </c>
      <c r="B31" s="90" t="s">
        <v>20</v>
      </c>
      <c r="C31" s="93">
        <f>2/119</f>
        <v>1.680672268907563E-2</v>
      </c>
      <c r="D31" s="92">
        <v>1</v>
      </c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>
        <v>5</v>
      </c>
      <c r="U31" s="93">
        <f t="shared" si="12"/>
        <v>4156.666666666667</v>
      </c>
      <c r="V31" s="92">
        <v>4120</v>
      </c>
      <c r="W31" s="92">
        <v>4150</v>
      </c>
      <c r="X31" s="92">
        <v>4200</v>
      </c>
      <c r="Y31" s="92">
        <v>19</v>
      </c>
      <c r="Z31" s="92">
        <f t="shared" si="16"/>
        <v>13.971988795518207</v>
      </c>
      <c r="AA31" s="95" t="s">
        <v>269</v>
      </c>
      <c r="AB31" s="97">
        <f t="shared" si="14"/>
        <v>26441.988795518206</v>
      </c>
      <c r="AC31" s="88">
        <f t="shared" si="15"/>
        <v>1652.8862745098038</v>
      </c>
      <c r="AD31" s="88">
        <f t="shared" si="15"/>
        <v>2980.2252100840337</v>
      </c>
      <c r="AE31" s="88">
        <f t="shared" si="15"/>
        <v>1303.5865546218488</v>
      </c>
      <c r="AF31" s="88">
        <f t="shared" si="15"/>
        <v>1047.8991596638655</v>
      </c>
      <c r="AG31" s="88">
        <f t="shared" si="15"/>
        <v>2906.173669467787</v>
      </c>
      <c r="AH31" s="88">
        <f t="shared" si="15"/>
        <v>1406.9792717086834</v>
      </c>
      <c r="AI31" s="88">
        <f t="shared" si="15"/>
        <v>1249.0957983193277</v>
      </c>
      <c r="AJ31" s="88">
        <f t="shared" si="15"/>
        <v>1676.6386554621849</v>
      </c>
      <c r="AK31" s="88">
        <f t="shared" si="15"/>
        <v>3027.7299719887956</v>
      </c>
      <c r="AL31" s="88">
        <f t="shared" si="15"/>
        <v>1648.6946778711485</v>
      </c>
      <c r="AM31" s="88">
        <f t="shared" si="15"/>
        <v>1668.255462184874</v>
      </c>
      <c r="AN31" s="88">
        <f t="shared" si="15"/>
        <v>782.43137254901967</v>
      </c>
      <c r="AO31" s="88">
        <f t="shared" si="15"/>
        <v>1345.5025210084034</v>
      </c>
      <c r="AP31" s="88">
        <f t="shared" si="15"/>
        <v>1379.035294117647</v>
      </c>
      <c r="AQ31" s="88">
        <f t="shared" si="15"/>
        <v>1434.9232492997198</v>
      </c>
      <c r="AR31" s="88">
        <f t="shared" si="15"/>
        <v>931.9316526610645</v>
      </c>
    </row>
    <row r="32" spans="1:44" s="106" customFormat="1" ht="14" hidden="1" outlineLevel="3" x14ac:dyDescent="0.35">
      <c r="A32" s="89" t="s">
        <v>275</v>
      </c>
      <c r="B32" s="90" t="s">
        <v>20</v>
      </c>
      <c r="C32" s="93">
        <f>1/122</f>
        <v>8.1967213114754103E-3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>
        <v>1</v>
      </c>
      <c r="O32" s="92"/>
      <c r="P32" s="92"/>
      <c r="Q32" s="92"/>
      <c r="R32" s="92"/>
      <c r="S32" s="92"/>
      <c r="T32" s="93">
        <v>5</v>
      </c>
      <c r="U32" s="93">
        <f t="shared" si="12"/>
        <v>5410</v>
      </c>
      <c r="V32" s="92">
        <v>5520</v>
      </c>
      <c r="W32" s="92">
        <v>5320</v>
      </c>
      <c r="X32" s="92">
        <v>5390</v>
      </c>
      <c r="Y32" s="92">
        <v>20</v>
      </c>
      <c r="Z32" s="92">
        <f t="shared" si="16"/>
        <v>8.8688524590163933</v>
      </c>
      <c r="AA32" s="95" t="s">
        <v>273</v>
      </c>
      <c r="AB32" s="97">
        <f t="shared" si="14"/>
        <v>16784.303278688523</v>
      </c>
      <c r="AC32" s="88">
        <f t="shared" si="15"/>
        <v>1049.1852459016393</v>
      </c>
      <c r="AD32" s="88">
        <f t="shared" si="15"/>
        <v>1891.7262295081969</v>
      </c>
      <c r="AE32" s="88">
        <f t="shared" si="15"/>
        <v>827.46393442622946</v>
      </c>
      <c r="AF32" s="88">
        <f t="shared" si="15"/>
        <v>665.1639344262295</v>
      </c>
      <c r="AG32" s="88">
        <f t="shared" si="15"/>
        <v>1844.7213114754097</v>
      </c>
      <c r="AH32" s="88">
        <f t="shared" si="15"/>
        <v>893.09344262295087</v>
      </c>
      <c r="AI32" s="88">
        <f t="shared" si="15"/>
        <v>792.87540983606561</v>
      </c>
      <c r="AJ32" s="88">
        <f t="shared" si="15"/>
        <v>1064.2622950819673</v>
      </c>
      <c r="AK32" s="88">
        <f t="shared" si="15"/>
        <v>1921.8803278688524</v>
      </c>
      <c r="AL32" s="88">
        <f t="shared" si="15"/>
        <v>1046.5245901639344</v>
      </c>
      <c r="AM32" s="88">
        <f t="shared" si="15"/>
        <v>1058.9409836065574</v>
      </c>
      <c r="AN32" s="88">
        <f t="shared" si="15"/>
        <v>496.65573770491801</v>
      </c>
      <c r="AO32" s="88">
        <f t="shared" si="15"/>
        <v>854.07049180327863</v>
      </c>
      <c r="AP32" s="88">
        <f t="shared" si="15"/>
        <v>875.35573770491806</v>
      </c>
      <c r="AQ32" s="88">
        <f t="shared" si="15"/>
        <v>910.83114754098358</v>
      </c>
      <c r="AR32" s="88">
        <f t="shared" si="15"/>
        <v>591.55245901639341</v>
      </c>
    </row>
    <row r="33" spans="1:44" s="106" customFormat="1" ht="26" hidden="1" outlineLevel="3" x14ac:dyDescent="0.35">
      <c r="A33" s="89" t="s">
        <v>39</v>
      </c>
      <c r="B33" s="90" t="s">
        <v>20</v>
      </c>
      <c r="C33" s="93">
        <f>1/117</f>
        <v>8.5470085470085479E-3</v>
      </c>
      <c r="D33" s="92"/>
      <c r="E33" s="92"/>
      <c r="F33" s="92"/>
      <c r="G33" s="92"/>
      <c r="H33" s="92"/>
      <c r="I33" s="92"/>
      <c r="J33" s="92"/>
      <c r="K33" s="92"/>
      <c r="L33" s="92"/>
      <c r="M33" s="92">
        <v>1</v>
      </c>
      <c r="N33" s="92"/>
      <c r="O33" s="92"/>
      <c r="P33" s="92"/>
      <c r="Q33" s="92"/>
      <c r="R33" s="92"/>
      <c r="S33" s="92"/>
      <c r="T33" s="93">
        <v>5</v>
      </c>
      <c r="U33" s="93">
        <f t="shared" si="12"/>
        <v>12450</v>
      </c>
      <c r="V33" s="107">
        <v>12860</v>
      </c>
      <c r="W33" s="107">
        <v>12490</v>
      </c>
      <c r="X33" s="107">
        <v>12000</v>
      </c>
      <c r="Y33" s="92">
        <v>21</v>
      </c>
      <c r="Z33" s="92">
        <f t="shared" si="16"/>
        <v>21.282051282051285</v>
      </c>
      <c r="AA33" s="95" t="s">
        <v>276</v>
      </c>
      <c r="AB33" s="97">
        <f t="shared" si="14"/>
        <v>40276.28205128204</v>
      </c>
      <c r="AC33" s="88">
        <f t="shared" si="15"/>
        <v>2517.666666666667</v>
      </c>
      <c r="AD33" s="88">
        <f t="shared" si="15"/>
        <v>4539.461538461539</v>
      </c>
      <c r="AE33" s="88">
        <f t="shared" si="15"/>
        <v>1985.6153846153848</v>
      </c>
      <c r="AF33" s="88">
        <f t="shared" si="15"/>
        <v>1596.1538461538464</v>
      </c>
      <c r="AG33" s="88">
        <f t="shared" si="15"/>
        <v>4426.666666666667</v>
      </c>
      <c r="AH33" s="88">
        <f t="shared" si="15"/>
        <v>2143.1025641025644</v>
      </c>
      <c r="AI33" s="88">
        <f t="shared" si="15"/>
        <v>1902.615384615385</v>
      </c>
      <c r="AJ33" s="88">
        <f t="shared" si="15"/>
        <v>2553.8461538461543</v>
      </c>
      <c r="AK33" s="88">
        <f t="shared" si="15"/>
        <v>4611.8205128205127</v>
      </c>
      <c r="AL33" s="88">
        <f t="shared" si="15"/>
        <v>2511.2820512820517</v>
      </c>
      <c r="AM33" s="88">
        <f t="shared" si="15"/>
        <v>2541.0769230769233</v>
      </c>
      <c r="AN33" s="88">
        <f t="shared" si="15"/>
        <v>1191.7948717948721</v>
      </c>
      <c r="AO33" s="88">
        <f t="shared" si="15"/>
        <v>2049.4615384615386</v>
      </c>
      <c r="AP33" s="88">
        <f t="shared" si="15"/>
        <v>2100.5384615384619</v>
      </c>
      <c r="AQ33" s="88">
        <f t="shared" si="15"/>
        <v>2185.666666666667</v>
      </c>
      <c r="AR33" s="88">
        <f t="shared" si="15"/>
        <v>1419.5128205128208</v>
      </c>
    </row>
    <row r="34" spans="1:44" s="106" customFormat="1" ht="14" hidden="1" outlineLevel="3" x14ac:dyDescent="0.35">
      <c r="A34" s="89" t="s">
        <v>27</v>
      </c>
      <c r="B34" s="90" t="s">
        <v>20</v>
      </c>
      <c r="C34" s="93">
        <f>15/117</f>
        <v>0.12820512820512819</v>
      </c>
      <c r="D34" s="92"/>
      <c r="E34" s="92"/>
      <c r="F34" s="92"/>
      <c r="G34" s="92"/>
      <c r="H34" s="92"/>
      <c r="I34" s="92"/>
      <c r="J34" s="92"/>
      <c r="K34" s="92"/>
      <c r="L34" s="92">
        <v>20</v>
      </c>
      <c r="M34" s="92">
        <v>15</v>
      </c>
      <c r="N34" s="92"/>
      <c r="O34" s="92">
        <v>1</v>
      </c>
      <c r="P34" s="92"/>
      <c r="Q34" s="92"/>
      <c r="R34" s="92"/>
      <c r="S34" s="92"/>
      <c r="T34" s="93">
        <v>5</v>
      </c>
      <c r="U34" s="93">
        <f t="shared" si="12"/>
        <v>893</v>
      </c>
      <c r="V34" s="92">
        <v>1050</v>
      </c>
      <c r="W34" s="92">
        <v>779</v>
      </c>
      <c r="X34" s="92">
        <v>850</v>
      </c>
      <c r="Y34" s="92">
        <v>22</v>
      </c>
      <c r="Z34" s="92">
        <f t="shared" si="16"/>
        <v>22.897435897435898</v>
      </c>
      <c r="AA34" s="95" t="s">
        <v>268</v>
      </c>
      <c r="AB34" s="97">
        <f t="shared" si="14"/>
        <v>43333.397435897437</v>
      </c>
      <c r="AC34" s="88">
        <f t="shared" si="15"/>
        <v>2708.7666666666664</v>
      </c>
      <c r="AD34" s="88">
        <f t="shared" si="15"/>
        <v>4884.0230769230775</v>
      </c>
      <c r="AE34" s="88">
        <f t="shared" si="15"/>
        <v>2136.3307692307694</v>
      </c>
      <c r="AF34" s="88">
        <f t="shared" si="15"/>
        <v>1717.3076923076924</v>
      </c>
      <c r="AG34" s="88">
        <f t="shared" si="15"/>
        <v>4762.666666666667</v>
      </c>
      <c r="AH34" s="88">
        <f t="shared" si="15"/>
        <v>2305.771794871795</v>
      </c>
      <c r="AI34" s="88">
        <f t="shared" si="15"/>
        <v>2047.0307692307695</v>
      </c>
      <c r="AJ34" s="88">
        <f t="shared" si="15"/>
        <v>2747.6923076923076</v>
      </c>
      <c r="AK34" s="88">
        <f t="shared" si="15"/>
        <v>4961.874358974359</v>
      </c>
      <c r="AL34" s="88">
        <f t="shared" si="15"/>
        <v>2701.897435897436</v>
      </c>
      <c r="AM34" s="88">
        <f t="shared" si="15"/>
        <v>2733.9538461538464</v>
      </c>
      <c r="AN34" s="88">
        <f t="shared" si="15"/>
        <v>1282.2564102564102</v>
      </c>
      <c r="AO34" s="88">
        <f t="shared" si="15"/>
        <v>2205.023076923077</v>
      </c>
      <c r="AP34" s="88">
        <f t="shared" si="15"/>
        <v>2259.976923076923</v>
      </c>
      <c r="AQ34" s="88">
        <f t="shared" si="15"/>
        <v>2351.5666666666666</v>
      </c>
      <c r="AR34" s="88">
        <f t="shared" si="15"/>
        <v>1527.2589743589745</v>
      </c>
    </row>
    <row r="35" spans="1:44" s="106" customFormat="1" ht="52" hidden="1" outlineLevel="3" x14ac:dyDescent="0.35">
      <c r="A35" s="89" t="s">
        <v>31</v>
      </c>
      <c r="B35" s="90" t="s">
        <v>20</v>
      </c>
      <c r="C35" s="93">
        <f>10/216</f>
        <v>4.6296296296296294E-2</v>
      </c>
      <c r="D35" s="92">
        <v>1</v>
      </c>
      <c r="E35" s="92"/>
      <c r="F35" s="92"/>
      <c r="G35" s="92"/>
      <c r="H35" s="92"/>
      <c r="I35" s="92"/>
      <c r="J35" s="92"/>
      <c r="K35" s="92"/>
      <c r="L35" s="92">
        <v>10</v>
      </c>
      <c r="M35" s="92"/>
      <c r="N35" s="92"/>
      <c r="O35" s="92"/>
      <c r="P35" s="92"/>
      <c r="Q35" s="92">
        <v>10</v>
      </c>
      <c r="R35" s="92"/>
      <c r="S35" s="92">
        <v>2</v>
      </c>
      <c r="T35" s="93">
        <v>5</v>
      </c>
      <c r="U35" s="93">
        <f t="shared" si="12"/>
        <v>3787.7000000000003</v>
      </c>
      <c r="V35" s="107">
        <v>4228</v>
      </c>
      <c r="W35" s="107">
        <v>4475</v>
      </c>
      <c r="X35" s="107">
        <v>2660.1</v>
      </c>
      <c r="Y35" s="92">
        <v>23</v>
      </c>
      <c r="Z35" s="92">
        <f t="shared" si="16"/>
        <v>35.071296296296296</v>
      </c>
      <c r="AA35" s="95" t="s">
        <v>270</v>
      </c>
      <c r="AB35" s="97">
        <f t="shared" si="14"/>
        <v>66372.42824074073</v>
      </c>
      <c r="AC35" s="88">
        <f t="shared" si="15"/>
        <v>4148.9343518518517</v>
      </c>
      <c r="AD35" s="88">
        <f t="shared" si="15"/>
        <v>7480.7075000000004</v>
      </c>
      <c r="AE35" s="88">
        <f t="shared" si="15"/>
        <v>3272.1519444444443</v>
      </c>
      <c r="AF35" s="88">
        <f t="shared" si="15"/>
        <v>2630.3472222222222</v>
      </c>
      <c r="AG35" s="88">
        <f t="shared" si="15"/>
        <v>7294.8296296296294</v>
      </c>
      <c r="AH35" s="88">
        <f t="shared" si="15"/>
        <v>3531.6795370370373</v>
      </c>
      <c r="AI35" s="88">
        <f t="shared" si="15"/>
        <v>3135.3738888888893</v>
      </c>
      <c r="AJ35" s="88">
        <f t="shared" si="15"/>
        <v>4208.5555555555557</v>
      </c>
      <c r="AK35" s="88">
        <f t="shared" si="15"/>
        <v>7599.9499074074074</v>
      </c>
      <c r="AL35" s="88">
        <f t="shared" si="15"/>
        <v>4138.4129629629633</v>
      </c>
      <c r="AM35" s="88">
        <f t="shared" si="15"/>
        <v>4187.512777777778</v>
      </c>
      <c r="AN35" s="88">
        <f t="shared" si="15"/>
        <v>1963.9925925925927</v>
      </c>
      <c r="AO35" s="88">
        <f t="shared" si="15"/>
        <v>3377.3658333333333</v>
      </c>
      <c r="AP35" s="88">
        <f t="shared" si="15"/>
        <v>3461.5369444444445</v>
      </c>
      <c r="AQ35" s="88">
        <f t="shared" si="15"/>
        <v>3601.8221296296297</v>
      </c>
      <c r="AR35" s="88">
        <f t="shared" si="15"/>
        <v>2339.2554629629631</v>
      </c>
    </row>
    <row r="36" spans="1:44" s="106" customFormat="1" ht="26" hidden="1" outlineLevel="3" x14ac:dyDescent="0.35">
      <c r="A36" s="89" t="s">
        <v>34</v>
      </c>
      <c r="B36" s="90" t="s">
        <v>20</v>
      </c>
      <c r="C36" s="93">
        <f>1/122</f>
        <v>8.1967213114754103E-3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>
        <v>1</v>
      </c>
      <c r="O36" s="92"/>
      <c r="P36" s="92"/>
      <c r="Q36" s="92"/>
      <c r="R36" s="92"/>
      <c r="S36" s="92"/>
      <c r="T36" s="93">
        <v>5</v>
      </c>
      <c r="U36" s="93">
        <f t="shared" si="12"/>
        <v>6563.333333333333</v>
      </c>
      <c r="V36" s="92">
        <v>6880</v>
      </c>
      <c r="W36" s="92">
        <v>5810</v>
      </c>
      <c r="X36" s="92">
        <v>7000</v>
      </c>
      <c r="Y36" s="92">
        <v>24</v>
      </c>
      <c r="Z36" s="92">
        <f t="shared" si="16"/>
        <v>10.759562841530053</v>
      </c>
      <c r="AA36" s="95" t="s">
        <v>273</v>
      </c>
      <c r="AB36" s="97">
        <f t="shared" si="14"/>
        <v>20362.47267759563</v>
      </c>
      <c r="AC36" s="88">
        <f t="shared" si="15"/>
        <v>1272.8562841530054</v>
      </c>
      <c r="AD36" s="88">
        <f t="shared" si="15"/>
        <v>2295.0147540983608</v>
      </c>
      <c r="AE36" s="88">
        <f t="shared" si="15"/>
        <v>1003.867213114754</v>
      </c>
      <c r="AF36" s="88">
        <f t="shared" si="15"/>
        <v>806.96721311475403</v>
      </c>
      <c r="AG36" s="88">
        <f t="shared" si="15"/>
        <v>2237.989071038251</v>
      </c>
      <c r="AH36" s="88">
        <f t="shared" si="15"/>
        <v>1083.4879781420764</v>
      </c>
      <c r="AI36" s="88">
        <f t="shared" si="15"/>
        <v>961.9049180327869</v>
      </c>
      <c r="AJ36" s="88">
        <f t="shared" si="15"/>
        <v>1291.1475409836064</v>
      </c>
      <c r="AK36" s="88">
        <f t="shared" si="15"/>
        <v>2331.5972677595623</v>
      </c>
      <c r="AL36" s="88">
        <f t="shared" si="15"/>
        <v>1269.6284153005463</v>
      </c>
      <c r="AM36" s="88">
        <f t="shared" si="15"/>
        <v>1284.6918032786884</v>
      </c>
      <c r="AN36" s="88">
        <f t="shared" si="15"/>
        <v>602.53551912568298</v>
      </c>
      <c r="AO36" s="88">
        <f t="shared" si="15"/>
        <v>1036.1459016393442</v>
      </c>
      <c r="AP36" s="88">
        <f t="shared" si="15"/>
        <v>1061.9688524590163</v>
      </c>
      <c r="AQ36" s="88">
        <f t="shared" si="15"/>
        <v>1105.0071038251365</v>
      </c>
      <c r="AR36" s="88">
        <f t="shared" si="15"/>
        <v>717.66284153005461</v>
      </c>
    </row>
    <row r="37" spans="1:44" s="106" customFormat="1" ht="14" hidden="1" outlineLevel="3" x14ac:dyDescent="0.35">
      <c r="A37" s="89" t="s">
        <v>41</v>
      </c>
      <c r="B37" s="90" t="s">
        <v>20</v>
      </c>
      <c r="C37" s="93">
        <f>1/122</f>
        <v>8.1967213114754103E-3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>
        <v>1</v>
      </c>
      <c r="O37" s="92"/>
      <c r="P37" s="92"/>
      <c r="Q37" s="92"/>
      <c r="R37" s="92"/>
      <c r="S37" s="92"/>
      <c r="T37" s="93">
        <v>5</v>
      </c>
      <c r="U37" s="93">
        <f t="shared" si="12"/>
        <v>4210</v>
      </c>
      <c r="V37" s="92">
        <v>4880</v>
      </c>
      <c r="W37" s="92">
        <v>3850</v>
      </c>
      <c r="X37" s="92">
        <v>3900</v>
      </c>
      <c r="Y37" s="92">
        <v>25</v>
      </c>
      <c r="Z37" s="92">
        <f t="shared" si="16"/>
        <v>6.9016393442622954</v>
      </c>
      <c r="AA37" s="95" t="s">
        <v>273</v>
      </c>
      <c r="AB37" s="97">
        <f t="shared" si="14"/>
        <v>13061.352459016394</v>
      </c>
      <c r="AC37" s="88">
        <f t="shared" si="15"/>
        <v>816.46393442622957</v>
      </c>
      <c r="AD37" s="88">
        <f t="shared" si="15"/>
        <v>1472.1196721311476</v>
      </c>
      <c r="AE37" s="88">
        <f t="shared" si="15"/>
        <v>643.92295081967211</v>
      </c>
      <c r="AF37" s="88">
        <f t="shared" si="15"/>
        <v>517.62295081967216</v>
      </c>
      <c r="AG37" s="88">
        <f t="shared" si="15"/>
        <v>1435.5409836065573</v>
      </c>
      <c r="AH37" s="88">
        <f t="shared" si="15"/>
        <v>694.9950819672132</v>
      </c>
      <c r="AI37" s="88">
        <f t="shared" si="15"/>
        <v>617.00655737704926</v>
      </c>
      <c r="AJ37" s="88">
        <f t="shared" si="15"/>
        <v>828.19672131147547</v>
      </c>
      <c r="AK37" s="88">
        <f t="shared" si="15"/>
        <v>1495.5852459016394</v>
      </c>
      <c r="AL37" s="88">
        <f t="shared" si="15"/>
        <v>814.39344262295083</v>
      </c>
      <c r="AM37" s="88">
        <f t="shared" si="15"/>
        <v>824.0557377049181</v>
      </c>
      <c r="AN37" s="88">
        <f t="shared" si="15"/>
        <v>386.49180327868856</v>
      </c>
      <c r="AO37" s="88">
        <f t="shared" si="15"/>
        <v>664.62786885245907</v>
      </c>
      <c r="AP37" s="88">
        <f t="shared" si="15"/>
        <v>681.19180327868855</v>
      </c>
      <c r="AQ37" s="88">
        <f t="shared" si="15"/>
        <v>708.79836065573772</v>
      </c>
      <c r="AR37" s="88">
        <f t="shared" si="15"/>
        <v>460.33934426229513</v>
      </c>
    </row>
    <row r="38" spans="1:44" s="112" customFormat="1" ht="13" outlineLevel="2" collapsed="1" x14ac:dyDescent="0.35">
      <c r="A38" s="108" t="s">
        <v>277</v>
      </c>
      <c r="B38" s="109" t="s">
        <v>3</v>
      </c>
      <c r="C38" s="109" t="s">
        <v>3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09" t="s">
        <v>3</v>
      </c>
      <c r="U38" s="109" t="s">
        <v>3</v>
      </c>
      <c r="V38" s="109" t="s">
        <v>3</v>
      </c>
      <c r="W38" s="109" t="s">
        <v>3</v>
      </c>
      <c r="X38" s="109" t="s">
        <v>3</v>
      </c>
      <c r="Y38" s="109" t="s">
        <v>3</v>
      </c>
      <c r="Z38" s="109" t="s">
        <v>3</v>
      </c>
      <c r="AA38" s="109" t="s">
        <v>3</v>
      </c>
      <c r="AB38" s="111">
        <f>SUM(AB39:AB68)</f>
        <v>465996.10662834818</v>
      </c>
      <c r="AC38" s="111">
        <f t="shared" ref="AC38:AR38" si="17">SUM(AC39:AC68)</f>
        <v>29129.373534548791</v>
      </c>
      <c r="AD38" s="111">
        <f t="shared" si="17"/>
        <v>52521.516271506822</v>
      </c>
      <c r="AE38" s="111">
        <f t="shared" si="17"/>
        <v>22973.546498507207</v>
      </c>
      <c r="AF38" s="111">
        <f t="shared" si="17"/>
        <v>18467.481108124754</v>
      </c>
      <c r="AG38" s="111">
        <f t="shared" si="17"/>
        <v>51216.480939866015</v>
      </c>
      <c r="AH38" s="111">
        <f t="shared" si="17"/>
        <v>24795.67130117552</v>
      </c>
      <c r="AI38" s="111">
        <f t="shared" si="17"/>
        <v>22013.237480884709</v>
      </c>
      <c r="AJ38" s="111">
        <f t="shared" si="17"/>
        <v>29547.969772999615</v>
      </c>
      <c r="AK38" s="111">
        <f t="shared" si="17"/>
        <v>53358.708748408462</v>
      </c>
      <c r="AL38" s="111">
        <f t="shared" si="17"/>
        <v>29055.503610116291</v>
      </c>
      <c r="AM38" s="111">
        <f t="shared" si="17"/>
        <v>29400.229924134615</v>
      </c>
      <c r="AN38" s="111">
        <f t="shared" si="17"/>
        <v>13789.052560733155</v>
      </c>
      <c r="AO38" s="111">
        <f t="shared" si="17"/>
        <v>23712.245742832194</v>
      </c>
      <c r="AP38" s="111">
        <f t="shared" si="17"/>
        <v>24303.205138292185</v>
      </c>
      <c r="AQ38" s="111">
        <f t="shared" si="17"/>
        <v>25288.137464058844</v>
      </c>
      <c r="AR38" s="111">
        <f t="shared" si="17"/>
        <v>16423.746532158959</v>
      </c>
    </row>
    <row r="39" spans="1:44" s="98" customFormat="1" ht="13" hidden="1" outlineLevel="3" x14ac:dyDescent="0.35">
      <c r="A39" s="89" t="s">
        <v>46</v>
      </c>
      <c r="B39" s="90" t="s">
        <v>20</v>
      </c>
      <c r="C39" s="93">
        <f>9/117</f>
        <v>7.6923076923076927E-2</v>
      </c>
      <c r="D39" s="92">
        <v>5</v>
      </c>
      <c r="E39" s="92"/>
      <c r="F39" s="92"/>
      <c r="G39" s="92"/>
      <c r="H39" s="92"/>
      <c r="I39" s="92"/>
      <c r="J39" s="92"/>
      <c r="K39" s="92"/>
      <c r="L39" s="92"/>
      <c r="M39" s="92">
        <v>9</v>
      </c>
      <c r="N39" s="92"/>
      <c r="O39" s="92"/>
      <c r="P39" s="92"/>
      <c r="Q39" s="92"/>
      <c r="R39" s="92"/>
      <c r="S39" s="92"/>
      <c r="T39" s="93">
        <v>5</v>
      </c>
      <c r="U39" s="93">
        <f t="shared" ref="U39:U68" si="18">AVERAGE(V39:X39)</f>
        <v>917.66666666666663</v>
      </c>
      <c r="V39" s="92">
        <v>1024</v>
      </c>
      <c r="W39" s="92">
        <v>799</v>
      </c>
      <c r="X39" s="92">
        <v>930</v>
      </c>
      <c r="Y39" s="92">
        <v>26</v>
      </c>
      <c r="Z39" s="92">
        <f t="shared" ref="Z39:Z80" si="19">C39/$T39*$U39</f>
        <v>14.117948717948718</v>
      </c>
      <c r="AA39" s="95" t="s">
        <v>279</v>
      </c>
      <c r="AB39" s="97">
        <f t="shared" ref="AB39:AB68" si="20">SUM(AC39:AR39)</f>
        <v>26718.217948717949</v>
      </c>
      <c r="AC39" s="88">
        <f t="shared" ref="AC39:AR54" si="21">$Z39*AC$2</f>
        <v>1670.1533333333332</v>
      </c>
      <c r="AD39" s="88">
        <f t="shared" si="21"/>
        <v>3011.3584615384616</v>
      </c>
      <c r="AE39" s="88">
        <f t="shared" si="21"/>
        <v>1317.2046153846154</v>
      </c>
      <c r="AF39" s="88">
        <f t="shared" si="21"/>
        <v>1058.8461538461538</v>
      </c>
      <c r="AG39" s="88">
        <f t="shared" si="21"/>
        <v>2936.5333333333333</v>
      </c>
      <c r="AH39" s="88">
        <f t="shared" si="21"/>
        <v>1421.677435897436</v>
      </c>
      <c r="AI39" s="88">
        <f t="shared" si="21"/>
        <v>1262.1446153846155</v>
      </c>
      <c r="AJ39" s="88">
        <f t="shared" si="21"/>
        <v>1694.1538461538462</v>
      </c>
      <c r="AK39" s="88">
        <f t="shared" si="21"/>
        <v>3059.3594871794871</v>
      </c>
      <c r="AL39" s="88">
        <f t="shared" si="21"/>
        <v>1665.9179487179488</v>
      </c>
      <c r="AM39" s="88">
        <f t="shared" si="21"/>
        <v>1685.6830769230769</v>
      </c>
      <c r="AN39" s="88">
        <f t="shared" si="21"/>
        <v>790.60512820512815</v>
      </c>
      <c r="AO39" s="88">
        <f t="shared" si="21"/>
        <v>1359.5584615384614</v>
      </c>
      <c r="AP39" s="88">
        <f t="shared" si="21"/>
        <v>1393.4415384615384</v>
      </c>
      <c r="AQ39" s="88">
        <f t="shared" si="21"/>
        <v>1449.9133333333334</v>
      </c>
      <c r="AR39" s="88">
        <f t="shared" si="21"/>
        <v>941.66717948717951</v>
      </c>
    </row>
    <row r="40" spans="1:44" s="98" customFormat="1" ht="13" hidden="1" outlineLevel="3" x14ac:dyDescent="0.35">
      <c r="A40" s="89" t="s">
        <v>47</v>
      </c>
      <c r="B40" s="90" t="s">
        <v>20</v>
      </c>
      <c r="C40" s="93">
        <f>8/117</f>
        <v>6.8376068376068383E-2</v>
      </c>
      <c r="D40" s="92">
        <v>6</v>
      </c>
      <c r="E40" s="92"/>
      <c r="F40" s="92"/>
      <c r="G40" s="92"/>
      <c r="H40" s="92"/>
      <c r="I40" s="92"/>
      <c r="J40" s="92"/>
      <c r="K40" s="92"/>
      <c r="L40" s="92"/>
      <c r="M40" s="92">
        <v>8</v>
      </c>
      <c r="N40" s="92"/>
      <c r="O40" s="92">
        <v>3</v>
      </c>
      <c r="P40" s="92"/>
      <c r="Q40" s="92"/>
      <c r="R40" s="92"/>
      <c r="S40" s="92"/>
      <c r="T40" s="93">
        <v>5</v>
      </c>
      <c r="U40" s="93">
        <f t="shared" si="18"/>
        <v>1378.3333333333333</v>
      </c>
      <c r="V40" s="92">
        <v>1964</v>
      </c>
      <c r="W40" s="92">
        <v>999</v>
      </c>
      <c r="X40" s="92">
        <v>1172</v>
      </c>
      <c r="Y40" s="92">
        <v>27</v>
      </c>
      <c r="Z40" s="92">
        <f t="shared" si="19"/>
        <v>18.849002849002851</v>
      </c>
      <c r="AA40" s="95" t="s">
        <v>280</v>
      </c>
      <c r="AB40" s="97">
        <f t="shared" si="20"/>
        <v>35671.737891737896</v>
      </c>
      <c r="AC40" s="88">
        <f t="shared" si="21"/>
        <v>2229.8370370370371</v>
      </c>
      <c r="AD40" s="88">
        <f t="shared" si="21"/>
        <v>4020.4923076923083</v>
      </c>
      <c r="AE40" s="88">
        <f t="shared" si="21"/>
        <v>1758.611965811966</v>
      </c>
      <c r="AF40" s="88">
        <f t="shared" si="21"/>
        <v>1413.6752136752139</v>
      </c>
      <c r="AG40" s="88">
        <f t="shared" si="21"/>
        <v>3920.5925925925931</v>
      </c>
      <c r="AH40" s="88">
        <f t="shared" si="21"/>
        <v>1898.0945868945871</v>
      </c>
      <c r="AI40" s="88">
        <f t="shared" si="21"/>
        <v>1685.1008547008551</v>
      </c>
      <c r="AJ40" s="88">
        <f t="shared" si="21"/>
        <v>2261.8803418803423</v>
      </c>
      <c r="AK40" s="88">
        <f t="shared" si="21"/>
        <v>4084.5789173789176</v>
      </c>
      <c r="AL40" s="88">
        <f t="shared" si="21"/>
        <v>2224.1823361823363</v>
      </c>
      <c r="AM40" s="88">
        <f t="shared" si="21"/>
        <v>2250.5709401709405</v>
      </c>
      <c r="AN40" s="88">
        <f t="shared" si="21"/>
        <v>1055.5441595441596</v>
      </c>
      <c r="AO40" s="88">
        <f t="shared" si="21"/>
        <v>1815.1589743589745</v>
      </c>
      <c r="AP40" s="88">
        <f t="shared" si="21"/>
        <v>1860.3965811965813</v>
      </c>
      <c r="AQ40" s="88">
        <f t="shared" si="21"/>
        <v>1935.7925925925929</v>
      </c>
      <c r="AR40" s="88">
        <f t="shared" si="21"/>
        <v>1257.2284900284901</v>
      </c>
    </row>
    <row r="41" spans="1:44" s="98" customFormat="1" ht="13" hidden="1" outlineLevel="3" x14ac:dyDescent="0.35">
      <c r="A41" s="89" t="s">
        <v>48</v>
      </c>
      <c r="B41" s="90" t="s">
        <v>20</v>
      </c>
      <c r="C41" s="93">
        <f>8/117</f>
        <v>6.8376068376068383E-2</v>
      </c>
      <c r="D41" s="92">
        <v>2</v>
      </c>
      <c r="E41" s="92"/>
      <c r="F41" s="92"/>
      <c r="G41" s="92"/>
      <c r="H41" s="92"/>
      <c r="I41" s="92"/>
      <c r="J41" s="92"/>
      <c r="K41" s="92"/>
      <c r="L41" s="92"/>
      <c r="M41" s="92">
        <v>8</v>
      </c>
      <c r="N41" s="92"/>
      <c r="O41" s="92"/>
      <c r="P41" s="92"/>
      <c r="Q41" s="92"/>
      <c r="R41" s="92"/>
      <c r="S41" s="92"/>
      <c r="T41" s="93">
        <v>5</v>
      </c>
      <c r="U41" s="93">
        <f t="shared" si="18"/>
        <v>2472.3333333333335</v>
      </c>
      <c r="V41" s="92">
        <v>3506</v>
      </c>
      <c r="W41" s="92">
        <v>1600</v>
      </c>
      <c r="X41" s="92">
        <v>2311</v>
      </c>
      <c r="Y41" s="92">
        <v>28</v>
      </c>
      <c r="Z41" s="92">
        <f t="shared" si="19"/>
        <v>33.809686609686615</v>
      </c>
      <c r="AA41" s="95" t="s">
        <v>280</v>
      </c>
      <c r="AB41" s="97">
        <f t="shared" si="20"/>
        <v>63984.831908831911</v>
      </c>
      <c r="AC41" s="88">
        <f t="shared" si="21"/>
        <v>3999.6859259259263</v>
      </c>
      <c r="AD41" s="88">
        <f t="shared" si="21"/>
        <v>7211.6061538461554</v>
      </c>
      <c r="AE41" s="88">
        <f t="shared" si="21"/>
        <v>3154.443760683761</v>
      </c>
      <c r="AF41" s="88">
        <f t="shared" si="21"/>
        <v>2535.7264957264961</v>
      </c>
      <c r="AG41" s="88">
        <f t="shared" si="21"/>
        <v>7032.4148148148161</v>
      </c>
      <c r="AH41" s="88">
        <f t="shared" si="21"/>
        <v>3404.6354415954424</v>
      </c>
      <c r="AI41" s="88">
        <f t="shared" si="21"/>
        <v>3022.5859829059837</v>
      </c>
      <c r="AJ41" s="88">
        <f t="shared" si="21"/>
        <v>4057.162393162394</v>
      </c>
      <c r="AK41" s="88">
        <f t="shared" si="21"/>
        <v>7326.5590883190889</v>
      </c>
      <c r="AL41" s="88">
        <f t="shared" si="21"/>
        <v>3989.5430199430207</v>
      </c>
      <c r="AM41" s="88">
        <f t="shared" si="21"/>
        <v>4036.8765811965818</v>
      </c>
      <c r="AN41" s="88">
        <f t="shared" si="21"/>
        <v>1893.3424501424504</v>
      </c>
      <c r="AO41" s="88">
        <f t="shared" si="21"/>
        <v>3255.8728205128209</v>
      </c>
      <c r="AP41" s="88">
        <f t="shared" si="21"/>
        <v>3337.0160683760691</v>
      </c>
      <c r="AQ41" s="88">
        <f t="shared" si="21"/>
        <v>3472.2548148148153</v>
      </c>
      <c r="AR41" s="88">
        <f t="shared" si="21"/>
        <v>2255.1060968660972</v>
      </c>
    </row>
    <row r="42" spans="1:44" s="98" customFormat="1" ht="13" hidden="1" outlineLevel="3" x14ac:dyDescent="0.35">
      <c r="A42" s="89" t="s">
        <v>50</v>
      </c>
      <c r="B42" s="90" t="s">
        <v>20</v>
      </c>
      <c r="C42" s="93">
        <f>1/117</f>
        <v>8.5470085470085479E-3</v>
      </c>
      <c r="D42" s="92">
        <v>1</v>
      </c>
      <c r="E42" s="92"/>
      <c r="F42" s="92"/>
      <c r="G42" s="92"/>
      <c r="H42" s="92"/>
      <c r="I42" s="92"/>
      <c r="J42" s="92"/>
      <c r="K42" s="92"/>
      <c r="L42" s="92"/>
      <c r="M42" s="92">
        <v>1</v>
      </c>
      <c r="N42" s="92"/>
      <c r="O42" s="92"/>
      <c r="P42" s="92"/>
      <c r="Q42" s="92"/>
      <c r="R42" s="92"/>
      <c r="S42" s="92"/>
      <c r="T42" s="93">
        <v>5</v>
      </c>
      <c r="U42" s="93">
        <f t="shared" si="18"/>
        <v>3291.6666666666665</v>
      </c>
      <c r="V42" s="92">
        <v>4377</v>
      </c>
      <c r="W42" s="92">
        <v>2749</v>
      </c>
      <c r="X42" s="92">
        <v>2749</v>
      </c>
      <c r="Y42" s="92">
        <v>29</v>
      </c>
      <c r="Z42" s="92">
        <f t="shared" si="19"/>
        <v>5.6267806267806275</v>
      </c>
      <c r="AA42" s="95" t="s">
        <v>276</v>
      </c>
      <c r="AB42" s="97">
        <f t="shared" si="20"/>
        <v>10648.682336182337</v>
      </c>
      <c r="AC42" s="88">
        <f t="shared" si="21"/>
        <v>665.64814814814827</v>
      </c>
      <c r="AD42" s="88">
        <f t="shared" si="21"/>
        <v>1200.1923076923078</v>
      </c>
      <c r="AE42" s="88">
        <f t="shared" si="21"/>
        <v>524.97863247863256</v>
      </c>
      <c r="AF42" s="88">
        <f t="shared" si="21"/>
        <v>422.00854700854705</v>
      </c>
      <c r="AG42" s="88">
        <f t="shared" si="21"/>
        <v>1170.3703703703704</v>
      </c>
      <c r="AH42" s="88">
        <f t="shared" si="21"/>
        <v>566.61680911680924</v>
      </c>
      <c r="AI42" s="88">
        <f t="shared" si="21"/>
        <v>503.03418803418811</v>
      </c>
      <c r="AJ42" s="88">
        <f t="shared" si="21"/>
        <v>675.21367521367529</v>
      </c>
      <c r="AK42" s="88">
        <f t="shared" si="21"/>
        <v>1219.3233618233619</v>
      </c>
      <c r="AL42" s="88">
        <f t="shared" si="21"/>
        <v>663.96011396011409</v>
      </c>
      <c r="AM42" s="88">
        <f t="shared" si="21"/>
        <v>671.83760683760693</v>
      </c>
      <c r="AN42" s="88">
        <f t="shared" si="21"/>
        <v>315.09971509971513</v>
      </c>
      <c r="AO42" s="88">
        <f t="shared" si="21"/>
        <v>541.85897435897436</v>
      </c>
      <c r="AP42" s="88">
        <f t="shared" si="21"/>
        <v>555.36324786324792</v>
      </c>
      <c r="AQ42" s="88">
        <f t="shared" si="21"/>
        <v>577.87037037037044</v>
      </c>
      <c r="AR42" s="88">
        <f t="shared" si="21"/>
        <v>375.3062678062679</v>
      </c>
    </row>
    <row r="43" spans="1:44" s="98" customFormat="1" ht="13" hidden="1" outlineLevel="3" x14ac:dyDescent="0.35">
      <c r="A43" s="89" t="s">
        <v>52</v>
      </c>
      <c r="B43" s="90" t="s">
        <v>20</v>
      </c>
      <c r="C43" s="93">
        <f>2/119</f>
        <v>1.680672268907563E-2</v>
      </c>
      <c r="D43" s="92">
        <v>2</v>
      </c>
      <c r="E43" s="92"/>
      <c r="F43" s="92"/>
      <c r="G43" s="92"/>
      <c r="H43" s="92"/>
      <c r="I43" s="92"/>
      <c r="J43" s="92"/>
      <c r="K43" s="92"/>
      <c r="L43" s="92"/>
      <c r="M43" s="92">
        <v>3</v>
      </c>
      <c r="N43" s="92"/>
      <c r="O43" s="92"/>
      <c r="P43" s="92"/>
      <c r="Q43" s="92"/>
      <c r="R43" s="92"/>
      <c r="S43" s="92"/>
      <c r="T43" s="93">
        <v>5</v>
      </c>
      <c r="U43" s="93">
        <f t="shared" si="18"/>
        <v>3910</v>
      </c>
      <c r="V43" s="92">
        <v>5170</v>
      </c>
      <c r="W43" s="92">
        <v>3690</v>
      </c>
      <c r="X43" s="92">
        <v>2870</v>
      </c>
      <c r="Y43" s="92">
        <v>30</v>
      </c>
      <c r="Z43" s="92">
        <f t="shared" si="19"/>
        <v>13.142857142857142</v>
      </c>
      <c r="AA43" s="95" t="s">
        <v>269</v>
      </c>
      <c r="AB43" s="97">
        <f t="shared" si="20"/>
        <v>24872.857142857145</v>
      </c>
      <c r="AC43" s="88">
        <f t="shared" si="21"/>
        <v>1554.8</v>
      </c>
      <c r="AD43" s="88">
        <f t="shared" si="21"/>
        <v>2803.3714285714286</v>
      </c>
      <c r="AE43" s="88">
        <f t="shared" si="21"/>
        <v>1226.2285714285713</v>
      </c>
      <c r="AF43" s="88">
        <f t="shared" si="21"/>
        <v>985.71428571428567</v>
      </c>
      <c r="AG43" s="88">
        <f t="shared" si="21"/>
        <v>2733.7142857142858</v>
      </c>
      <c r="AH43" s="88">
        <f t="shared" si="21"/>
        <v>1323.4857142857143</v>
      </c>
      <c r="AI43" s="88">
        <f t="shared" si="21"/>
        <v>1174.9714285714285</v>
      </c>
      <c r="AJ43" s="88">
        <f t="shared" si="21"/>
        <v>1577.1428571428571</v>
      </c>
      <c r="AK43" s="88">
        <f t="shared" si="21"/>
        <v>2848.0571428571425</v>
      </c>
      <c r="AL43" s="88">
        <f t="shared" si="21"/>
        <v>1550.8571428571429</v>
      </c>
      <c r="AM43" s="88">
        <f t="shared" si="21"/>
        <v>1569.257142857143</v>
      </c>
      <c r="AN43" s="88">
        <f t="shared" si="21"/>
        <v>736</v>
      </c>
      <c r="AO43" s="88">
        <f t="shared" si="21"/>
        <v>1265.6571428571428</v>
      </c>
      <c r="AP43" s="88">
        <f t="shared" si="21"/>
        <v>1297.2</v>
      </c>
      <c r="AQ43" s="88">
        <f t="shared" si="21"/>
        <v>1349.7714285714285</v>
      </c>
      <c r="AR43" s="88">
        <f t="shared" si="21"/>
        <v>876.62857142857138</v>
      </c>
    </row>
    <row r="44" spans="1:44" s="98" customFormat="1" ht="13" hidden="1" outlineLevel="3" x14ac:dyDescent="0.35">
      <c r="A44" s="89" t="s">
        <v>53</v>
      </c>
      <c r="B44" s="90" t="s">
        <v>20</v>
      </c>
      <c r="C44" s="93">
        <f>2/119</f>
        <v>1.680672268907563E-2</v>
      </c>
      <c r="D44" s="92">
        <v>2</v>
      </c>
      <c r="E44" s="92"/>
      <c r="F44" s="92"/>
      <c r="G44" s="92"/>
      <c r="H44" s="92"/>
      <c r="I44" s="92"/>
      <c r="J44" s="92">
        <v>2</v>
      </c>
      <c r="K44" s="92"/>
      <c r="L44" s="92"/>
      <c r="M44" s="92">
        <v>2</v>
      </c>
      <c r="N44" s="92"/>
      <c r="O44" s="92"/>
      <c r="P44" s="92"/>
      <c r="Q44" s="92"/>
      <c r="R44" s="92"/>
      <c r="S44" s="92"/>
      <c r="T44" s="93">
        <v>5</v>
      </c>
      <c r="U44" s="93">
        <f t="shared" si="18"/>
        <v>4261</v>
      </c>
      <c r="V44" s="92">
        <v>3855</v>
      </c>
      <c r="W44" s="92">
        <v>4355</v>
      </c>
      <c r="X44" s="92">
        <v>4573</v>
      </c>
      <c r="Y44" s="92">
        <v>31</v>
      </c>
      <c r="Z44" s="92">
        <f t="shared" si="19"/>
        <v>14.322689075630251</v>
      </c>
      <c r="AA44" s="95" t="s">
        <v>269</v>
      </c>
      <c r="AB44" s="97">
        <f t="shared" si="20"/>
        <v>27105.689075630249</v>
      </c>
      <c r="AC44" s="88">
        <f t="shared" si="21"/>
        <v>1694.3741176470587</v>
      </c>
      <c r="AD44" s="88">
        <f t="shared" si="21"/>
        <v>3055.0295798319326</v>
      </c>
      <c r="AE44" s="88">
        <f t="shared" si="21"/>
        <v>1336.3068907563024</v>
      </c>
      <c r="AF44" s="88">
        <f t="shared" si="21"/>
        <v>1074.2016806722688</v>
      </c>
      <c r="AG44" s="88">
        <f t="shared" si="21"/>
        <v>2979.1193277310922</v>
      </c>
      <c r="AH44" s="88">
        <f t="shared" si="21"/>
        <v>1442.2947899159662</v>
      </c>
      <c r="AI44" s="88">
        <f t="shared" si="21"/>
        <v>1280.4484033613446</v>
      </c>
      <c r="AJ44" s="88">
        <f t="shared" si="21"/>
        <v>1718.7226890756301</v>
      </c>
      <c r="AK44" s="88">
        <f t="shared" si="21"/>
        <v>3103.7267226890754</v>
      </c>
      <c r="AL44" s="88">
        <f t="shared" si="21"/>
        <v>1690.0773109243696</v>
      </c>
      <c r="AM44" s="88">
        <f t="shared" si="21"/>
        <v>1710.1290756302521</v>
      </c>
      <c r="AN44" s="88">
        <f t="shared" si="21"/>
        <v>802.07058823529405</v>
      </c>
      <c r="AO44" s="88">
        <f t="shared" si="21"/>
        <v>1379.2749579831932</v>
      </c>
      <c r="AP44" s="88">
        <f t="shared" si="21"/>
        <v>1413.6494117647057</v>
      </c>
      <c r="AQ44" s="88">
        <f t="shared" si="21"/>
        <v>1470.9401680672268</v>
      </c>
      <c r="AR44" s="88">
        <f t="shared" si="21"/>
        <v>955.32336134453783</v>
      </c>
    </row>
    <row r="45" spans="1:44" s="98" customFormat="1" ht="13" hidden="1" outlineLevel="3" x14ac:dyDescent="0.35">
      <c r="A45" s="89" t="s">
        <v>54</v>
      </c>
      <c r="B45" s="90" t="s">
        <v>20</v>
      </c>
      <c r="C45" s="93">
        <f>2/119</f>
        <v>1.680672268907563E-2</v>
      </c>
      <c r="D45" s="92">
        <v>2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3">
        <v>5</v>
      </c>
      <c r="U45" s="93">
        <f t="shared" si="18"/>
        <v>5915</v>
      </c>
      <c r="V45" s="92">
        <v>6017</v>
      </c>
      <c r="W45" s="92">
        <v>6198</v>
      </c>
      <c r="X45" s="92">
        <v>5530</v>
      </c>
      <c r="Y45" s="92">
        <v>32</v>
      </c>
      <c r="Z45" s="92">
        <f t="shared" si="19"/>
        <v>19.882352941176467</v>
      </c>
      <c r="AA45" s="95" t="s">
        <v>269</v>
      </c>
      <c r="AB45" s="97">
        <f t="shared" si="20"/>
        <v>37627.352941176461</v>
      </c>
      <c r="AC45" s="88">
        <f t="shared" si="21"/>
        <v>2352.0823529411759</v>
      </c>
      <c r="AD45" s="88">
        <f t="shared" si="21"/>
        <v>4240.9058823529404</v>
      </c>
      <c r="AE45" s="88">
        <f t="shared" si="21"/>
        <v>1855.0235294117645</v>
      </c>
      <c r="AF45" s="88">
        <f t="shared" si="21"/>
        <v>1491.1764705882351</v>
      </c>
      <c r="AG45" s="88">
        <f t="shared" si="21"/>
        <v>4135.5294117647054</v>
      </c>
      <c r="AH45" s="88">
        <f t="shared" si="21"/>
        <v>2002.1529411764702</v>
      </c>
      <c r="AI45" s="88">
        <f t="shared" si="21"/>
        <v>1777.4823529411763</v>
      </c>
      <c r="AJ45" s="88">
        <f t="shared" si="21"/>
        <v>2385.8823529411761</v>
      </c>
      <c r="AK45" s="88">
        <f t="shared" si="21"/>
        <v>4308.5058823529407</v>
      </c>
      <c r="AL45" s="88">
        <f t="shared" si="21"/>
        <v>2346.117647058823</v>
      </c>
      <c r="AM45" s="88">
        <f t="shared" si="21"/>
        <v>2373.9529411764702</v>
      </c>
      <c r="AN45" s="88">
        <f t="shared" si="21"/>
        <v>1113.4117647058822</v>
      </c>
      <c r="AO45" s="88">
        <f t="shared" si="21"/>
        <v>1914.6705882352937</v>
      </c>
      <c r="AP45" s="88">
        <f t="shared" si="21"/>
        <v>1962.3882352941173</v>
      </c>
      <c r="AQ45" s="88">
        <f t="shared" si="21"/>
        <v>2041.9176470588234</v>
      </c>
      <c r="AR45" s="88">
        <f t="shared" si="21"/>
        <v>1326.1529411764704</v>
      </c>
    </row>
    <row r="46" spans="1:44" s="98" customFormat="1" ht="13" hidden="1" outlineLevel="3" x14ac:dyDescent="0.35">
      <c r="A46" s="89" t="s">
        <v>55</v>
      </c>
      <c r="B46" s="90" t="s">
        <v>20</v>
      </c>
      <c r="C46" s="93">
        <f>2/119</f>
        <v>1.680672268907563E-2</v>
      </c>
      <c r="D46" s="92">
        <v>2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3">
        <v>5</v>
      </c>
      <c r="U46" s="93">
        <f t="shared" si="18"/>
        <v>5372</v>
      </c>
      <c r="V46" s="92">
        <v>5663</v>
      </c>
      <c r="W46" s="92">
        <v>5833</v>
      </c>
      <c r="X46" s="92">
        <v>4620</v>
      </c>
      <c r="Y46" s="92">
        <v>33</v>
      </c>
      <c r="Z46" s="92">
        <f t="shared" si="19"/>
        <v>18.057142857142857</v>
      </c>
      <c r="AA46" s="95" t="s">
        <v>269</v>
      </c>
      <c r="AB46" s="97">
        <f t="shared" si="20"/>
        <v>34173.142857142862</v>
      </c>
      <c r="AC46" s="88">
        <f t="shared" si="21"/>
        <v>2136.16</v>
      </c>
      <c r="AD46" s="88">
        <f t="shared" si="21"/>
        <v>3851.5885714285714</v>
      </c>
      <c r="AE46" s="88">
        <f t="shared" si="21"/>
        <v>1684.7314285714285</v>
      </c>
      <c r="AF46" s="88">
        <f t="shared" si="21"/>
        <v>1354.2857142857142</v>
      </c>
      <c r="AG46" s="88">
        <f t="shared" si="21"/>
        <v>3755.8857142857141</v>
      </c>
      <c r="AH46" s="88">
        <f t="shared" si="21"/>
        <v>1818.3542857142857</v>
      </c>
      <c r="AI46" s="88">
        <f t="shared" si="21"/>
        <v>1614.3085714285714</v>
      </c>
      <c r="AJ46" s="88">
        <f t="shared" si="21"/>
        <v>2166.8571428571427</v>
      </c>
      <c r="AK46" s="88">
        <f t="shared" si="21"/>
        <v>3912.982857142857</v>
      </c>
      <c r="AL46" s="88">
        <f t="shared" si="21"/>
        <v>2130.7428571428572</v>
      </c>
      <c r="AM46" s="88">
        <f t="shared" si="21"/>
        <v>2156.0228571428574</v>
      </c>
      <c r="AN46" s="88">
        <f t="shared" si="21"/>
        <v>1011.2</v>
      </c>
      <c r="AO46" s="88">
        <f t="shared" si="21"/>
        <v>1738.9028571428571</v>
      </c>
      <c r="AP46" s="88">
        <f t="shared" si="21"/>
        <v>1782.24</v>
      </c>
      <c r="AQ46" s="88">
        <f t="shared" si="21"/>
        <v>1854.4685714285715</v>
      </c>
      <c r="AR46" s="88">
        <f t="shared" si="21"/>
        <v>1204.4114285714286</v>
      </c>
    </row>
    <row r="47" spans="1:44" s="106" customFormat="1" ht="14" hidden="1" outlineLevel="3" x14ac:dyDescent="0.35">
      <c r="A47" s="89" t="s">
        <v>86</v>
      </c>
      <c r="B47" s="90" t="s">
        <v>20</v>
      </c>
      <c r="C47" s="93">
        <f>6/117</f>
        <v>5.128205128205128E-2</v>
      </c>
      <c r="D47" s="92"/>
      <c r="E47" s="92"/>
      <c r="F47" s="92"/>
      <c r="G47" s="92"/>
      <c r="H47" s="92"/>
      <c r="I47" s="92"/>
      <c r="J47" s="92"/>
      <c r="K47" s="92"/>
      <c r="L47" s="92"/>
      <c r="M47" s="92">
        <v>6</v>
      </c>
      <c r="N47" s="92">
        <v>10</v>
      </c>
      <c r="O47" s="92"/>
      <c r="P47" s="92"/>
      <c r="Q47" s="92"/>
      <c r="R47" s="92"/>
      <c r="S47" s="92"/>
      <c r="T47" s="93">
        <v>5</v>
      </c>
      <c r="U47" s="93">
        <f t="shared" si="18"/>
        <v>744.77</v>
      </c>
      <c r="V47" s="107">
        <v>530</v>
      </c>
      <c r="W47" s="107">
        <v>800.3</v>
      </c>
      <c r="X47" s="107">
        <v>904.01</v>
      </c>
      <c r="Y47" s="92">
        <v>34</v>
      </c>
      <c r="Z47" s="92">
        <f t="shared" si="19"/>
        <v>7.6386666666666665</v>
      </c>
      <c r="AA47" s="95" t="s">
        <v>281</v>
      </c>
      <c r="AB47" s="97">
        <f t="shared" si="20"/>
        <v>14456.176666666668</v>
      </c>
      <c r="AC47" s="88">
        <f t="shared" si="21"/>
        <v>903.65426666666667</v>
      </c>
      <c r="AD47" s="88">
        <f t="shared" si="21"/>
        <v>1629.3276000000001</v>
      </c>
      <c r="AE47" s="88">
        <f t="shared" si="21"/>
        <v>712.68759999999997</v>
      </c>
      <c r="AF47" s="88">
        <f t="shared" si="21"/>
        <v>572.9</v>
      </c>
      <c r="AG47" s="88">
        <f t="shared" si="21"/>
        <v>1588.8426666666667</v>
      </c>
      <c r="AH47" s="88">
        <f t="shared" si="21"/>
        <v>769.21373333333338</v>
      </c>
      <c r="AI47" s="88">
        <f t="shared" si="21"/>
        <v>682.89679999999998</v>
      </c>
      <c r="AJ47" s="88">
        <f t="shared" si="21"/>
        <v>916.64</v>
      </c>
      <c r="AK47" s="88">
        <f t="shared" si="21"/>
        <v>1655.2990666666665</v>
      </c>
      <c r="AL47" s="88">
        <f t="shared" si="21"/>
        <v>901.36266666666666</v>
      </c>
      <c r="AM47" s="88">
        <f t="shared" si="21"/>
        <v>912.05680000000007</v>
      </c>
      <c r="AN47" s="88">
        <f t="shared" si="21"/>
        <v>427.76533333333333</v>
      </c>
      <c r="AO47" s="88">
        <f t="shared" si="21"/>
        <v>735.60359999999991</v>
      </c>
      <c r="AP47" s="88">
        <f t="shared" si="21"/>
        <v>753.93640000000005</v>
      </c>
      <c r="AQ47" s="88">
        <f t="shared" si="21"/>
        <v>784.49106666666671</v>
      </c>
      <c r="AR47" s="88">
        <f t="shared" si="21"/>
        <v>509.49906666666669</v>
      </c>
    </row>
    <row r="48" spans="1:44" s="106" customFormat="1" ht="14" hidden="1" outlineLevel="3" x14ac:dyDescent="0.35">
      <c r="A48" s="89" t="s">
        <v>85</v>
      </c>
      <c r="B48" s="90" t="s">
        <v>20</v>
      </c>
      <c r="C48" s="93">
        <f>5/117</f>
        <v>4.2735042735042736E-2</v>
      </c>
      <c r="D48" s="92"/>
      <c r="E48" s="92"/>
      <c r="F48" s="92"/>
      <c r="G48" s="92"/>
      <c r="H48" s="92"/>
      <c r="I48" s="92"/>
      <c r="J48" s="92"/>
      <c r="K48" s="92"/>
      <c r="L48" s="92"/>
      <c r="M48" s="92">
        <v>5</v>
      </c>
      <c r="N48" s="92"/>
      <c r="O48" s="92"/>
      <c r="P48" s="92"/>
      <c r="Q48" s="92"/>
      <c r="R48" s="92"/>
      <c r="S48" s="92"/>
      <c r="T48" s="93">
        <v>5</v>
      </c>
      <c r="U48" s="93">
        <f t="shared" si="18"/>
        <v>456.33</v>
      </c>
      <c r="V48" s="107">
        <v>280</v>
      </c>
      <c r="W48" s="107">
        <v>638.99</v>
      </c>
      <c r="X48" s="107">
        <v>450</v>
      </c>
      <c r="Y48" s="92">
        <v>35</v>
      </c>
      <c r="Z48" s="92">
        <f t="shared" si="19"/>
        <v>3.9002564102564103</v>
      </c>
      <c r="AA48" s="95" t="s">
        <v>282</v>
      </c>
      <c r="AB48" s="97">
        <f t="shared" si="20"/>
        <v>7381.2352564102566</v>
      </c>
      <c r="AC48" s="88">
        <f t="shared" si="21"/>
        <v>461.40033333333332</v>
      </c>
      <c r="AD48" s="88">
        <f t="shared" si="21"/>
        <v>831.92469230769234</v>
      </c>
      <c r="AE48" s="88">
        <f t="shared" si="21"/>
        <v>363.8939230769231</v>
      </c>
      <c r="AF48" s="88">
        <f t="shared" si="21"/>
        <v>292.51923076923077</v>
      </c>
      <c r="AG48" s="88">
        <f t="shared" si="21"/>
        <v>811.25333333333333</v>
      </c>
      <c r="AH48" s="88">
        <f t="shared" si="21"/>
        <v>392.75582051282055</v>
      </c>
      <c r="AI48" s="88">
        <f t="shared" si="21"/>
        <v>348.68292307692309</v>
      </c>
      <c r="AJ48" s="88">
        <f t="shared" si="21"/>
        <v>468.03076923076924</v>
      </c>
      <c r="AK48" s="88">
        <f t="shared" si="21"/>
        <v>845.18556410256406</v>
      </c>
      <c r="AL48" s="88">
        <f t="shared" si="21"/>
        <v>460.2302564102564</v>
      </c>
      <c r="AM48" s="88">
        <f t="shared" si="21"/>
        <v>465.6906153846154</v>
      </c>
      <c r="AN48" s="88">
        <f t="shared" si="21"/>
        <v>218.41435897435898</v>
      </c>
      <c r="AO48" s="88">
        <f t="shared" si="21"/>
        <v>375.5946923076923</v>
      </c>
      <c r="AP48" s="88">
        <f t="shared" si="21"/>
        <v>384.95530769230771</v>
      </c>
      <c r="AQ48" s="88">
        <f t="shared" si="21"/>
        <v>400.55633333333333</v>
      </c>
      <c r="AR48" s="88">
        <f t="shared" si="21"/>
        <v>260.14710256410257</v>
      </c>
    </row>
    <row r="49" spans="1:44" s="98" customFormat="1" ht="13" hidden="1" outlineLevel="3" x14ac:dyDescent="0.35">
      <c r="A49" s="89" t="s">
        <v>56</v>
      </c>
      <c r="B49" s="90" t="s">
        <v>20</v>
      </c>
      <c r="C49" s="93">
        <f>3/119</f>
        <v>2.5210084033613446E-2</v>
      </c>
      <c r="D49" s="92">
        <v>3</v>
      </c>
      <c r="E49" s="92"/>
      <c r="F49" s="92"/>
      <c r="G49" s="92"/>
      <c r="H49" s="92"/>
      <c r="I49" s="92"/>
      <c r="J49" s="92"/>
      <c r="K49" s="92"/>
      <c r="L49" s="92"/>
      <c r="M49" s="92">
        <v>6</v>
      </c>
      <c r="N49" s="92"/>
      <c r="O49" s="92"/>
      <c r="P49" s="92"/>
      <c r="Q49" s="92"/>
      <c r="R49" s="92"/>
      <c r="S49" s="92"/>
      <c r="T49" s="93">
        <v>5</v>
      </c>
      <c r="U49" s="93">
        <f t="shared" si="18"/>
        <v>221.66666666666666</v>
      </c>
      <c r="V49" s="111">
        <v>241</v>
      </c>
      <c r="W49" s="111">
        <v>249</v>
      </c>
      <c r="X49" s="111">
        <v>175</v>
      </c>
      <c r="Y49" s="92">
        <v>36</v>
      </c>
      <c r="Z49" s="92">
        <f t="shared" si="19"/>
        <v>1.1176470588235294</v>
      </c>
      <c r="AA49" s="95" t="s">
        <v>283</v>
      </c>
      <c r="AB49" s="97">
        <f t="shared" si="20"/>
        <v>2115.1470588235293</v>
      </c>
      <c r="AC49" s="88">
        <f t="shared" si="21"/>
        <v>132.21764705882353</v>
      </c>
      <c r="AD49" s="88">
        <f t="shared" si="21"/>
        <v>238.39411764705883</v>
      </c>
      <c r="AE49" s="88">
        <f t="shared" si="21"/>
        <v>104.2764705882353</v>
      </c>
      <c r="AF49" s="88">
        <f t="shared" si="21"/>
        <v>83.82352941176471</v>
      </c>
      <c r="AG49" s="88">
        <f t="shared" si="21"/>
        <v>232.47058823529412</v>
      </c>
      <c r="AH49" s="88">
        <f t="shared" si="21"/>
        <v>112.54705882352941</v>
      </c>
      <c r="AI49" s="88">
        <f t="shared" si="21"/>
        <v>99.917647058823533</v>
      </c>
      <c r="AJ49" s="88">
        <f t="shared" si="21"/>
        <v>134.11764705882354</v>
      </c>
      <c r="AK49" s="88">
        <f t="shared" si="21"/>
        <v>242.19411764705882</v>
      </c>
      <c r="AL49" s="88">
        <f t="shared" si="21"/>
        <v>131.88235294117646</v>
      </c>
      <c r="AM49" s="88">
        <f t="shared" si="21"/>
        <v>133.44705882352943</v>
      </c>
      <c r="AN49" s="88">
        <f t="shared" si="21"/>
        <v>62.588235294117652</v>
      </c>
      <c r="AO49" s="88">
        <f t="shared" si="21"/>
        <v>107.62941176470588</v>
      </c>
      <c r="AP49" s="88">
        <f t="shared" si="21"/>
        <v>110.31176470588235</v>
      </c>
      <c r="AQ49" s="88">
        <f t="shared" si="21"/>
        <v>114.78235294117647</v>
      </c>
      <c r="AR49" s="88">
        <f t="shared" si="21"/>
        <v>74.547058823529412</v>
      </c>
    </row>
    <row r="50" spans="1:44" s="98" customFormat="1" ht="13" hidden="1" outlineLevel="3" x14ac:dyDescent="0.35">
      <c r="A50" s="89" t="s">
        <v>57</v>
      </c>
      <c r="B50" s="90" t="s">
        <v>20</v>
      </c>
      <c r="C50" s="93">
        <f>2/119</f>
        <v>1.680672268907563E-2</v>
      </c>
      <c r="D50" s="92">
        <v>2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3">
        <v>5</v>
      </c>
      <c r="U50" s="93">
        <f t="shared" si="18"/>
        <v>712.66666666666663</v>
      </c>
      <c r="V50" s="111">
        <v>639</v>
      </c>
      <c r="W50" s="111">
        <v>659</v>
      </c>
      <c r="X50" s="111">
        <v>840</v>
      </c>
      <c r="Y50" s="92">
        <v>37</v>
      </c>
      <c r="Z50" s="92">
        <f t="shared" si="19"/>
        <v>2.3955182072829131</v>
      </c>
      <c r="AA50" s="95" t="s">
        <v>269</v>
      </c>
      <c r="AB50" s="97">
        <f t="shared" si="20"/>
        <v>4533.5182072829139</v>
      </c>
      <c r="AC50" s="88">
        <f t="shared" si="21"/>
        <v>283.38980392156861</v>
      </c>
      <c r="AD50" s="88">
        <f t="shared" si="21"/>
        <v>510.96403361344539</v>
      </c>
      <c r="AE50" s="88">
        <f t="shared" si="21"/>
        <v>223.50184873949578</v>
      </c>
      <c r="AF50" s="88">
        <f t="shared" si="21"/>
        <v>179.66386554621849</v>
      </c>
      <c r="AG50" s="88">
        <f t="shared" si="21"/>
        <v>498.26778711484593</v>
      </c>
      <c r="AH50" s="88">
        <f t="shared" si="21"/>
        <v>241.22868347338937</v>
      </c>
      <c r="AI50" s="88">
        <f t="shared" si="21"/>
        <v>214.15932773109245</v>
      </c>
      <c r="AJ50" s="88">
        <f t="shared" si="21"/>
        <v>287.46218487394958</v>
      </c>
      <c r="AK50" s="88">
        <f t="shared" si="21"/>
        <v>519.10879551820722</v>
      </c>
      <c r="AL50" s="88">
        <f t="shared" si="21"/>
        <v>282.67114845938374</v>
      </c>
      <c r="AM50" s="88">
        <f t="shared" si="21"/>
        <v>286.02487394957984</v>
      </c>
      <c r="AN50" s="88">
        <f t="shared" si="21"/>
        <v>134.14901960784314</v>
      </c>
      <c r="AO50" s="88">
        <f t="shared" si="21"/>
        <v>230.68840336134451</v>
      </c>
      <c r="AP50" s="88">
        <f t="shared" si="21"/>
        <v>236.43764705882353</v>
      </c>
      <c r="AQ50" s="88">
        <f t="shared" si="21"/>
        <v>246.01971988795518</v>
      </c>
      <c r="AR50" s="88">
        <f t="shared" si="21"/>
        <v>159.7810644257703</v>
      </c>
    </row>
    <row r="51" spans="1:44" s="98" customFormat="1" ht="13" hidden="1" outlineLevel="3" x14ac:dyDescent="0.35">
      <c r="A51" s="89" t="s">
        <v>63</v>
      </c>
      <c r="B51" s="90" t="s">
        <v>20</v>
      </c>
      <c r="C51" s="93">
        <f>5/100</f>
        <v>0.05</v>
      </c>
      <c r="D51" s="92"/>
      <c r="E51" s="92"/>
      <c r="F51" s="92"/>
      <c r="G51" s="92"/>
      <c r="H51" s="92"/>
      <c r="I51" s="92"/>
      <c r="J51" s="92"/>
      <c r="K51" s="92"/>
      <c r="L51" s="92"/>
      <c r="M51" s="92">
        <v>6</v>
      </c>
      <c r="N51" s="92"/>
      <c r="O51" s="92"/>
      <c r="P51" s="92"/>
      <c r="Q51" s="92">
        <v>5</v>
      </c>
      <c r="R51" s="92"/>
      <c r="S51" s="92"/>
      <c r="T51" s="93">
        <v>5</v>
      </c>
      <c r="U51" s="93">
        <f t="shared" si="18"/>
        <v>368.66666666666669</v>
      </c>
      <c r="V51" s="92">
        <v>372</v>
      </c>
      <c r="W51" s="92">
        <v>368</v>
      </c>
      <c r="X51" s="92">
        <v>366</v>
      </c>
      <c r="Y51" s="92">
        <v>38</v>
      </c>
      <c r="Z51" s="92">
        <f t="shared" si="19"/>
        <v>3.686666666666667</v>
      </c>
      <c r="AA51" s="95" t="s">
        <v>284</v>
      </c>
      <c r="AB51" s="97">
        <f t="shared" si="20"/>
        <v>6977.0166666666664</v>
      </c>
      <c r="AC51" s="88">
        <f t="shared" si="21"/>
        <v>436.13266666666669</v>
      </c>
      <c r="AD51" s="88">
        <f t="shared" si="21"/>
        <v>786.3660000000001</v>
      </c>
      <c r="AE51" s="88">
        <f t="shared" si="21"/>
        <v>343.96600000000001</v>
      </c>
      <c r="AF51" s="88">
        <f t="shared" si="21"/>
        <v>276.5</v>
      </c>
      <c r="AG51" s="88">
        <f t="shared" si="21"/>
        <v>766.82666666666671</v>
      </c>
      <c r="AH51" s="88">
        <f t="shared" si="21"/>
        <v>371.24733333333336</v>
      </c>
      <c r="AI51" s="88">
        <f t="shared" si="21"/>
        <v>329.58800000000002</v>
      </c>
      <c r="AJ51" s="88">
        <f t="shared" si="21"/>
        <v>442.40000000000003</v>
      </c>
      <c r="AK51" s="88">
        <f t="shared" si="21"/>
        <v>798.90066666666667</v>
      </c>
      <c r="AL51" s="88">
        <f t="shared" si="21"/>
        <v>435.0266666666667</v>
      </c>
      <c r="AM51" s="88">
        <f t="shared" si="21"/>
        <v>440.18800000000005</v>
      </c>
      <c r="AN51" s="88">
        <f t="shared" si="21"/>
        <v>206.45333333333335</v>
      </c>
      <c r="AO51" s="88">
        <f t="shared" si="21"/>
        <v>355.02600000000001</v>
      </c>
      <c r="AP51" s="88">
        <f t="shared" si="21"/>
        <v>363.87400000000002</v>
      </c>
      <c r="AQ51" s="88">
        <f t="shared" si="21"/>
        <v>378.62066666666669</v>
      </c>
      <c r="AR51" s="88">
        <f t="shared" si="21"/>
        <v>245.90066666666669</v>
      </c>
    </row>
    <row r="52" spans="1:44" s="98" customFormat="1" ht="13" hidden="1" outlineLevel="3" x14ac:dyDescent="0.35">
      <c r="A52" s="89" t="s">
        <v>64</v>
      </c>
      <c r="B52" s="90" t="s">
        <v>20</v>
      </c>
      <c r="C52" s="93">
        <f>5/100</f>
        <v>0.05</v>
      </c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>
        <v>5</v>
      </c>
      <c r="R52" s="92"/>
      <c r="S52" s="92"/>
      <c r="T52" s="93">
        <v>5</v>
      </c>
      <c r="U52" s="93">
        <f t="shared" si="18"/>
        <v>409</v>
      </c>
      <c r="V52" s="92">
        <v>412</v>
      </c>
      <c r="W52" s="92">
        <v>409</v>
      </c>
      <c r="X52" s="92">
        <v>406</v>
      </c>
      <c r="Y52" s="92">
        <v>39</v>
      </c>
      <c r="Z52" s="92">
        <f t="shared" si="19"/>
        <v>4.09</v>
      </c>
      <c r="AA52" s="95" t="s">
        <v>284</v>
      </c>
      <c r="AB52" s="97">
        <f t="shared" si="20"/>
        <v>7740.3249999999989</v>
      </c>
      <c r="AC52" s="88">
        <f t="shared" si="21"/>
        <v>483.84699999999998</v>
      </c>
      <c r="AD52" s="88">
        <f t="shared" si="21"/>
        <v>872.39700000000005</v>
      </c>
      <c r="AE52" s="88">
        <f t="shared" si="21"/>
        <v>381.59699999999998</v>
      </c>
      <c r="AF52" s="88">
        <f t="shared" si="21"/>
        <v>306.75</v>
      </c>
      <c r="AG52" s="88">
        <f t="shared" si="21"/>
        <v>850.72</v>
      </c>
      <c r="AH52" s="88">
        <f t="shared" si="21"/>
        <v>411.863</v>
      </c>
      <c r="AI52" s="88">
        <f t="shared" si="21"/>
        <v>365.64600000000002</v>
      </c>
      <c r="AJ52" s="88">
        <f t="shared" si="21"/>
        <v>490.79999999999995</v>
      </c>
      <c r="AK52" s="88">
        <f t="shared" si="21"/>
        <v>886.30299999999988</v>
      </c>
      <c r="AL52" s="88">
        <f t="shared" si="21"/>
        <v>482.62</v>
      </c>
      <c r="AM52" s="88">
        <f t="shared" si="21"/>
        <v>488.346</v>
      </c>
      <c r="AN52" s="88">
        <f t="shared" si="21"/>
        <v>229.04</v>
      </c>
      <c r="AO52" s="88">
        <f t="shared" si="21"/>
        <v>393.86699999999996</v>
      </c>
      <c r="AP52" s="88">
        <f t="shared" si="21"/>
        <v>403.68299999999999</v>
      </c>
      <c r="AQ52" s="88">
        <f t="shared" si="21"/>
        <v>420.04300000000001</v>
      </c>
      <c r="AR52" s="88">
        <f t="shared" si="21"/>
        <v>272.803</v>
      </c>
    </row>
    <row r="53" spans="1:44" s="98" customFormat="1" ht="26" hidden="1" outlineLevel="3" x14ac:dyDescent="0.35">
      <c r="A53" s="89" t="s">
        <v>51</v>
      </c>
      <c r="B53" s="90" t="s">
        <v>20</v>
      </c>
      <c r="C53" s="93">
        <f>4/90</f>
        <v>4.4444444444444446E-2</v>
      </c>
      <c r="D53" s="92"/>
      <c r="E53" s="92"/>
      <c r="F53" s="92"/>
      <c r="G53" s="92"/>
      <c r="H53" s="92"/>
      <c r="I53" s="92"/>
      <c r="J53" s="92">
        <v>4</v>
      </c>
      <c r="K53" s="92"/>
      <c r="L53" s="92"/>
      <c r="M53" s="92"/>
      <c r="N53" s="92"/>
      <c r="O53" s="92"/>
      <c r="P53" s="92"/>
      <c r="Q53" s="92"/>
      <c r="R53" s="92"/>
      <c r="S53" s="92"/>
      <c r="T53" s="93">
        <v>5</v>
      </c>
      <c r="U53" s="93">
        <f t="shared" si="18"/>
        <v>234</v>
      </c>
      <c r="V53" s="92">
        <v>210</v>
      </c>
      <c r="W53" s="92">
        <v>240</v>
      </c>
      <c r="X53" s="92">
        <v>252</v>
      </c>
      <c r="Y53" s="92">
        <v>40</v>
      </c>
      <c r="Z53" s="92">
        <f t="shared" si="19"/>
        <v>2.08</v>
      </c>
      <c r="AA53" s="95" t="s">
        <v>285</v>
      </c>
      <c r="AB53" s="97">
        <f t="shared" si="20"/>
        <v>3936.3999999999996</v>
      </c>
      <c r="AC53" s="88">
        <f t="shared" si="21"/>
        <v>246.06399999999999</v>
      </c>
      <c r="AD53" s="88">
        <f t="shared" si="21"/>
        <v>443.66400000000004</v>
      </c>
      <c r="AE53" s="88">
        <f t="shared" si="21"/>
        <v>194.06399999999999</v>
      </c>
      <c r="AF53" s="88">
        <f t="shared" si="21"/>
        <v>156</v>
      </c>
      <c r="AG53" s="88">
        <f t="shared" si="21"/>
        <v>432.64</v>
      </c>
      <c r="AH53" s="88">
        <f t="shared" si="21"/>
        <v>209.45600000000002</v>
      </c>
      <c r="AI53" s="88">
        <f t="shared" si="21"/>
        <v>185.95200000000003</v>
      </c>
      <c r="AJ53" s="88">
        <f t="shared" si="21"/>
        <v>249.60000000000002</v>
      </c>
      <c r="AK53" s="88">
        <f t="shared" si="21"/>
        <v>450.73599999999999</v>
      </c>
      <c r="AL53" s="88">
        <f t="shared" si="21"/>
        <v>245.44</v>
      </c>
      <c r="AM53" s="88">
        <f t="shared" si="21"/>
        <v>248.35200000000003</v>
      </c>
      <c r="AN53" s="88">
        <f t="shared" si="21"/>
        <v>116.48</v>
      </c>
      <c r="AO53" s="88">
        <f t="shared" si="21"/>
        <v>200.304</v>
      </c>
      <c r="AP53" s="88">
        <f t="shared" si="21"/>
        <v>205.29600000000002</v>
      </c>
      <c r="AQ53" s="88">
        <f t="shared" si="21"/>
        <v>213.61600000000001</v>
      </c>
      <c r="AR53" s="88">
        <f t="shared" si="21"/>
        <v>138.73600000000002</v>
      </c>
    </row>
    <row r="54" spans="1:44" s="98" customFormat="1" ht="13" hidden="1" outlineLevel="3" x14ac:dyDescent="0.35">
      <c r="A54" s="89" t="s">
        <v>62</v>
      </c>
      <c r="B54" s="90" t="s">
        <v>20</v>
      </c>
      <c r="C54" s="93">
        <f>1/114</f>
        <v>8.771929824561403E-3</v>
      </c>
      <c r="D54" s="92"/>
      <c r="E54" s="92"/>
      <c r="F54" s="92"/>
      <c r="G54" s="92"/>
      <c r="H54" s="92"/>
      <c r="I54" s="92">
        <v>1</v>
      </c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>
        <v>5</v>
      </c>
      <c r="U54" s="93">
        <f t="shared" si="18"/>
        <v>252</v>
      </c>
      <c r="V54" s="92">
        <v>252</v>
      </c>
      <c r="W54" s="92"/>
      <c r="X54" s="92"/>
      <c r="Y54" s="92">
        <v>41</v>
      </c>
      <c r="Z54" s="92">
        <f t="shared" si="19"/>
        <v>0.44210526315789467</v>
      </c>
      <c r="AA54" s="95" t="s">
        <v>287</v>
      </c>
      <c r="AB54" s="97">
        <f t="shared" si="20"/>
        <v>836.68421052631572</v>
      </c>
      <c r="AC54" s="88">
        <f t="shared" si="21"/>
        <v>52.301052631578941</v>
      </c>
      <c r="AD54" s="88">
        <f t="shared" si="21"/>
        <v>94.301052631578941</v>
      </c>
      <c r="AE54" s="88">
        <f t="shared" si="21"/>
        <v>41.248421052631571</v>
      </c>
      <c r="AF54" s="88">
        <f t="shared" si="21"/>
        <v>33.157894736842103</v>
      </c>
      <c r="AG54" s="88">
        <f t="shared" si="21"/>
        <v>91.957894736842093</v>
      </c>
      <c r="AH54" s="88">
        <f t="shared" si="21"/>
        <v>44.519999999999996</v>
      </c>
      <c r="AI54" s="88">
        <f t="shared" si="21"/>
        <v>39.524210526315784</v>
      </c>
      <c r="AJ54" s="88">
        <f t="shared" si="21"/>
        <v>53.052631578947363</v>
      </c>
      <c r="AK54" s="88">
        <f t="shared" si="21"/>
        <v>95.804210526315771</v>
      </c>
      <c r="AL54" s="88">
        <f t="shared" si="21"/>
        <v>52.168421052631572</v>
      </c>
      <c r="AM54" s="88">
        <f t="shared" si="21"/>
        <v>52.787368421052626</v>
      </c>
      <c r="AN54" s="88">
        <f t="shared" si="21"/>
        <v>24.757894736842101</v>
      </c>
      <c r="AO54" s="88">
        <f t="shared" si="21"/>
        <v>42.574736842105253</v>
      </c>
      <c r="AP54" s="88">
        <f t="shared" si="21"/>
        <v>43.635789473684206</v>
      </c>
      <c r="AQ54" s="88">
        <f t="shared" si="21"/>
        <v>45.404210526315786</v>
      </c>
      <c r="AR54" s="88">
        <f t="shared" ref="AE54:AR68" si="22">$Z54*AR$2</f>
        <v>29.488421052631576</v>
      </c>
    </row>
    <row r="55" spans="1:44" s="106" customFormat="1" ht="14" hidden="1" outlineLevel="3" x14ac:dyDescent="0.35">
      <c r="A55" s="89" t="s">
        <v>252</v>
      </c>
      <c r="B55" s="90" t="s">
        <v>20</v>
      </c>
      <c r="C55" s="93">
        <f>2/117</f>
        <v>1.7094017094017096E-2</v>
      </c>
      <c r="D55" s="92"/>
      <c r="E55" s="92"/>
      <c r="F55" s="92"/>
      <c r="G55" s="92"/>
      <c r="H55" s="92"/>
      <c r="I55" s="92"/>
      <c r="J55" s="92"/>
      <c r="K55" s="92"/>
      <c r="L55" s="92"/>
      <c r="M55" s="92">
        <v>2</v>
      </c>
      <c r="N55" s="92"/>
      <c r="O55" s="92"/>
      <c r="P55" s="92"/>
      <c r="Q55" s="92"/>
      <c r="R55" s="92"/>
      <c r="S55" s="92"/>
      <c r="T55" s="93">
        <v>5</v>
      </c>
      <c r="U55" s="93">
        <f t="shared" si="18"/>
        <v>704</v>
      </c>
      <c r="V55" s="107">
        <v>960</v>
      </c>
      <c r="W55" s="107">
        <v>560</v>
      </c>
      <c r="X55" s="107">
        <v>592</v>
      </c>
      <c r="Y55" s="92">
        <v>42</v>
      </c>
      <c r="Z55" s="92">
        <f t="shared" si="19"/>
        <v>2.4068376068376072</v>
      </c>
      <c r="AA55" s="95" t="s">
        <v>288</v>
      </c>
      <c r="AB55" s="97">
        <f t="shared" si="20"/>
        <v>4554.9401709401718</v>
      </c>
      <c r="AC55" s="88">
        <f t="shared" ref="AC55:AD68" si="23">$Z55*AC$2</f>
        <v>284.72888888888895</v>
      </c>
      <c r="AD55" s="88">
        <f t="shared" si="23"/>
        <v>513.37846153846169</v>
      </c>
      <c r="AE55" s="88">
        <f t="shared" si="22"/>
        <v>224.55794871794873</v>
      </c>
      <c r="AF55" s="88">
        <f t="shared" si="22"/>
        <v>180.51282051282053</v>
      </c>
      <c r="AG55" s="88">
        <f t="shared" si="22"/>
        <v>500.62222222222226</v>
      </c>
      <c r="AH55" s="88">
        <f t="shared" si="22"/>
        <v>242.36854700854704</v>
      </c>
      <c r="AI55" s="88">
        <f t="shared" si="22"/>
        <v>215.17128205128211</v>
      </c>
      <c r="AJ55" s="88">
        <f t="shared" si="22"/>
        <v>288.82051282051287</v>
      </c>
      <c r="AK55" s="88">
        <f t="shared" si="22"/>
        <v>521.56170940170944</v>
      </c>
      <c r="AL55" s="88">
        <f t="shared" si="22"/>
        <v>284.00683760683762</v>
      </c>
      <c r="AM55" s="88">
        <f t="shared" si="22"/>
        <v>287.37641025641028</v>
      </c>
      <c r="AN55" s="88">
        <f t="shared" si="22"/>
        <v>134.78290598290602</v>
      </c>
      <c r="AO55" s="88">
        <f t="shared" si="22"/>
        <v>231.77846153846156</v>
      </c>
      <c r="AP55" s="88">
        <f t="shared" si="22"/>
        <v>237.55487179487184</v>
      </c>
      <c r="AQ55" s="88">
        <f t="shared" si="22"/>
        <v>247.18222222222226</v>
      </c>
      <c r="AR55" s="88">
        <f t="shared" si="22"/>
        <v>160.53606837606841</v>
      </c>
    </row>
    <row r="56" spans="1:44" s="98" customFormat="1" ht="13" hidden="1" outlineLevel="3" x14ac:dyDescent="0.35">
      <c r="A56" s="89" t="s">
        <v>286</v>
      </c>
      <c r="B56" s="90" t="s">
        <v>20</v>
      </c>
      <c r="C56" s="93">
        <f>8/117</f>
        <v>6.8376068376068383E-2</v>
      </c>
      <c r="D56" s="92"/>
      <c r="E56" s="92"/>
      <c r="F56" s="92"/>
      <c r="G56" s="92"/>
      <c r="H56" s="92"/>
      <c r="I56" s="92"/>
      <c r="J56" s="92"/>
      <c r="K56" s="92"/>
      <c r="L56" s="92"/>
      <c r="M56" s="92">
        <v>8</v>
      </c>
      <c r="N56" s="92"/>
      <c r="O56" s="92"/>
      <c r="P56" s="92"/>
      <c r="Q56" s="92"/>
      <c r="R56" s="92"/>
      <c r="S56" s="92"/>
      <c r="T56" s="93">
        <v>5</v>
      </c>
      <c r="U56" s="93">
        <f t="shared" si="18"/>
        <v>510</v>
      </c>
      <c r="V56" s="107">
        <v>680</v>
      </c>
      <c r="W56" s="107">
        <v>490</v>
      </c>
      <c r="X56" s="107">
        <v>360</v>
      </c>
      <c r="Y56" s="92">
        <v>43</v>
      </c>
      <c r="Z56" s="92">
        <f t="shared" si="19"/>
        <v>6.9743589743589753</v>
      </c>
      <c r="AA56" s="95" t="s">
        <v>280</v>
      </c>
      <c r="AB56" s="97">
        <f t="shared" si="20"/>
        <v>13198.974358974361</v>
      </c>
      <c r="AC56" s="88">
        <f t="shared" si="23"/>
        <v>825.06666666666672</v>
      </c>
      <c r="AD56" s="88">
        <f t="shared" si="23"/>
        <v>1487.6307692307696</v>
      </c>
      <c r="AE56" s="88">
        <f t="shared" si="22"/>
        <v>650.70769230769235</v>
      </c>
      <c r="AF56" s="88">
        <f t="shared" si="22"/>
        <v>523.07692307692309</v>
      </c>
      <c r="AG56" s="88">
        <f t="shared" si="22"/>
        <v>1450.666666666667</v>
      </c>
      <c r="AH56" s="88">
        <f t="shared" si="22"/>
        <v>702.31794871794887</v>
      </c>
      <c r="AI56" s="88">
        <f t="shared" si="22"/>
        <v>623.50769230769242</v>
      </c>
      <c r="AJ56" s="88">
        <f t="shared" si="22"/>
        <v>836.92307692307702</v>
      </c>
      <c r="AK56" s="88">
        <f t="shared" si="22"/>
        <v>1511.34358974359</v>
      </c>
      <c r="AL56" s="88">
        <f t="shared" si="22"/>
        <v>822.97435897435912</v>
      </c>
      <c r="AM56" s="88">
        <f t="shared" si="22"/>
        <v>832.73846153846171</v>
      </c>
      <c r="AN56" s="88">
        <f t="shared" si="22"/>
        <v>390.5641025641026</v>
      </c>
      <c r="AO56" s="88">
        <f t="shared" si="22"/>
        <v>671.63076923076926</v>
      </c>
      <c r="AP56" s="88">
        <f t="shared" si="22"/>
        <v>688.36923076923085</v>
      </c>
      <c r="AQ56" s="88">
        <f t="shared" si="22"/>
        <v>716.26666666666677</v>
      </c>
      <c r="AR56" s="88">
        <f t="shared" si="22"/>
        <v>465.18974358974367</v>
      </c>
    </row>
    <row r="57" spans="1:44" s="98" customFormat="1" ht="13" hidden="1" outlineLevel="3" x14ac:dyDescent="0.35">
      <c r="A57" s="89" t="s">
        <v>61</v>
      </c>
      <c r="B57" s="90" t="s">
        <v>20</v>
      </c>
      <c r="C57" s="93">
        <f>50/117</f>
        <v>0.42735042735042733</v>
      </c>
      <c r="D57" s="92"/>
      <c r="E57" s="92"/>
      <c r="F57" s="92"/>
      <c r="G57" s="92"/>
      <c r="H57" s="92"/>
      <c r="I57" s="92"/>
      <c r="J57" s="92"/>
      <c r="K57" s="92"/>
      <c r="L57" s="92"/>
      <c r="M57" s="92">
        <v>50</v>
      </c>
      <c r="N57" s="92"/>
      <c r="O57" s="92"/>
      <c r="P57" s="92"/>
      <c r="Q57" s="92"/>
      <c r="R57" s="92"/>
      <c r="S57" s="92"/>
      <c r="T57" s="93">
        <v>5</v>
      </c>
      <c r="U57" s="93">
        <f t="shared" si="18"/>
        <v>79</v>
      </c>
      <c r="V57" s="107">
        <v>77</v>
      </c>
      <c r="W57" s="107">
        <v>85</v>
      </c>
      <c r="X57" s="107">
        <v>75</v>
      </c>
      <c r="Y57" s="92">
        <v>44</v>
      </c>
      <c r="Z57" s="92">
        <f t="shared" si="19"/>
        <v>6.7521367521367521</v>
      </c>
      <c r="AA57" s="95" t="s">
        <v>289</v>
      </c>
      <c r="AB57" s="97">
        <f t="shared" si="20"/>
        <v>12778.418803418803</v>
      </c>
      <c r="AC57" s="88">
        <f t="shared" si="23"/>
        <v>798.77777777777771</v>
      </c>
      <c r="AD57" s="88">
        <f t="shared" si="23"/>
        <v>1440.2307692307693</v>
      </c>
      <c r="AE57" s="88">
        <f t="shared" si="22"/>
        <v>629.97435897435901</v>
      </c>
      <c r="AF57" s="88">
        <f t="shared" si="22"/>
        <v>506.41025641025641</v>
      </c>
      <c r="AG57" s="88">
        <f t="shared" si="22"/>
        <v>1404.4444444444443</v>
      </c>
      <c r="AH57" s="88">
        <f t="shared" si="22"/>
        <v>679.94017094017101</v>
      </c>
      <c r="AI57" s="88">
        <f t="shared" si="22"/>
        <v>603.64102564102564</v>
      </c>
      <c r="AJ57" s="88">
        <f t="shared" si="22"/>
        <v>810.25641025641028</v>
      </c>
      <c r="AK57" s="88">
        <f t="shared" si="22"/>
        <v>1463.1880341880342</v>
      </c>
      <c r="AL57" s="88">
        <f t="shared" si="22"/>
        <v>796.75213675213672</v>
      </c>
      <c r="AM57" s="88">
        <f t="shared" si="22"/>
        <v>806.20512820512829</v>
      </c>
      <c r="AN57" s="88">
        <f t="shared" si="22"/>
        <v>378.11965811965814</v>
      </c>
      <c r="AO57" s="88">
        <f t="shared" si="22"/>
        <v>650.23076923076917</v>
      </c>
      <c r="AP57" s="88">
        <f t="shared" si="22"/>
        <v>666.43589743589746</v>
      </c>
      <c r="AQ57" s="88">
        <f t="shared" si="22"/>
        <v>693.44444444444446</v>
      </c>
      <c r="AR57" s="88">
        <f t="shared" si="22"/>
        <v>450.36752136752136</v>
      </c>
    </row>
    <row r="58" spans="1:44" s="98" customFormat="1" ht="26" hidden="1" outlineLevel="3" x14ac:dyDescent="0.35">
      <c r="A58" s="89" t="s">
        <v>58</v>
      </c>
      <c r="B58" s="90" t="s">
        <v>20</v>
      </c>
      <c r="C58" s="93">
        <f>6/117</f>
        <v>5.128205128205128E-2</v>
      </c>
      <c r="D58" s="92"/>
      <c r="E58" s="92"/>
      <c r="F58" s="92"/>
      <c r="G58" s="92"/>
      <c r="H58" s="92"/>
      <c r="I58" s="92"/>
      <c r="J58" s="92"/>
      <c r="K58" s="92"/>
      <c r="L58" s="92"/>
      <c r="M58" s="92">
        <v>6</v>
      </c>
      <c r="N58" s="92"/>
      <c r="O58" s="92"/>
      <c r="P58" s="92"/>
      <c r="Q58" s="92"/>
      <c r="R58" s="92"/>
      <c r="S58" s="92"/>
      <c r="T58" s="93">
        <v>5</v>
      </c>
      <c r="U58" s="93">
        <f t="shared" si="18"/>
        <v>966.05666666666673</v>
      </c>
      <c r="V58" s="107">
        <v>786.17</v>
      </c>
      <c r="W58" s="107">
        <v>1422</v>
      </c>
      <c r="X58" s="107">
        <v>690</v>
      </c>
      <c r="Y58" s="92">
        <v>45</v>
      </c>
      <c r="Z58" s="92">
        <f t="shared" si="19"/>
        <v>9.9082735042735042</v>
      </c>
      <c r="AA58" s="95" t="s">
        <v>281</v>
      </c>
      <c r="AB58" s="97">
        <f t="shared" si="20"/>
        <v>18751.407606837602</v>
      </c>
      <c r="AC58" s="88">
        <f t="shared" si="23"/>
        <v>1172.1487555555555</v>
      </c>
      <c r="AD58" s="88">
        <f t="shared" si="23"/>
        <v>2113.4347384615385</v>
      </c>
      <c r="AE58" s="88">
        <f t="shared" si="22"/>
        <v>924.4419179487179</v>
      </c>
      <c r="AF58" s="88">
        <f t="shared" si="22"/>
        <v>743.12051282051277</v>
      </c>
      <c r="AG58" s="88">
        <f t="shared" si="22"/>
        <v>2060.9208888888888</v>
      </c>
      <c r="AH58" s="88">
        <f t="shared" si="22"/>
        <v>997.76314188034189</v>
      </c>
      <c r="AI58" s="88">
        <f t="shared" si="22"/>
        <v>885.79965128205129</v>
      </c>
      <c r="AJ58" s="88">
        <f t="shared" si="22"/>
        <v>1188.9928205128206</v>
      </c>
      <c r="AK58" s="88">
        <f t="shared" si="22"/>
        <v>2147.1228683760683</v>
      </c>
      <c r="AL58" s="88">
        <f t="shared" si="22"/>
        <v>1169.1762735042735</v>
      </c>
      <c r="AM58" s="88">
        <f t="shared" si="22"/>
        <v>1183.0478564102564</v>
      </c>
      <c r="AN58" s="88">
        <f t="shared" si="22"/>
        <v>554.86331623931619</v>
      </c>
      <c r="AO58" s="88">
        <f t="shared" si="22"/>
        <v>954.16673846153844</v>
      </c>
      <c r="AP58" s="88">
        <f t="shared" si="22"/>
        <v>977.9465948717949</v>
      </c>
      <c r="AQ58" s="88">
        <f t="shared" si="22"/>
        <v>1017.5796888888889</v>
      </c>
      <c r="AR58" s="88">
        <f t="shared" si="22"/>
        <v>660.88184273504271</v>
      </c>
    </row>
    <row r="59" spans="1:44" s="98" customFormat="1" ht="13" hidden="1" outlineLevel="3" x14ac:dyDescent="0.35">
      <c r="A59" s="89" t="s">
        <v>76</v>
      </c>
      <c r="B59" s="90" t="s">
        <v>20</v>
      </c>
      <c r="C59" s="93">
        <f>100/117</f>
        <v>0.85470085470085466</v>
      </c>
      <c r="D59" s="92"/>
      <c r="E59" s="92"/>
      <c r="F59" s="92"/>
      <c r="G59" s="92"/>
      <c r="H59" s="92"/>
      <c r="I59" s="92"/>
      <c r="J59" s="92"/>
      <c r="K59" s="92"/>
      <c r="L59" s="92"/>
      <c r="M59" s="92">
        <v>100</v>
      </c>
      <c r="N59" s="92"/>
      <c r="O59" s="92"/>
      <c r="P59" s="92"/>
      <c r="Q59" s="92"/>
      <c r="R59" s="92"/>
      <c r="S59" s="92"/>
      <c r="T59" s="93">
        <v>5</v>
      </c>
      <c r="U59" s="93">
        <f t="shared" si="18"/>
        <v>40.266666666666666</v>
      </c>
      <c r="V59" s="107">
        <v>50</v>
      </c>
      <c r="W59" s="107">
        <v>40</v>
      </c>
      <c r="X59" s="107">
        <v>30.8</v>
      </c>
      <c r="Y59" s="92">
        <v>46</v>
      </c>
      <c r="Z59" s="92">
        <f t="shared" si="19"/>
        <v>6.883190883190883</v>
      </c>
      <c r="AA59" s="95" t="s">
        <v>290</v>
      </c>
      <c r="AB59" s="97">
        <f t="shared" si="20"/>
        <v>13026.438746438749</v>
      </c>
      <c r="AC59" s="88">
        <f t="shared" si="23"/>
        <v>814.28148148148148</v>
      </c>
      <c r="AD59" s="88">
        <f t="shared" si="23"/>
        <v>1468.1846153846154</v>
      </c>
      <c r="AE59" s="88">
        <f t="shared" si="22"/>
        <v>642.20170940170942</v>
      </c>
      <c r="AF59" s="88">
        <f t="shared" si="22"/>
        <v>516.23931623931628</v>
      </c>
      <c r="AG59" s="88">
        <f t="shared" si="22"/>
        <v>1431.7037037037037</v>
      </c>
      <c r="AH59" s="88">
        <f t="shared" si="22"/>
        <v>693.13732193732199</v>
      </c>
      <c r="AI59" s="88">
        <f t="shared" si="22"/>
        <v>615.35726495726499</v>
      </c>
      <c r="AJ59" s="88">
        <f t="shared" si="22"/>
        <v>825.982905982906</v>
      </c>
      <c r="AK59" s="88">
        <f t="shared" si="22"/>
        <v>1491.5874643874643</v>
      </c>
      <c r="AL59" s="88">
        <f t="shared" si="22"/>
        <v>812.21652421652425</v>
      </c>
      <c r="AM59" s="88">
        <f t="shared" si="22"/>
        <v>821.85299145299143</v>
      </c>
      <c r="AN59" s="88">
        <f t="shared" si="22"/>
        <v>385.45868945868943</v>
      </c>
      <c r="AO59" s="88">
        <f t="shared" si="22"/>
        <v>662.85128205128206</v>
      </c>
      <c r="AP59" s="88">
        <f t="shared" si="22"/>
        <v>679.37094017094012</v>
      </c>
      <c r="AQ59" s="88">
        <f t="shared" si="22"/>
        <v>706.90370370370374</v>
      </c>
      <c r="AR59" s="88">
        <f t="shared" si="22"/>
        <v>459.10883190883192</v>
      </c>
    </row>
    <row r="60" spans="1:44" s="98" customFormat="1" ht="13" hidden="1" outlineLevel="3" x14ac:dyDescent="0.35">
      <c r="A60" s="89" t="s">
        <v>75</v>
      </c>
      <c r="B60" s="90" t="s">
        <v>20</v>
      </c>
      <c r="C60" s="93">
        <f>100/117</f>
        <v>0.85470085470085466</v>
      </c>
      <c r="D60" s="92"/>
      <c r="E60" s="92">
        <v>200</v>
      </c>
      <c r="F60" s="92"/>
      <c r="G60" s="92"/>
      <c r="H60" s="92"/>
      <c r="I60" s="92"/>
      <c r="J60" s="92"/>
      <c r="K60" s="92"/>
      <c r="L60" s="92"/>
      <c r="M60" s="92">
        <v>100</v>
      </c>
      <c r="N60" s="92"/>
      <c r="O60" s="92"/>
      <c r="P60" s="92"/>
      <c r="Q60" s="92"/>
      <c r="R60" s="92"/>
      <c r="S60" s="92"/>
      <c r="T60" s="93">
        <v>5</v>
      </c>
      <c r="U60" s="93">
        <f t="shared" si="18"/>
        <v>58</v>
      </c>
      <c r="V60" s="92">
        <v>58</v>
      </c>
      <c r="W60" s="92">
        <v>58</v>
      </c>
      <c r="X60" s="92">
        <v>58</v>
      </c>
      <c r="Y60" s="92">
        <v>47</v>
      </c>
      <c r="Z60" s="92">
        <f t="shared" si="19"/>
        <v>9.9145299145299148</v>
      </c>
      <c r="AA60" s="95" t="s">
        <v>290</v>
      </c>
      <c r="AB60" s="97">
        <f t="shared" si="20"/>
        <v>18763.247863247863</v>
      </c>
      <c r="AC60" s="88">
        <f t="shared" si="23"/>
        <v>1172.8888888888889</v>
      </c>
      <c r="AD60" s="88">
        <f t="shared" si="23"/>
        <v>2114.7692307692309</v>
      </c>
      <c r="AE60" s="88">
        <f t="shared" si="22"/>
        <v>925.02564102564099</v>
      </c>
      <c r="AF60" s="88">
        <f t="shared" si="22"/>
        <v>743.58974358974365</v>
      </c>
      <c r="AG60" s="88">
        <f t="shared" si="22"/>
        <v>2062.2222222222222</v>
      </c>
      <c r="AH60" s="88">
        <f t="shared" si="22"/>
        <v>998.39316239316247</v>
      </c>
      <c r="AI60" s="88">
        <f t="shared" si="22"/>
        <v>886.35897435897448</v>
      </c>
      <c r="AJ60" s="88">
        <f t="shared" si="22"/>
        <v>1189.7435897435898</v>
      </c>
      <c r="AK60" s="88">
        <f t="shared" si="22"/>
        <v>2148.4786324786323</v>
      </c>
      <c r="AL60" s="88">
        <f t="shared" si="22"/>
        <v>1169.91452991453</v>
      </c>
      <c r="AM60" s="88">
        <f t="shared" si="22"/>
        <v>1183.7948717948718</v>
      </c>
      <c r="AN60" s="88">
        <f t="shared" si="22"/>
        <v>555.21367521367529</v>
      </c>
      <c r="AO60" s="88">
        <f t="shared" si="22"/>
        <v>954.76923076923072</v>
      </c>
      <c r="AP60" s="88">
        <f t="shared" si="22"/>
        <v>978.56410256410265</v>
      </c>
      <c r="AQ60" s="88">
        <f t="shared" si="22"/>
        <v>1018.2222222222223</v>
      </c>
      <c r="AR60" s="88">
        <f t="shared" si="22"/>
        <v>661.29914529914538</v>
      </c>
    </row>
    <row r="61" spans="1:44" s="98" customFormat="1" ht="13" hidden="1" outlineLevel="3" x14ac:dyDescent="0.35">
      <c r="A61" s="89" t="s">
        <v>278</v>
      </c>
      <c r="B61" s="90" t="s">
        <v>20</v>
      </c>
      <c r="C61" s="93">
        <f>50/117</f>
        <v>0.42735042735042733</v>
      </c>
      <c r="D61" s="92"/>
      <c r="E61" s="92"/>
      <c r="F61" s="92"/>
      <c r="G61" s="92"/>
      <c r="H61" s="92"/>
      <c r="I61" s="92"/>
      <c r="J61" s="92"/>
      <c r="K61" s="92"/>
      <c r="L61" s="92"/>
      <c r="M61" s="92">
        <v>50</v>
      </c>
      <c r="N61" s="92"/>
      <c r="O61" s="92"/>
      <c r="P61" s="92"/>
      <c r="Q61" s="92"/>
      <c r="R61" s="92"/>
      <c r="S61" s="92"/>
      <c r="T61" s="93">
        <v>5</v>
      </c>
      <c r="U61" s="93">
        <f t="shared" si="18"/>
        <v>69.33</v>
      </c>
      <c r="V61" s="107">
        <v>41</v>
      </c>
      <c r="W61" s="107">
        <v>116.99</v>
      </c>
      <c r="X61" s="107">
        <v>50</v>
      </c>
      <c r="Y61" s="92">
        <v>48</v>
      </c>
      <c r="Z61" s="92">
        <f t="shared" si="19"/>
        <v>5.9256410256410259</v>
      </c>
      <c r="AA61" s="95" t="s">
        <v>289</v>
      </c>
      <c r="AB61" s="97">
        <f t="shared" si="20"/>
        <v>11214.275641025641</v>
      </c>
      <c r="AC61" s="88">
        <f t="shared" si="23"/>
        <v>701.00333333333333</v>
      </c>
      <c r="AD61" s="88">
        <f t="shared" si="23"/>
        <v>1263.9392307692308</v>
      </c>
      <c r="AE61" s="88">
        <f t="shared" si="22"/>
        <v>552.8623076923077</v>
      </c>
      <c r="AF61" s="88">
        <f t="shared" si="22"/>
        <v>444.42307692307696</v>
      </c>
      <c r="AG61" s="88">
        <f t="shared" si="22"/>
        <v>1232.5333333333333</v>
      </c>
      <c r="AH61" s="88">
        <f t="shared" si="22"/>
        <v>596.71205128205133</v>
      </c>
      <c r="AI61" s="88">
        <f t="shared" si="22"/>
        <v>529.7523076923078</v>
      </c>
      <c r="AJ61" s="88">
        <f t="shared" si="22"/>
        <v>711.07692307692309</v>
      </c>
      <c r="AK61" s="88">
        <f t="shared" si="22"/>
        <v>1284.0864102564103</v>
      </c>
      <c r="AL61" s="88">
        <f t="shared" si="22"/>
        <v>699.22564102564104</v>
      </c>
      <c r="AM61" s="88">
        <f t="shared" si="22"/>
        <v>707.52153846153851</v>
      </c>
      <c r="AN61" s="88">
        <f t="shared" si="22"/>
        <v>331.83589743589744</v>
      </c>
      <c r="AO61" s="88">
        <f t="shared" si="22"/>
        <v>570.63923076923072</v>
      </c>
      <c r="AP61" s="88">
        <f t="shared" si="22"/>
        <v>584.86076923076928</v>
      </c>
      <c r="AQ61" s="88">
        <f t="shared" si="22"/>
        <v>608.56333333333339</v>
      </c>
      <c r="AR61" s="88">
        <f t="shared" si="22"/>
        <v>395.24025641025645</v>
      </c>
    </row>
    <row r="62" spans="1:44" s="98" customFormat="1" ht="13" hidden="1" outlineLevel="3" x14ac:dyDescent="0.35">
      <c r="A62" s="89" t="s">
        <v>71</v>
      </c>
      <c r="B62" s="90" t="s">
        <v>20</v>
      </c>
      <c r="C62" s="93">
        <f>18/117</f>
        <v>0.15384615384615385</v>
      </c>
      <c r="D62" s="92"/>
      <c r="E62" s="92"/>
      <c r="F62" s="92"/>
      <c r="G62" s="92"/>
      <c r="H62" s="92"/>
      <c r="I62" s="92"/>
      <c r="J62" s="92"/>
      <c r="K62" s="92"/>
      <c r="L62" s="92"/>
      <c r="M62" s="92">
        <v>18</v>
      </c>
      <c r="N62" s="92"/>
      <c r="O62" s="92"/>
      <c r="P62" s="92"/>
      <c r="Q62" s="92"/>
      <c r="R62" s="92"/>
      <c r="S62" s="92"/>
      <c r="T62" s="93">
        <v>5</v>
      </c>
      <c r="U62" s="93">
        <f t="shared" si="18"/>
        <v>243.33333333333334</v>
      </c>
      <c r="V62" s="107">
        <v>280</v>
      </c>
      <c r="W62" s="107">
        <v>290</v>
      </c>
      <c r="X62" s="107">
        <v>160</v>
      </c>
      <c r="Y62" s="92">
        <v>49</v>
      </c>
      <c r="Z62" s="92">
        <f t="shared" si="19"/>
        <v>7.4871794871794881</v>
      </c>
      <c r="AA62" s="95" t="s">
        <v>291</v>
      </c>
      <c r="AB62" s="97">
        <f t="shared" si="20"/>
        <v>14169.487179487181</v>
      </c>
      <c r="AC62" s="88">
        <f t="shared" si="23"/>
        <v>885.73333333333346</v>
      </c>
      <c r="AD62" s="88">
        <f t="shared" si="23"/>
        <v>1597.0153846153848</v>
      </c>
      <c r="AE62" s="88">
        <f t="shared" si="22"/>
        <v>698.55384615384617</v>
      </c>
      <c r="AF62" s="88">
        <f t="shared" si="22"/>
        <v>561.53846153846166</v>
      </c>
      <c r="AG62" s="88">
        <f t="shared" si="22"/>
        <v>1557.3333333333335</v>
      </c>
      <c r="AH62" s="88">
        <f t="shared" si="22"/>
        <v>753.9589743589745</v>
      </c>
      <c r="AI62" s="88">
        <f t="shared" si="22"/>
        <v>669.35384615384623</v>
      </c>
      <c r="AJ62" s="88">
        <f t="shared" si="22"/>
        <v>898.46153846153857</v>
      </c>
      <c r="AK62" s="88">
        <f t="shared" si="22"/>
        <v>1622.4717948717951</v>
      </c>
      <c r="AL62" s="88">
        <f t="shared" si="22"/>
        <v>883.48717948717956</v>
      </c>
      <c r="AM62" s="88">
        <f t="shared" si="22"/>
        <v>893.96923076923088</v>
      </c>
      <c r="AN62" s="88">
        <f t="shared" si="22"/>
        <v>419.28205128205133</v>
      </c>
      <c r="AO62" s="88">
        <f t="shared" si="22"/>
        <v>721.01538461538473</v>
      </c>
      <c r="AP62" s="88">
        <f t="shared" si="22"/>
        <v>738.98461538461549</v>
      </c>
      <c r="AQ62" s="88">
        <f t="shared" si="22"/>
        <v>768.93333333333339</v>
      </c>
      <c r="AR62" s="88">
        <f t="shared" si="22"/>
        <v>499.3948717948719</v>
      </c>
    </row>
    <row r="63" spans="1:44" s="98" customFormat="1" ht="13" hidden="1" outlineLevel="3" x14ac:dyDescent="0.35">
      <c r="A63" s="89" t="s">
        <v>72</v>
      </c>
      <c r="B63" s="90" t="s">
        <v>20</v>
      </c>
      <c r="C63" s="93">
        <f>30/119</f>
        <v>0.25210084033613445</v>
      </c>
      <c r="D63" s="92">
        <v>30</v>
      </c>
      <c r="E63" s="92"/>
      <c r="F63" s="92"/>
      <c r="G63" s="92"/>
      <c r="H63" s="92"/>
      <c r="I63" s="92"/>
      <c r="J63" s="92">
        <v>50</v>
      </c>
      <c r="K63" s="92"/>
      <c r="L63" s="92"/>
      <c r="M63" s="92"/>
      <c r="N63" s="92"/>
      <c r="O63" s="92"/>
      <c r="P63" s="92"/>
      <c r="Q63" s="92"/>
      <c r="R63" s="92"/>
      <c r="S63" s="92"/>
      <c r="T63" s="93">
        <v>5</v>
      </c>
      <c r="U63" s="93">
        <f t="shared" si="18"/>
        <v>49.233333333333327</v>
      </c>
      <c r="V63" s="92">
        <v>69</v>
      </c>
      <c r="W63" s="92">
        <v>42.7</v>
      </c>
      <c r="X63" s="92">
        <v>36</v>
      </c>
      <c r="Y63" s="92">
        <v>50</v>
      </c>
      <c r="Z63" s="92">
        <f t="shared" si="19"/>
        <v>2.4823529411764702</v>
      </c>
      <c r="AA63" s="95" t="s">
        <v>292</v>
      </c>
      <c r="AB63" s="97">
        <f t="shared" si="20"/>
        <v>4697.8529411764694</v>
      </c>
      <c r="AC63" s="88">
        <f t="shared" si="23"/>
        <v>293.66235294117644</v>
      </c>
      <c r="AD63" s="88">
        <f t="shared" si="23"/>
        <v>529.48588235294108</v>
      </c>
      <c r="AE63" s="88">
        <f t="shared" si="22"/>
        <v>231.60352941176467</v>
      </c>
      <c r="AF63" s="88">
        <f t="shared" si="22"/>
        <v>186.17647058823528</v>
      </c>
      <c r="AG63" s="88">
        <f t="shared" si="22"/>
        <v>516.32941176470581</v>
      </c>
      <c r="AH63" s="88">
        <f t="shared" si="22"/>
        <v>249.97294117647056</v>
      </c>
      <c r="AI63" s="88">
        <f t="shared" si="22"/>
        <v>221.92235294117646</v>
      </c>
      <c r="AJ63" s="88">
        <f t="shared" si="22"/>
        <v>297.88235294117641</v>
      </c>
      <c r="AK63" s="88">
        <f t="shared" si="22"/>
        <v>537.92588235294102</v>
      </c>
      <c r="AL63" s="88">
        <f t="shared" si="22"/>
        <v>292.91764705882349</v>
      </c>
      <c r="AM63" s="88">
        <f t="shared" si="22"/>
        <v>296.39294117647057</v>
      </c>
      <c r="AN63" s="88">
        <f t="shared" si="22"/>
        <v>139.01176470588234</v>
      </c>
      <c r="AO63" s="88">
        <f t="shared" si="22"/>
        <v>239.05058823529407</v>
      </c>
      <c r="AP63" s="88">
        <f t="shared" si="22"/>
        <v>245.00823529411761</v>
      </c>
      <c r="AQ63" s="88">
        <f t="shared" si="22"/>
        <v>254.9376470588235</v>
      </c>
      <c r="AR63" s="88">
        <f t="shared" si="22"/>
        <v>165.57294117647058</v>
      </c>
    </row>
    <row r="64" spans="1:44" s="98" customFormat="1" ht="13" hidden="1" outlineLevel="3" x14ac:dyDescent="0.35">
      <c r="A64" s="89" t="s">
        <v>73</v>
      </c>
      <c r="B64" s="90" t="s">
        <v>20</v>
      </c>
      <c r="C64" s="93">
        <f>50/117</f>
        <v>0.42735042735042733</v>
      </c>
      <c r="D64" s="92"/>
      <c r="E64" s="92"/>
      <c r="F64" s="92"/>
      <c r="G64" s="92"/>
      <c r="H64" s="92"/>
      <c r="I64" s="92"/>
      <c r="J64" s="92">
        <v>60</v>
      </c>
      <c r="K64" s="92"/>
      <c r="L64" s="92"/>
      <c r="M64" s="92">
        <v>50</v>
      </c>
      <c r="N64" s="92"/>
      <c r="O64" s="92"/>
      <c r="P64" s="92"/>
      <c r="Q64" s="92"/>
      <c r="R64" s="92"/>
      <c r="S64" s="92"/>
      <c r="T64" s="93">
        <v>5</v>
      </c>
      <c r="U64" s="93">
        <f t="shared" si="18"/>
        <v>38.800000000000004</v>
      </c>
      <c r="V64" s="107">
        <v>45</v>
      </c>
      <c r="W64" s="107">
        <v>50</v>
      </c>
      <c r="X64" s="107">
        <v>21.4</v>
      </c>
      <c r="Y64" s="92">
        <v>51</v>
      </c>
      <c r="Z64" s="92">
        <f t="shared" si="19"/>
        <v>3.3162393162393164</v>
      </c>
      <c r="AA64" s="95" t="s">
        <v>289</v>
      </c>
      <c r="AB64" s="97">
        <f t="shared" si="20"/>
        <v>6275.9829059829053</v>
      </c>
      <c r="AC64" s="88">
        <f t="shared" si="23"/>
        <v>392.31111111111113</v>
      </c>
      <c r="AD64" s="88">
        <f t="shared" si="23"/>
        <v>707.35384615384623</v>
      </c>
      <c r="AE64" s="88">
        <f t="shared" si="22"/>
        <v>309.40512820512822</v>
      </c>
      <c r="AF64" s="88">
        <f t="shared" si="22"/>
        <v>248.71794871794873</v>
      </c>
      <c r="AG64" s="88">
        <f t="shared" si="22"/>
        <v>689.77777777777783</v>
      </c>
      <c r="AH64" s="88">
        <f t="shared" si="22"/>
        <v>333.9452991452992</v>
      </c>
      <c r="AI64" s="88">
        <f t="shared" si="22"/>
        <v>296.47179487179488</v>
      </c>
      <c r="AJ64" s="88">
        <f t="shared" si="22"/>
        <v>397.94871794871796</v>
      </c>
      <c r="AK64" s="88">
        <f t="shared" si="22"/>
        <v>718.62905982905988</v>
      </c>
      <c r="AL64" s="88">
        <f t="shared" si="22"/>
        <v>391.31623931623932</v>
      </c>
      <c r="AM64" s="88">
        <f t="shared" si="22"/>
        <v>395.95897435897439</v>
      </c>
      <c r="AN64" s="88">
        <f t="shared" si="22"/>
        <v>185.70940170940173</v>
      </c>
      <c r="AO64" s="88">
        <f t="shared" si="22"/>
        <v>319.35384615384618</v>
      </c>
      <c r="AP64" s="88">
        <f t="shared" si="22"/>
        <v>327.31282051282056</v>
      </c>
      <c r="AQ64" s="88">
        <f t="shared" si="22"/>
        <v>340.57777777777778</v>
      </c>
      <c r="AR64" s="88">
        <f t="shared" si="22"/>
        <v>221.19316239316242</v>
      </c>
    </row>
    <row r="65" spans="1:44" s="98" customFormat="1" ht="13" hidden="1" outlineLevel="3" x14ac:dyDescent="0.35">
      <c r="A65" s="89" t="s">
        <v>74</v>
      </c>
      <c r="B65" s="90" t="s">
        <v>20</v>
      </c>
      <c r="C65" s="93">
        <f>50/117</f>
        <v>0.42735042735042733</v>
      </c>
      <c r="D65" s="92">
        <v>30</v>
      </c>
      <c r="E65" s="92"/>
      <c r="F65" s="92"/>
      <c r="G65" s="92"/>
      <c r="H65" s="92"/>
      <c r="I65" s="92"/>
      <c r="J65" s="92">
        <v>60</v>
      </c>
      <c r="K65" s="92"/>
      <c r="L65" s="92"/>
      <c r="M65" s="92">
        <v>50</v>
      </c>
      <c r="N65" s="92"/>
      <c r="O65" s="92"/>
      <c r="P65" s="92"/>
      <c r="Q65" s="92"/>
      <c r="R65" s="92"/>
      <c r="S65" s="92"/>
      <c r="T65" s="93">
        <v>5</v>
      </c>
      <c r="U65" s="93">
        <f t="shared" si="18"/>
        <v>50.199999999999996</v>
      </c>
      <c r="V65" s="107">
        <v>59</v>
      </c>
      <c r="W65" s="107">
        <v>60</v>
      </c>
      <c r="X65" s="107">
        <v>31.6</v>
      </c>
      <c r="Y65" s="92">
        <v>52</v>
      </c>
      <c r="Z65" s="92">
        <f t="shared" si="19"/>
        <v>4.2905982905982905</v>
      </c>
      <c r="AA65" s="95" t="s">
        <v>289</v>
      </c>
      <c r="AB65" s="97">
        <f t="shared" si="20"/>
        <v>8119.9572649572647</v>
      </c>
      <c r="AC65" s="88">
        <f t="shared" si="23"/>
        <v>507.57777777777773</v>
      </c>
      <c r="AD65" s="88">
        <f t="shared" si="23"/>
        <v>915.18461538461543</v>
      </c>
      <c r="AE65" s="88">
        <f t="shared" si="22"/>
        <v>400.31282051282051</v>
      </c>
      <c r="AF65" s="88">
        <f t="shared" si="22"/>
        <v>321.79487179487177</v>
      </c>
      <c r="AG65" s="88">
        <f t="shared" si="22"/>
        <v>892.44444444444446</v>
      </c>
      <c r="AH65" s="88">
        <f t="shared" si="22"/>
        <v>432.06324786324785</v>
      </c>
      <c r="AI65" s="88">
        <f t="shared" si="22"/>
        <v>383.57948717948722</v>
      </c>
      <c r="AJ65" s="88">
        <f t="shared" si="22"/>
        <v>514.8717948717948</v>
      </c>
      <c r="AK65" s="88">
        <f t="shared" si="22"/>
        <v>929.77264957264947</v>
      </c>
      <c r="AL65" s="88">
        <f t="shared" si="22"/>
        <v>506.29059829059827</v>
      </c>
      <c r="AM65" s="88">
        <f t="shared" si="22"/>
        <v>512.29743589743589</v>
      </c>
      <c r="AN65" s="88">
        <f t="shared" si="22"/>
        <v>240.27350427350427</v>
      </c>
      <c r="AO65" s="88">
        <f t="shared" si="22"/>
        <v>413.18461538461537</v>
      </c>
      <c r="AP65" s="88">
        <f t="shared" si="22"/>
        <v>423.48205128205126</v>
      </c>
      <c r="AQ65" s="88">
        <f t="shared" si="22"/>
        <v>440.64444444444445</v>
      </c>
      <c r="AR65" s="88">
        <f t="shared" si="22"/>
        <v>286.18290598290599</v>
      </c>
    </row>
    <row r="66" spans="1:44" s="98" customFormat="1" ht="13" hidden="1" outlineLevel="3" x14ac:dyDescent="0.35">
      <c r="A66" s="89" t="s">
        <v>66</v>
      </c>
      <c r="B66" s="90" t="s">
        <v>20</v>
      </c>
      <c r="C66" s="93">
        <f>20/117</f>
        <v>0.17094017094017094</v>
      </c>
      <c r="D66" s="92">
        <v>1</v>
      </c>
      <c r="E66" s="92"/>
      <c r="F66" s="92"/>
      <c r="G66" s="92"/>
      <c r="H66" s="92"/>
      <c r="I66" s="92"/>
      <c r="J66" s="92">
        <v>50</v>
      </c>
      <c r="K66" s="92"/>
      <c r="L66" s="92"/>
      <c r="M66" s="92">
        <v>20</v>
      </c>
      <c r="N66" s="92"/>
      <c r="O66" s="92">
        <v>1</v>
      </c>
      <c r="P66" s="92"/>
      <c r="Q66" s="92"/>
      <c r="R66" s="92"/>
      <c r="S66" s="92"/>
      <c r="T66" s="93">
        <v>5</v>
      </c>
      <c r="U66" s="93">
        <f t="shared" si="18"/>
        <v>55.423333333333325</v>
      </c>
      <c r="V66" s="92">
        <v>51.08</v>
      </c>
      <c r="W66" s="92">
        <v>56.19</v>
      </c>
      <c r="X66" s="92">
        <v>59</v>
      </c>
      <c r="Y66" s="92">
        <v>53</v>
      </c>
      <c r="Z66" s="92">
        <f t="shared" si="19"/>
        <v>1.8948148148148147</v>
      </c>
      <c r="AA66" s="95" t="s">
        <v>293</v>
      </c>
      <c r="AB66" s="97">
        <f t="shared" si="20"/>
        <v>3585.937037037037</v>
      </c>
      <c r="AC66" s="88">
        <f t="shared" si="23"/>
        <v>224.15659259259257</v>
      </c>
      <c r="AD66" s="88">
        <f t="shared" si="23"/>
        <v>404.16399999999999</v>
      </c>
      <c r="AE66" s="88">
        <f t="shared" si="22"/>
        <v>176.78622222222222</v>
      </c>
      <c r="AF66" s="88">
        <f t="shared" si="22"/>
        <v>142.11111111111111</v>
      </c>
      <c r="AG66" s="88">
        <f t="shared" si="22"/>
        <v>394.12148148148145</v>
      </c>
      <c r="AH66" s="88">
        <f t="shared" si="22"/>
        <v>190.80785185185184</v>
      </c>
      <c r="AI66" s="88">
        <f t="shared" si="22"/>
        <v>169.39644444444446</v>
      </c>
      <c r="AJ66" s="88">
        <f t="shared" si="22"/>
        <v>227.37777777777777</v>
      </c>
      <c r="AK66" s="88">
        <f t="shared" si="22"/>
        <v>410.60637037037031</v>
      </c>
      <c r="AL66" s="88">
        <f t="shared" si="22"/>
        <v>223.58814814814815</v>
      </c>
      <c r="AM66" s="88">
        <f t="shared" si="22"/>
        <v>226.24088888888889</v>
      </c>
      <c r="AN66" s="88">
        <f t="shared" si="22"/>
        <v>106.10962962962962</v>
      </c>
      <c r="AO66" s="88">
        <f t="shared" si="22"/>
        <v>182.47066666666666</v>
      </c>
      <c r="AP66" s="88">
        <f t="shared" si="22"/>
        <v>187.01822222222222</v>
      </c>
      <c r="AQ66" s="88">
        <f t="shared" si="22"/>
        <v>194.59748148148148</v>
      </c>
      <c r="AR66" s="88">
        <f t="shared" si="22"/>
        <v>126.38414814814814</v>
      </c>
    </row>
    <row r="67" spans="1:44" s="98" customFormat="1" ht="13" hidden="1" outlineLevel="3" x14ac:dyDescent="0.35">
      <c r="A67" s="89" t="s">
        <v>59</v>
      </c>
      <c r="B67" s="90" t="s">
        <v>20</v>
      </c>
      <c r="C67" s="93">
        <f>100/117</f>
        <v>0.85470085470085466</v>
      </c>
      <c r="D67" s="92"/>
      <c r="E67" s="92">
        <v>100</v>
      </c>
      <c r="F67" s="92"/>
      <c r="G67" s="92"/>
      <c r="H67" s="92"/>
      <c r="I67" s="92"/>
      <c r="J67" s="92"/>
      <c r="K67" s="92"/>
      <c r="L67" s="92"/>
      <c r="M67" s="92">
        <v>100</v>
      </c>
      <c r="N67" s="92"/>
      <c r="O67" s="92">
        <v>55</v>
      </c>
      <c r="P67" s="92"/>
      <c r="Q67" s="92"/>
      <c r="R67" s="92"/>
      <c r="S67" s="92"/>
      <c r="T67" s="93">
        <v>5</v>
      </c>
      <c r="U67" s="93">
        <f t="shared" si="18"/>
        <v>50</v>
      </c>
      <c r="V67" s="92">
        <v>43</v>
      </c>
      <c r="W67" s="92">
        <v>54</v>
      </c>
      <c r="X67" s="92">
        <v>53</v>
      </c>
      <c r="Y67" s="92">
        <v>54</v>
      </c>
      <c r="Z67" s="92">
        <f t="shared" si="19"/>
        <v>8.5470085470085468</v>
      </c>
      <c r="AA67" s="95" t="s">
        <v>290</v>
      </c>
      <c r="AB67" s="97">
        <f t="shared" si="20"/>
        <v>16175.213675213676</v>
      </c>
      <c r="AC67" s="88">
        <f t="shared" si="23"/>
        <v>1011.1111111111111</v>
      </c>
      <c r="AD67" s="88">
        <f t="shared" si="23"/>
        <v>1823.0769230769231</v>
      </c>
      <c r="AE67" s="88">
        <f t="shared" si="22"/>
        <v>797.43589743589735</v>
      </c>
      <c r="AF67" s="88">
        <f t="shared" si="22"/>
        <v>641.02564102564099</v>
      </c>
      <c r="AG67" s="88">
        <f t="shared" si="22"/>
        <v>1777.7777777777778</v>
      </c>
      <c r="AH67" s="88">
        <f t="shared" si="22"/>
        <v>860.68376068376074</v>
      </c>
      <c r="AI67" s="88">
        <f t="shared" si="22"/>
        <v>764.10256410256409</v>
      </c>
      <c r="AJ67" s="88">
        <f t="shared" si="22"/>
        <v>1025.6410256410256</v>
      </c>
      <c r="AK67" s="88">
        <f t="shared" si="22"/>
        <v>1852.136752136752</v>
      </c>
      <c r="AL67" s="88">
        <f t="shared" si="22"/>
        <v>1008.5470085470085</v>
      </c>
      <c r="AM67" s="88">
        <f t="shared" si="22"/>
        <v>1020.5128205128206</v>
      </c>
      <c r="AN67" s="88">
        <f t="shared" si="22"/>
        <v>478.63247863247864</v>
      </c>
      <c r="AO67" s="88">
        <f t="shared" si="22"/>
        <v>823.07692307692298</v>
      </c>
      <c r="AP67" s="88">
        <f t="shared" si="22"/>
        <v>843.58974358974365</v>
      </c>
      <c r="AQ67" s="88">
        <f t="shared" si="22"/>
        <v>877.77777777777783</v>
      </c>
      <c r="AR67" s="88">
        <f t="shared" si="22"/>
        <v>570.08547008547009</v>
      </c>
    </row>
    <row r="68" spans="1:44" s="98" customFormat="1" ht="13" hidden="1" outlineLevel="3" x14ac:dyDescent="0.35">
      <c r="A68" s="89" t="s">
        <v>60</v>
      </c>
      <c r="B68" s="90" t="s">
        <v>20</v>
      </c>
      <c r="C68" s="93">
        <f>100/117</f>
        <v>0.85470085470085466</v>
      </c>
      <c r="D68" s="92"/>
      <c r="E68" s="92">
        <v>100</v>
      </c>
      <c r="F68" s="92"/>
      <c r="G68" s="92"/>
      <c r="H68" s="92"/>
      <c r="I68" s="92">
        <v>100</v>
      </c>
      <c r="J68" s="92"/>
      <c r="K68" s="92"/>
      <c r="L68" s="92"/>
      <c r="M68" s="92">
        <v>100</v>
      </c>
      <c r="N68" s="92"/>
      <c r="O68" s="92">
        <v>55</v>
      </c>
      <c r="P68" s="92"/>
      <c r="Q68" s="92"/>
      <c r="R68" s="92"/>
      <c r="S68" s="92"/>
      <c r="T68" s="93">
        <v>5</v>
      </c>
      <c r="U68" s="93">
        <f t="shared" si="18"/>
        <v>36.799999999999997</v>
      </c>
      <c r="V68" s="92">
        <v>36.799999999999997</v>
      </c>
      <c r="W68" s="92"/>
      <c r="X68" s="92"/>
      <c r="Y68" s="92">
        <v>55</v>
      </c>
      <c r="Z68" s="92">
        <f t="shared" si="19"/>
        <v>6.2905982905982905</v>
      </c>
      <c r="AA68" s="95" t="s">
        <v>290</v>
      </c>
      <c r="AB68" s="97">
        <f t="shared" si="20"/>
        <v>11904.957264957264</v>
      </c>
      <c r="AC68" s="88">
        <f t="shared" si="23"/>
        <v>744.17777777777769</v>
      </c>
      <c r="AD68" s="88">
        <f t="shared" si="23"/>
        <v>1341.7846153846153</v>
      </c>
      <c r="AE68" s="88">
        <f t="shared" si="22"/>
        <v>586.91282051282053</v>
      </c>
      <c r="AF68" s="88">
        <f t="shared" si="22"/>
        <v>471.79487179487177</v>
      </c>
      <c r="AG68" s="88">
        <f t="shared" si="22"/>
        <v>1308.4444444444443</v>
      </c>
      <c r="AH68" s="88">
        <f t="shared" si="22"/>
        <v>633.46324786324783</v>
      </c>
      <c r="AI68" s="88">
        <f t="shared" si="22"/>
        <v>562.37948717948723</v>
      </c>
      <c r="AJ68" s="88">
        <f t="shared" si="22"/>
        <v>754.8717948717948</v>
      </c>
      <c r="AK68" s="88">
        <f t="shared" si="22"/>
        <v>1363.1726495726496</v>
      </c>
      <c r="AL68" s="88">
        <f t="shared" si="22"/>
        <v>742.29059829059827</v>
      </c>
      <c r="AM68" s="88">
        <f t="shared" si="22"/>
        <v>751.09743589743596</v>
      </c>
      <c r="AN68" s="88">
        <f t="shared" si="22"/>
        <v>352.27350427350427</v>
      </c>
      <c r="AO68" s="88">
        <f t="shared" si="22"/>
        <v>605.78461538461534</v>
      </c>
      <c r="AP68" s="88">
        <f t="shared" si="22"/>
        <v>620.88205128205129</v>
      </c>
      <c r="AQ68" s="88">
        <f t="shared" si="22"/>
        <v>646.04444444444448</v>
      </c>
      <c r="AR68" s="88">
        <f t="shared" si="22"/>
        <v>419.58290598290597</v>
      </c>
    </row>
    <row r="69" spans="1:44" s="103" customFormat="1" ht="39" outlineLevel="2" collapsed="1" x14ac:dyDescent="0.35">
      <c r="A69" s="101" t="s">
        <v>295</v>
      </c>
      <c r="B69" s="102" t="s">
        <v>3</v>
      </c>
      <c r="C69" s="102" t="s">
        <v>3</v>
      </c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102" t="s">
        <v>3</v>
      </c>
      <c r="U69" s="102" t="s">
        <v>3</v>
      </c>
      <c r="V69" s="102" t="s">
        <v>3</v>
      </c>
      <c r="W69" s="102" t="s">
        <v>3</v>
      </c>
      <c r="X69" s="102" t="s">
        <v>3</v>
      </c>
      <c r="Y69" s="102" t="s">
        <v>3</v>
      </c>
      <c r="Z69" s="102" t="s">
        <v>3</v>
      </c>
      <c r="AA69" s="102" t="s">
        <v>3</v>
      </c>
      <c r="AB69" s="92">
        <f>SUM(AB70:AB75)</f>
        <v>430993.64136710251</v>
      </c>
      <c r="AC69" s="92">
        <f t="shared" ref="AC69:AR69" si="24">SUM(AC70:AC75)</f>
        <v>26941.372667755986</v>
      </c>
      <c r="AD69" s="92">
        <f t="shared" si="24"/>
        <v>48576.456382352939</v>
      </c>
      <c r="AE69" s="92">
        <f t="shared" si="24"/>
        <v>21247.929584967322</v>
      </c>
      <c r="AF69" s="92">
        <f t="shared" si="24"/>
        <v>17080.329248366012</v>
      </c>
      <c r="AG69" s="92">
        <f t="shared" si="24"/>
        <v>47369.446448801747</v>
      </c>
      <c r="AH69" s="92">
        <f t="shared" si="24"/>
        <v>22933.188737472767</v>
      </c>
      <c r="AI69" s="92">
        <f t="shared" si="24"/>
        <v>20359.75246405229</v>
      </c>
      <c r="AJ69" s="92">
        <f t="shared" si="24"/>
        <v>27328.526797385621</v>
      </c>
      <c r="AK69" s="92">
        <f t="shared" si="24"/>
        <v>49350.764641612201</v>
      </c>
      <c r="AL69" s="92">
        <f t="shared" si="24"/>
        <v>26873.051350762529</v>
      </c>
      <c r="AM69" s="92">
        <f t="shared" si="24"/>
        <v>27191.884163398696</v>
      </c>
      <c r="AN69" s="92">
        <f t="shared" si="24"/>
        <v>12753.312505446624</v>
      </c>
      <c r="AO69" s="92">
        <f t="shared" si="24"/>
        <v>21931.142754901957</v>
      </c>
      <c r="AP69" s="92">
        <f t="shared" si="24"/>
        <v>22477.713290849671</v>
      </c>
      <c r="AQ69" s="92">
        <f t="shared" si="24"/>
        <v>23388.664184095862</v>
      </c>
      <c r="AR69" s="92">
        <f t="shared" si="24"/>
        <v>15190.106144880176</v>
      </c>
    </row>
    <row r="70" spans="1:44" s="98" customFormat="1" ht="13" hidden="1" outlineLevel="3" x14ac:dyDescent="0.35">
      <c r="A70" s="89" t="s">
        <v>77</v>
      </c>
      <c r="B70" s="90" t="s">
        <v>20</v>
      </c>
      <c r="C70" s="93">
        <f>3/119</f>
        <v>2.5210084033613446E-2</v>
      </c>
      <c r="D70" s="92">
        <v>3</v>
      </c>
      <c r="E70" s="92">
        <v>5</v>
      </c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3">
        <v>5</v>
      </c>
      <c r="U70" s="93">
        <f t="shared" ref="U70:U75" si="25">AVERAGE(V70:X70)</f>
        <v>736</v>
      </c>
      <c r="V70" s="92">
        <v>735</v>
      </c>
      <c r="W70" s="92">
        <v>738</v>
      </c>
      <c r="X70" s="92">
        <v>735</v>
      </c>
      <c r="Y70" s="92">
        <v>56</v>
      </c>
      <c r="Z70" s="92">
        <f t="shared" si="19"/>
        <v>3.7109243697478993</v>
      </c>
      <c r="AA70" s="95" t="s">
        <v>283</v>
      </c>
      <c r="AB70" s="97">
        <f t="shared" ref="AB70:AB75" si="26">SUM(AC70:AR70)</f>
        <v>7022.9243697479005</v>
      </c>
      <c r="AC70" s="88">
        <f t="shared" ref="AC70:AR75" si="27">$Z70*AC$2</f>
        <v>439.00235294117647</v>
      </c>
      <c r="AD70" s="88">
        <f t="shared" si="27"/>
        <v>791.540168067227</v>
      </c>
      <c r="AE70" s="88">
        <f t="shared" si="27"/>
        <v>346.22924369747898</v>
      </c>
      <c r="AF70" s="88">
        <f t="shared" si="27"/>
        <v>278.31932773109247</v>
      </c>
      <c r="AG70" s="88">
        <f t="shared" si="27"/>
        <v>771.87226890756301</v>
      </c>
      <c r="AH70" s="88">
        <f t="shared" si="27"/>
        <v>373.69008403361346</v>
      </c>
      <c r="AI70" s="88">
        <f t="shared" si="27"/>
        <v>331.75663865546221</v>
      </c>
      <c r="AJ70" s="88">
        <f t="shared" si="27"/>
        <v>445.31092436974791</v>
      </c>
      <c r="AK70" s="88">
        <f t="shared" si="27"/>
        <v>804.15731092436977</v>
      </c>
      <c r="AL70" s="88">
        <f t="shared" si="27"/>
        <v>437.88907563025214</v>
      </c>
      <c r="AM70" s="88">
        <f t="shared" si="27"/>
        <v>443.08436974789919</v>
      </c>
      <c r="AN70" s="88">
        <f t="shared" si="27"/>
        <v>207.81176470588235</v>
      </c>
      <c r="AO70" s="88">
        <f t="shared" si="27"/>
        <v>357.36201680672269</v>
      </c>
      <c r="AP70" s="88">
        <f t="shared" si="27"/>
        <v>366.26823529411769</v>
      </c>
      <c r="AQ70" s="88">
        <f t="shared" si="27"/>
        <v>381.11193277310929</v>
      </c>
      <c r="AR70" s="88">
        <f t="shared" si="27"/>
        <v>247.51865546218488</v>
      </c>
    </row>
    <row r="71" spans="1:44" s="98" customFormat="1" ht="13" hidden="1" outlineLevel="3" x14ac:dyDescent="0.35">
      <c r="A71" s="89" t="s">
        <v>112</v>
      </c>
      <c r="B71" s="90" t="s">
        <v>20</v>
      </c>
      <c r="C71" s="93">
        <f>2/119</f>
        <v>1.680672268907563E-2</v>
      </c>
      <c r="D71" s="92">
        <v>2</v>
      </c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>
        <v>6</v>
      </c>
      <c r="S71" s="92"/>
      <c r="T71" s="93">
        <v>5</v>
      </c>
      <c r="U71" s="93">
        <f t="shared" si="25"/>
        <v>5271.333333333333</v>
      </c>
      <c r="V71" s="92">
        <v>5535</v>
      </c>
      <c r="W71" s="92">
        <v>5290</v>
      </c>
      <c r="X71" s="92">
        <v>4989</v>
      </c>
      <c r="Y71" s="92">
        <v>57</v>
      </c>
      <c r="Z71" s="92">
        <f t="shared" si="19"/>
        <v>17.718767507002799</v>
      </c>
      <c r="AA71" s="95" t="s">
        <v>269</v>
      </c>
      <c r="AB71" s="97">
        <f t="shared" si="26"/>
        <v>33532.767507002798</v>
      </c>
      <c r="AC71" s="88">
        <f t="shared" si="27"/>
        <v>2096.1301960784308</v>
      </c>
      <c r="AD71" s="88">
        <f t="shared" si="27"/>
        <v>3779.4131092436974</v>
      </c>
      <c r="AE71" s="88">
        <f t="shared" si="27"/>
        <v>1653.1610084033612</v>
      </c>
      <c r="AF71" s="88">
        <f t="shared" si="27"/>
        <v>1328.9075630252098</v>
      </c>
      <c r="AG71" s="88">
        <f t="shared" si="27"/>
        <v>3685.503641456582</v>
      </c>
      <c r="AH71" s="88">
        <f t="shared" si="27"/>
        <v>1784.2798879551819</v>
      </c>
      <c r="AI71" s="88">
        <f t="shared" si="27"/>
        <v>1584.0578151260504</v>
      </c>
      <c r="AJ71" s="88">
        <f t="shared" si="27"/>
        <v>2126.252100840336</v>
      </c>
      <c r="AK71" s="88">
        <f t="shared" si="27"/>
        <v>3839.6569187675063</v>
      </c>
      <c r="AL71" s="88">
        <f t="shared" si="27"/>
        <v>2090.8145658263302</v>
      </c>
      <c r="AM71" s="88">
        <f t="shared" si="27"/>
        <v>2115.6208403361343</v>
      </c>
      <c r="AN71" s="88">
        <f t="shared" si="27"/>
        <v>992.25098039215675</v>
      </c>
      <c r="AO71" s="88">
        <f t="shared" si="27"/>
        <v>1706.3173109243694</v>
      </c>
      <c r="AP71" s="88">
        <f t="shared" si="27"/>
        <v>1748.8423529411762</v>
      </c>
      <c r="AQ71" s="88">
        <f t="shared" si="27"/>
        <v>1819.7174229691875</v>
      </c>
      <c r="AR71" s="88">
        <f t="shared" si="27"/>
        <v>1181.8417927170867</v>
      </c>
    </row>
    <row r="72" spans="1:44" s="98" customFormat="1" ht="26" hidden="1" outlineLevel="3" x14ac:dyDescent="0.35">
      <c r="A72" s="89" t="s">
        <v>113</v>
      </c>
      <c r="B72" s="90" t="s">
        <v>20</v>
      </c>
      <c r="C72" s="93">
        <f>1/90</f>
        <v>1.1111111111111112E-2</v>
      </c>
      <c r="D72" s="92"/>
      <c r="E72" s="92"/>
      <c r="F72" s="92"/>
      <c r="G72" s="92"/>
      <c r="H72" s="92"/>
      <c r="I72" s="92"/>
      <c r="J72" s="92">
        <v>1</v>
      </c>
      <c r="K72" s="92"/>
      <c r="L72" s="92"/>
      <c r="M72" s="92"/>
      <c r="N72" s="92"/>
      <c r="O72" s="92"/>
      <c r="P72" s="92"/>
      <c r="Q72" s="92"/>
      <c r="R72" s="92"/>
      <c r="S72" s="92"/>
      <c r="T72" s="93">
        <v>5</v>
      </c>
      <c r="U72" s="93">
        <f t="shared" si="25"/>
        <v>48223.666666666664</v>
      </c>
      <c r="V72" s="92">
        <v>42388</v>
      </c>
      <c r="W72" s="92">
        <v>49993</v>
      </c>
      <c r="X72" s="92">
        <v>52290</v>
      </c>
      <c r="Y72" s="92">
        <v>58</v>
      </c>
      <c r="Z72" s="92">
        <f t="shared" si="19"/>
        <v>107.1637037037037</v>
      </c>
      <c r="AA72" s="95" t="s">
        <v>297</v>
      </c>
      <c r="AB72" s="97">
        <f t="shared" si="26"/>
        <v>202807.30925925929</v>
      </c>
      <c r="AC72" s="88">
        <f t="shared" si="27"/>
        <v>12677.466148148147</v>
      </c>
      <c r="AD72" s="88">
        <f t="shared" si="27"/>
        <v>22858.018</v>
      </c>
      <c r="AE72" s="88">
        <f t="shared" si="27"/>
        <v>9998.3735555555559</v>
      </c>
      <c r="AF72" s="88">
        <f t="shared" si="27"/>
        <v>8037.2777777777774</v>
      </c>
      <c r="AG72" s="88">
        <f t="shared" si="27"/>
        <v>22290.050370370369</v>
      </c>
      <c r="AH72" s="88">
        <f t="shared" si="27"/>
        <v>10791.384962962964</v>
      </c>
      <c r="AI72" s="88">
        <f t="shared" si="27"/>
        <v>9580.4351111111118</v>
      </c>
      <c r="AJ72" s="88">
        <f t="shared" si="27"/>
        <v>12859.644444444444</v>
      </c>
      <c r="AK72" s="88">
        <f t="shared" si="27"/>
        <v>23222.37459259259</v>
      </c>
      <c r="AL72" s="88">
        <f t="shared" si="27"/>
        <v>12645.317037037037</v>
      </c>
      <c r="AM72" s="88">
        <f t="shared" si="27"/>
        <v>12795.346222222222</v>
      </c>
      <c r="AN72" s="88">
        <f t="shared" si="27"/>
        <v>6001.1674074074072</v>
      </c>
      <c r="AO72" s="88">
        <f t="shared" si="27"/>
        <v>10319.864666666666</v>
      </c>
      <c r="AP72" s="88">
        <f t="shared" si="27"/>
        <v>10577.057555555555</v>
      </c>
      <c r="AQ72" s="88">
        <f t="shared" si="27"/>
        <v>11005.712370370371</v>
      </c>
      <c r="AR72" s="88">
        <f t="shared" si="27"/>
        <v>7147.8190370370376</v>
      </c>
    </row>
    <row r="73" spans="1:44" s="98" customFormat="1" ht="13" hidden="1" outlineLevel="3" x14ac:dyDescent="0.35">
      <c r="A73" s="89" t="s">
        <v>114</v>
      </c>
      <c r="B73" s="90" t="s">
        <v>20</v>
      </c>
      <c r="C73" s="93">
        <f>1/90</f>
        <v>1.1111111111111112E-2</v>
      </c>
      <c r="D73" s="92"/>
      <c r="E73" s="92"/>
      <c r="F73" s="92"/>
      <c r="G73" s="92"/>
      <c r="H73" s="92"/>
      <c r="I73" s="92"/>
      <c r="J73" s="92">
        <v>1</v>
      </c>
      <c r="K73" s="92"/>
      <c r="L73" s="92"/>
      <c r="M73" s="92"/>
      <c r="N73" s="92"/>
      <c r="O73" s="92"/>
      <c r="P73" s="92"/>
      <c r="Q73" s="92">
        <v>1</v>
      </c>
      <c r="R73" s="92"/>
      <c r="S73" s="92"/>
      <c r="T73" s="93">
        <v>5</v>
      </c>
      <c r="U73" s="93">
        <f t="shared" si="25"/>
        <v>18840</v>
      </c>
      <c r="V73" s="92">
        <v>19890</v>
      </c>
      <c r="W73" s="92">
        <v>19880</v>
      </c>
      <c r="X73" s="92">
        <v>16750</v>
      </c>
      <c r="Y73" s="92">
        <v>59</v>
      </c>
      <c r="Z73" s="92">
        <f t="shared" si="19"/>
        <v>41.866666666666667</v>
      </c>
      <c r="AA73" s="95" t="s">
        <v>297</v>
      </c>
      <c r="AB73" s="97">
        <f t="shared" si="26"/>
        <v>79232.666666666657</v>
      </c>
      <c r="AC73" s="88">
        <f t="shared" si="27"/>
        <v>4952.8266666666668</v>
      </c>
      <c r="AD73" s="88">
        <f t="shared" si="27"/>
        <v>8930.16</v>
      </c>
      <c r="AE73" s="88">
        <f t="shared" si="27"/>
        <v>3906.16</v>
      </c>
      <c r="AF73" s="88">
        <f t="shared" si="27"/>
        <v>3140</v>
      </c>
      <c r="AG73" s="88">
        <f t="shared" si="27"/>
        <v>8708.2666666666664</v>
      </c>
      <c r="AH73" s="88">
        <f t="shared" si="27"/>
        <v>4215.9733333333334</v>
      </c>
      <c r="AI73" s="88">
        <f t="shared" si="27"/>
        <v>3742.88</v>
      </c>
      <c r="AJ73" s="88">
        <f t="shared" si="27"/>
        <v>5024</v>
      </c>
      <c r="AK73" s="88">
        <f t="shared" si="27"/>
        <v>9072.5066666666662</v>
      </c>
      <c r="AL73" s="88">
        <f t="shared" si="27"/>
        <v>4940.2666666666664</v>
      </c>
      <c r="AM73" s="88">
        <f t="shared" si="27"/>
        <v>4998.88</v>
      </c>
      <c r="AN73" s="88">
        <f t="shared" si="27"/>
        <v>2344.5333333333333</v>
      </c>
      <c r="AO73" s="88">
        <f t="shared" si="27"/>
        <v>4031.7599999999998</v>
      </c>
      <c r="AP73" s="88">
        <f t="shared" si="27"/>
        <v>4132.24</v>
      </c>
      <c r="AQ73" s="88">
        <f t="shared" si="27"/>
        <v>4299.7066666666669</v>
      </c>
      <c r="AR73" s="88">
        <f t="shared" si="27"/>
        <v>2792.5066666666667</v>
      </c>
    </row>
    <row r="74" spans="1:44" s="98" customFormat="1" ht="13" hidden="1" outlineLevel="3" x14ac:dyDescent="0.35">
      <c r="A74" s="89" t="s">
        <v>115</v>
      </c>
      <c r="B74" s="90" t="s">
        <v>20</v>
      </c>
      <c r="C74" s="93">
        <f>1/96</f>
        <v>1.0416666666666666E-2</v>
      </c>
      <c r="D74" s="92"/>
      <c r="E74" s="92"/>
      <c r="F74" s="92">
        <v>1</v>
      </c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3">
        <v>5</v>
      </c>
      <c r="U74" s="93">
        <f t="shared" si="25"/>
        <v>18700</v>
      </c>
      <c r="V74" s="107">
        <v>16400</v>
      </c>
      <c r="W74" s="107">
        <v>16200</v>
      </c>
      <c r="X74" s="107">
        <v>23500</v>
      </c>
      <c r="Y74" s="92">
        <v>60</v>
      </c>
      <c r="Z74" s="92">
        <f t="shared" si="19"/>
        <v>38.958333333333336</v>
      </c>
      <c r="AA74" s="95" t="s">
        <v>306</v>
      </c>
      <c r="AB74" s="97">
        <f t="shared" si="26"/>
        <v>73728.645833333343</v>
      </c>
      <c r="AC74" s="88">
        <f t="shared" si="27"/>
        <v>4608.7708333333339</v>
      </c>
      <c r="AD74" s="88">
        <f t="shared" si="27"/>
        <v>8309.8125000000018</v>
      </c>
      <c r="AE74" s="88">
        <f t="shared" si="27"/>
        <v>3634.8125</v>
      </c>
      <c r="AF74" s="88">
        <f t="shared" si="27"/>
        <v>2921.875</v>
      </c>
      <c r="AG74" s="88">
        <f t="shared" si="27"/>
        <v>8103.3333333333339</v>
      </c>
      <c r="AH74" s="88">
        <f t="shared" si="27"/>
        <v>3923.104166666667</v>
      </c>
      <c r="AI74" s="88">
        <f t="shared" si="27"/>
        <v>3482.8750000000005</v>
      </c>
      <c r="AJ74" s="88">
        <f t="shared" si="27"/>
        <v>4675</v>
      </c>
      <c r="AK74" s="88">
        <f t="shared" si="27"/>
        <v>8442.2708333333339</v>
      </c>
      <c r="AL74" s="88">
        <f t="shared" si="27"/>
        <v>4597.0833333333339</v>
      </c>
      <c r="AM74" s="88">
        <f t="shared" si="27"/>
        <v>4651.6250000000009</v>
      </c>
      <c r="AN74" s="88">
        <f t="shared" si="27"/>
        <v>2181.666666666667</v>
      </c>
      <c r="AO74" s="88">
        <f t="shared" si="27"/>
        <v>3751.6875</v>
      </c>
      <c r="AP74" s="88">
        <f t="shared" si="27"/>
        <v>3845.1875000000005</v>
      </c>
      <c r="AQ74" s="88">
        <f t="shared" si="27"/>
        <v>4001.0208333333335</v>
      </c>
      <c r="AR74" s="88">
        <f t="shared" si="27"/>
        <v>2598.5208333333335</v>
      </c>
    </row>
    <row r="75" spans="1:44" s="106" customFormat="1" ht="14" hidden="1" outlineLevel="3" x14ac:dyDescent="0.35">
      <c r="A75" s="89" t="s">
        <v>45</v>
      </c>
      <c r="B75" s="90" t="s">
        <v>20</v>
      </c>
      <c r="C75" s="93">
        <f>1/119</f>
        <v>8.4033613445378148E-3</v>
      </c>
      <c r="D75" s="92">
        <v>1</v>
      </c>
      <c r="E75" s="92">
        <v>2</v>
      </c>
      <c r="F75" s="92">
        <v>3</v>
      </c>
      <c r="G75" s="92"/>
      <c r="H75" s="92"/>
      <c r="I75" s="92"/>
      <c r="J75" s="92">
        <v>2</v>
      </c>
      <c r="K75" s="92">
        <v>4</v>
      </c>
      <c r="L75" s="92"/>
      <c r="M75" s="92"/>
      <c r="N75" s="92">
        <v>2</v>
      </c>
      <c r="O75" s="92"/>
      <c r="P75" s="92">
        <v>2</v>
      </c>
      <c r="Q75" s="92"/>
      <c r="R75" s="92">
        <v>3</v>
      </c>
      <c r="S75" s="92"/>
      <c r="T75" s="93">
        <v>5</v>
      </c>
      <c r="U75" s="93">
        <f t="shared" si="25"/>
        <v>10900</v>
      </c>
      <c r="V75" s="107">
        <v>11300</v>
      </c>
      <c r="W75" s="107">
        <v>8900</v>
      </c>
      <c r="X75" s="107">
        <v>12500</v>
      </c>
      <c r="Y75" s="92">
        <v>61</v>
      </c>
      <c r="Z75" s="92">
        <f t="shared" si="19"/>
        <v>18.319327731092436</v>
      </c>
      <c r="AA75" s="95" t="s">
        <v>274</v>
      </c>
      <c r="AB75" s="97">
        <f t="shared" si="26"/>
        <v>34669.327731092446</v>
      </c>
      <c r="AC75" s="88">
        <f t="shared" si="27"/>
        <v>2167.1764705882351</v>
      </c>
      <c r="AD75" s="88">
        <f t="shared" si="27"/>
        <v>3907.5126050420167</v>
      </c>
      <c r="AE75" s="88">
        <f t="shared" si="27"/>
        <v>1709.1932773109243</v>
      </c>
      <c r="AF75" s="88">
        <f t="shared" si="27"/>
        <v>1373.9495798319326</v>
      </c>
      <c r="AG75" s="88">
        <f t="shared" si="27"/>
        <v>3810.4201680672268</v>
      </c>
      <c r="AH75" s="88">
        <f t="shared" si="27"/>
        <v>1844.7563025210084</v>
      </c>
      <c r="AI75" s="88">
        <f t="shared" si="27"/>
        <v>1637.7478991596638</v>
      </c>
      <c r="AJ75" s="88">
        <f t="shared" si="27"/>
        <v>2198.3193277310925</v>
      </c>
      <c r="AK75" s="88">
        <f t="shared" si="27"/>
        <v>3969.7983193277305</v>
      </c>
      <c r="AL75" s="88">
        <f t="shared" si="27"/>
        <v>2161.6806722689075</v>
      </c>
      <c r="AM75" s="88">
        <f t="shared" si="27"/>
        <v>2187.3277310924368</v>
      </c>
      <c r="AN75" s="88">
        <f t="shared" si="27"/>
        <v>1025.8823529411764</v>
      </c>
      <c r="AO75" s="88">
        <f t="shared" si="27"/>
        <v>1764.1512605042014</v>
      </c>
      <c r="AP75" s="88">
        <f t="shared" si="27"/>
        <v>1808.1176470588234</v>
      </c>
      <c r="AQ75" s="88">
        <f t="shared" si="27"/>
        <v>1881.3949579831933</v>
      </c>
      <c r="AR75" s="88">
        <f t="shared" si="27"/>
        <v>1221.8991596638655</v>
      </c>
    </row>
    <row r="76" spans="1:44" s="103" customFormat="1" ht="13" outlineLevel="2" collapsed="1" x14ac:dyDescent="0.35">
      <c r="A76" s="101" t="s">
        <v>197</v>
      </c>
      <c r="B76" s="102" t="s">
        <v>3</v>
      </c>
      <c r="C76" s="102" t="s">
        <v>3</v>
      </c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102" t="s">
        <v>3</v>
      </c>
      <c r="U76" s="102" t="s">
        <v>3</v>
      </c>
      <c r="V76" s="102" t="s">
        <v>3</v>
      </c>
      <c r="W76" s="102" t="s">
        <v>3</v>
      </c>
      <c r="X76" s="102" t="s">
        <v>3</v>
      </c>
      <c r="Y76" s="102" t="s">
        <v>3</v>
      </c>
      <c r="Z76" s="102" t="s">
        <v>3</v>
      </c>
      <c r="AA76" s="102" t="s">
        <v>3</v>
      </c>
      <c r="AB76" s="92">
        <f>SUM(AB77:AB80)</f>
        <v>94067.278632478643</v>
      </c>
      <c r="AC76" s="92">
        <f t="shared" ref="AC76:AR76" si="28">SUM(AC77:AC80)</f>
        <v>5880.1368888888883</v>
      </c>
      <c r="AD76" s="92">
        <f t="shared" si="28"/>
        <v>10602.140307692309</v>
      </c>
      <c r="AE76" s="92">
        <f t="shared" si="28"/>
        <v>4637.5044102564098</v>
      </c>
      <c r="AF76" s="92">
        <f t="shared" si="28"/>
        <v>3727.8974358974365</v>
      </c>
      <c r="AG76" s="92">
        <f t="shared" si="28"/>
        <v>10338.702222222222</v>
      </c>
      <c r="AH76" s="92">
        <f t="shared" si="28"/>
        <v>5005.3236239316248</v>
      </c>
      <c r="AI76" s="92">
        <f t="shared" si="28"/>
        <v>4443.6537435897444</v>
      </c>
      <c r="AJ76" s="92">
        <f t="shared" si="28"/>
        <v>5964.6358974358973</v>
      </c>
      <c r="AK76" s="92">
        <f t="shared" si="28"/>
        <v>10771.138324786325</v>
      </c>
      <c r="AL76" s="92">
        <f t="shared" si="28"/>
        <v>5865.2252991452997</v>
      </c>
      <c r="AM76" s="92">
        <f t="shared" si="28"/>
        <v>5934.8127179487183</v>
      </c>
      <c r="AN76" s="92">
        <f t="shared" si="28"/>
        <v>2783.4967521367525</v>
      </c>
      <c r="AO76" s="92">
        <f t="shared" si="28"/>
        <v>4786.6203076923075</v>
      </c>
      <c r="AP76" s="92">
        <f t="shared" si="28"/>
        <v>4905.9130256410263</v>
      </c>
      <c r="AQ76" s="92">
        <f t="shared" si="28"/>
        <v>5104.7342222222233</v>
      </c>
      <c r="AR76" s="92">
        <f t="shared" si="28"/>
        <v>3315.343452991453</v>
      </c>
    </row>
    <row r="77" spans="1:44" s="98" customFormat="1" ht="13" hidden="1" outlineLevel="3" x14ac:dyDescent="0.35">
      <c r="A77" s="89" t="s">
        <v>67</v>
      </c>
      <c r="B77" s="90" t="s">
        <v>20</v>
      </c>
      <c r="C77" s="93">
        <f>4/117</f>
        <v>3.4188034188034191E-2</v>
      </c>
      <c r="D77" s="92"/>
      <c r="E77" s="92"/>
      <c r="F77" s="92"/>
      <c r="G77" s="92"/>
      <c r="H77" s="92"/>
      <c r="I77" s="92"/>
      <c r="J77" s="92"/>
      <c r="K77" s="92"/>
      <c r="L77" s="92"/>
      <c r="M77" s="92">
        <v>4</v>
      </c>
      <c r="N77" s="92"/>
      <c r="O77" s="92"/>
      <c r="P77" s="92"/>
      <c r="Q77" s="92"/>
      <c r="R77" s="92"/>
      <c r="S77" s="92"/>
      <c r="T77" s="93">
        <v>1</v>
      </c>
      <c r="U77" s="93">
        <f>AVERAGE(V77:X77)</f>
        <v>205</v>
      </c>
      <c r="V77" s="107">
        <v>210</v>
      </c>
      <c r="W77" s="107">
        <v>200</v>
      </c>
      <c r="X77" s="107"/>
      <c r="Y77" s="92">
        <v>62</v>
      </c>
      <c r="Z77" s="92">
        <f t="shared" si="19"/>
        <v>7.0085470085470094</v>
      </c>
      <c r="AA77" s="95" t="s">
        <v>298</v>
      </c>
      <c r="AB77" s="97">
        <f>SUM(AC77:AR77)</f>
        <v>13263.675213675215</v>
      </c>
      <c r="AC77" s="88">
        <f>$Z77*AC$2</f>
        <v>829.1111111111112</v>
      </c>
      <c r="AD77" s="88">
        <f>$Z77*AD$2</f>
        <v>1494.9230769230771</v>
      </c>
      <c r="AE77" s="88">
        <f t="shared" ref="AE77:AR80" si="29">$Z77*AE$2</f>
        <v>653.89743589743591</v>
      </c>
      <c r="AF77" s="88">
        <f t="shared" si="29"/>
        <v>525.64102564102575</v>
      </c>
      <c r="AG77" s="88">
        <f t="shared" si="29"/>
        <v>1457.7777777777781</v>
      </c>
      <c r="AH77" s="88">
        <f t="shared" si="29"/>
        <v>705.76068376068383</v>
      </c>
      <c r="AI77" s="88">
        <f t="shared" si="29"/>
        <v>626.56410256410265</v>
      </c>
      <c r="AJ77" s="88">
        <f t="shared" si="29"/>
        <v>841.02564102564111</v>
      </c>
      <c r="AK77" s="88">
        <f t="shared" si="29"/>
        <v>1518.7521367521369</v>
      </c>
      <c r="AL77" s="88">
        <f t="shared" si="29"/>
        <v>827.00854700854711</v>
      </c>
      <c r="AM77" s="88">
        <f t="shared" si="29"/>
        <v>836.82051282051293</v>
      </c>
      <c r="AN77" s="88">
        <f t="shared" si="29"/>
        <v>392.47863247863251</v>
      </c>
      <c r="AO77" s="88">
        <f t="shared" si="29"/>
        <v>674.92307692307702</v>
      </c>
      <c r="AP77" s="88">
        <f t="shared" si="29"/>
        <v>691.74358974358984</v>
      </c>
      <c r="AQ77" s="88">
        <f t="shared" si="29"/>
        <v>719.77777777777794</v>
      </c>
      <c r="AR77" s="88">
        <f t="shared" si="29"/>
        <v>467.47008547008556</v>
      </c>
    </row>
    <row r="78" spans="1:44" s="98" customFormat="1" ht="13" hidden="1" outlineLevel="3" x14ac:dyDescent="0.35">
      <c r="A78" s="89" t="s">
        <v>68</v>
      </c>
      <c r="B78" s="90" t="s">
        <v>20</v>
      </c>
      <c r="C78" s="93">
        <f>7/117</f>
        <v>5.9829059829059832E-2</v>
      </c>
      <c r="D78" s="92"/>
      <c r="E78" s="92"/>
      <c r="F78" s="92"/>
      <c r="G78" s="92"/>
      <c r="H78" s="92"/>
      <c r="I78" s="92"/>
      <c r="J78" s="92"/>
      <c r="K78" s="92"/>
      <c r="L78" s="92"/>
      <c r="M78" s="92">
        <v>7</v>
      </c>
      <c r="N78" s="92"/>
      <c r="O78" s="92"/>
      <c r="P78" s="92"/>
      <c r="Q78" s="92"/>
      <c r="R78" s="92"/>
      <c r="S78" s="92"/>
      <c r="T78" s="93">
        <v>1</v>
      </c>
      <c r="U78" s="93">
        <f>AVERAGE(V78:X78)</f>
        <v>146.5</v>
      </c>
      <c r="V78" s="107">
        <v>269</v>
      </c>
      <c r="W78" s="107">
        <v>24</v>
      </c>
      <c r="X78" s="107" t="s">
        <v>490</v>
      </c>
      <c r="Y78" s="92">
        <v>63</v>
      </c>
      <c r="Z78" s="92">
        <f t="shared" si="19"/>
        <v>8.7649572649572658</v>
      </c>
      <c r="AA78" s="95" t="s">
        <v>299</v>
      </c>
      <c r="AB78" s="97">
        <f>SUM(AC78:AR78)</f>
        <v>16587.681623931625</v>
      </c>
      <c r="AC78" s="88">
        <f t="shared" ref="AC78:AD80" si="30">$Z78*AC$2</f>
        <v>1036.8944444444446</v>
      </c>
      <c r="AD78" s="88">
        <f t="shared" si="30"/>
        <v>1869.5653846153848</v>
      </c>
      <c r="AE78" s="88">
        <f t="shared" si="29"/>
        <v>817.77051282051286</v>
      </c>
      <c r="AF78" s="88">
        <f t="shared" si="29"/>
        <v>657.37179487179492</v>
      </c>
      <c r="AG78" s="88">
        <f t="shared" si="29"/>
        <v>1823.1111111111113</v>
      </c>
      <c r="AH78" s="88">
        <f t="shared" si="29"/>
        <v>882.63119658119672</v>
      </c>
      <c r="AI78" s="88">
        <f t="shared" si="29"/>
        <v>783.58717948717958</v>
      </c>
      <c r="AJ78" s="88">
        <f t="shared" si="29"/>
        <v>1051.7948717948718</v>
      </c>
      <c r="AK78" s="88">
        <f t="shared" si="29"/>
        <v>1899.3662393162394</v>
      </c>
      <c r="AL78" s="88">
        <f t="shared" si="29"/>
        <v>1034.2649572649573</v>
      </c>
      <c r="AM78" s="88">
        <f t="shared" si="29"/>
        <v>1046.5358974358976</v>
      </c>
      <c r="AN78" s="88">
        <f t="shared" si="29"/>
        <v>490.83760683760687</v>
      </c>
      <c r="AO78" s="88">
        <f t="shared" si="29"/>
        <v>844.06538461538469</v>
      </c>
      <c r="AP78" s="88">
        <f t="shared" si="29"/>
        <v>865.10128205128217</v>
      </c>
      <c r="AQ78" s="88">
        <f t="shared" si="29"/>
        <v>900.16111111111127</v>
      </c>
      <c r="AR78" s="88">
        <f t="shared" si="29"/>
        <v>584.62264957264961</v>
      </c>
    </row>
    <row r="79" spans="1:44" s="98" customFormat="1" ht="13" hidden="1" outlineLevel="3" x14ac:dyDescent="0.35">
      <c r="A79" s="89" t="s">
        <v>69</v>
      </c>
      <c r="B79" s="90" t="s">
        <v>20</v>
      </c>
      <c r="C79" s="93">
        <f>10/117</f>
        <v>8.5470085470085472E-2</v>
      </c>
      <c r="D79" s="92"/>
      <c r="E79" s="92"/>
      <c r="F79" s="92"/>
      <c r="G79" s="92"/>
      <c r="H79" s="92"/>
      <c r="I79" s="92"/>
      <c r="J79" s="92"/>
      <c r="K79" s="92"/>
      <c r="L79" s="92"/>
      <c r="M79" s="92">
        <v>10</v>
      </c>
      <c r="N79" s="92"/>
      <c r="O79" s="92"/>
      <c r="P79" s="92"/>
      <c r="Q79" s="92"/>
      <c r="R79" s="92"/>
      <c r="S79" s="92"/>
      <c r="T79" s="93">
        <v>1</v>
      </c>
      <c r="U79" s="93">
        <f>AVERAGE(V79:X79)</f>
        <v>243</v>
      </c>
      <c r="V79" s="107">
        <v>256</v>
      </c>
      <c r="W79" s="107">
        <v>240</v>
      </c>
      <c r="X79" s="107">
        <v>233</v>
      </c>
      <c r="Y79" s="92">
        <v>64</v>
      </c>
      <c r="Z79" s="92">
        <f t="shared" si="19"/>
        <v>20.76923076923077</v>
      </c>
      <c r="AA79" s="95" t="s">
        <v>300</v>
      </c>
      <c r="AB79" s="97">
        <f>SUM(AC79:AR79)</f>
        <v>39305.769230769234</v>
      </c>
      <c r="AC79" s="88">
        <f t="shared" si="30"/>
        <v>2457</v>
      </c>
      <c r="AD79" s="88">
        <f t="shared" si="30"/>
        <v>4430.0769230769238</v>
      </c>
      <c r="AE79" s="88">
        <f t="shared" si="29"/>
        <v>1937.7692307692307</v>
      </c>
      <c r="AF79" s="88">
        <f t="shared" si="29"/>
        <v>1557.6923076923078</v>
      </c>
      <c r="AG79" s="88">
        <f t="shared" si="29"/>
        <v>4320</v>
      </c>
      <c r="AH79" s="88">
        <f t="shared" si="29"/>
        <v>2091.4615384615386</v>
      </c>
      <c r="AI79" s="88">
        <f t="shared" si="29"/>
        <v>1856.7692307692309</v>
      </c>
      <c r="AJ79" s="88">
        <f t="shared" si="29"/>
        <v>2492.3076923076924</v>
      </c>
      <c r="AK79" s="88">
        <f t="shared" si="29"/>
        <v>4500.6923076923076</v>
      </c>
      <c r="AL79" s="88">
        <f t="shared" si="29"/>
        <v>2450.7692307692309</v>
      </c>
      <c r="AM79" s="88">
        <f t="shared" si="29"/>
        <v>2479.8461538461543</v>
      </c>
      <c r="AN79" s="88">
        <f t="shared" si="29"/>
        <v>1163.0769230769231</v>
      </c>
      <c r="AO79" s="88">
        <f t="shared" si="29"/>
        <v>2000.0769230769231</v>
      </c>
      <c r="AP79" s="88">
        <f t="shared" si="29"/>
        <v>2049.9230769230771</v>
      </c>
      <c r="AQ79" s="88">
        <f t="shared" si="29"/>
        <v>2133</v>
      </c>
      <c r="AR79" s="88">
        <f t="shared" si="29"/>
        <v>1385.3076923076924</v>
      </c>
    </row>
    <row r="80" spans="1:44" s="98" customFormat="1" ht="26" hidden="1" outlineLevel="3" x14ac:dyDescent="0.35">
      <c r="A80" s="89" t="s">
        <v>70</v>
      </c>
      <c r="B80" s="90" t="s">
        <v>20</v>
      </c>
      <c r="C80" s="93">
        <f>6/117</f>
        <v>5.128205128205128E-2</v>
      </c>
      <c r="D80" s="92"/>
      <c r="E80" s="92"/>
      <c r="F80" s="92"/>
      <c r="G80" s="92"/>
      <c r="H80" s="92"/>
      <c r="I80" s="92"/>
      <c r="J80" s="92"/>
      <c r="K80" s="92"/>
      <c r="L80" s="92"/>
      <c r="M80" s="92">
        <v>6</v>
      </c>
      <c r="N80" s="92"/>
      <c r="O80" s="92"/>
      <c r="P80" s="92"/>
      <c r="Q80" s="92"/>
      <c r="R80" s="92"/>
      <c r="S80" s="92"/>
      <c r="T80" s="93">
        <v>1</v>
      </c>
      <c r="U80" s="93">
        <f>AVERAGE(V80:X80)</f>
        <v>256.67</v>
      </c>
      <c r="V80" s="107">
        <v>250</v>
      </c>
      <c r="W80" s="107">
        <v>350</v>
      </c>
      <c r="X80" s="107">
        <v>170.01</v>
      </c>
      <c r="Y80" s="92">
        <v>65</v>
      </c>
      <c r="Z80" s="92">
        <f t="shared" si="19"/>
        <v>13.162564102564103</v>
      </c>
      <c r="AA80" s="95" t="s">
        <v>281</v>
      </c>
      <c r="AB80" s="97">
        <f>SUM(AC80:AR80)</f>
        <v>24910.152564102566</v>
      </c>
      <c r="AC80" s="88">
        <f t="shared" si="30"/>
        <v>1557.1313333333333</v>
      </c>
      <c r="AD80" s="88">
        <f t="shared" si="30"/>
        <v>2807.5749230769234</v>
      </c>
      <c r="AE80" s="88">
        <f t="shared" si="29"/>
        <v>1228.0672307692307</v>
      </c>
      <c r="AF80" s="88">
        <f t="shared" si="29"/>
        <v>987.19230769230774</v>
      </c>
      <c r="AG80" s="88">
        <f t="shared" si="29"/>
        <v>2737.8133333333335</v>
      </c>
      <c r="AH80" s="88">
        <f t="shared" si="29"/>
        <v>1325.4702051282052</v>
      </c>
      <c r="AI80" s="88">
        <f t="shared" si="29"/>
        <v>1176.7332307692309</v>
      </c>
      <c r="AJ80" s="88">
        <f t="shared" si="29"/>
        <v>1579.5076923076924</v>
      </c>
      <c r="AK80" s="88">
        <f t="shared" si="29"/>
        <v>2852.3276410256408</v>
      </c>
      <c r="AL80" s="88">
        <f t="shared" si="29"/>
        <v>1553.1825641025641</v>
      </c>
      <c r="AM80" s="88">
        <f t="shared" si="29"/>
        <v>1571.6101538461539</v>
      </c>
      <c r="AN80" s="88">
        <f t="shared" si="29"/>
        <v>737.10358974358974</v>
      </c>
      <c r="AO80" s="88">
        <f t="shared" si="29"/>
        <v>1267.5549230769232</v>
      </c>
      <c r="AP80" s="88">
        <f t="shared" si="29"/>
        <v>1299.1450769230769</v>
      </c>
      <c r="AQ80" s="88">
        <f t="shared" si="29"/>
        <v>1351.7953333333335</v>
      </c>
      <c r="AR80" s="88">
        <f t="shared" si="29"/>
        <v>877.94302564102566</v>
      </c>
    </row>
    <row r="81" spans="1:44" s="103" customFormat="1" ht="13" outlineLevel="2" collapsed="1" x14ac:dyDescent="0.35">
      <c r="A81" s="101" t="s">
        <v>251</v>
      </c>
      <c r="B81" s="102" t="s">
        <v>3</v>
      </c>
      <c r="C81" s="102" t="s">
        <v>3</v>
      </c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102" t="s">
        <v>3</v>
      </c>
      <c r="U81" s="102" t="s">
        <v>3</v>
      </c>
      <c r="V81" s="102" t="s">
        <v>3</v>
      </c>
      <c r="W81" s="102" t="s">
        <v>3</v>
      </c>
      <c r="X81" s="102" t="s">
        <v>3</v>
      </c>
      <c r="Y81" s="102" t="s">
        <v>3</v>
      </c>
      <c r="Z81" s="102" t="s">
        <v>3</v>
      </c>
      <c r="AA81" s="102" t="s">
        <v>3</v>
      </c>
      <c r="AB81" s="92">
        <f>SUM(AB82:AB95)</f>
        <v>125416.78437106918</v>
      </c>
      <c r="AC81" s="92">
        <f t="shared" ref="AC81:AR81" si="31">SUM(AC82:AC95)</f>
        <v>7839.7915937106918</v>
      </c>
      <c r="AD81" s="92">
        <f t="shared" si="31"/>
        <v>14135.482222641509</v>
      </c>
      <c r="AE81" s="92">
        <f t="shared" si="31"/>
        <v>6183.030901886792</v>
      </c>
      <c r="AF81" s="92">
        <f t="shared" si="31"/>
        <v>4970.2820754716977</v>
      </c>
      <c r="AG81" s="92">
        <f t="shared" si="31"/>
        <v>13784.248955974841</v>
      </c>
      <c r="AH81" s="92">
        <f t="shared" si="31"/>
        <v>6673.4320666666663</v>
      </c>
      <c r="AI81" s="92">
        <f t="shared" si="31"/>
        <v>5924.5762339622652</v>
      </c>
      <c r="AJ81" s="92">
        <f t="shared" si="31"/>
        <v>7952.4513207547152</v>
      </c>
      <c r="AK81" s="92">
        <f t="shared" si="31"/>
        <v>14360.801676729559</v>
      </c>
      <c r="AL81" s="92">
        <f t="shared" si="31"/>
        <v>7819.9104654088042</v>
      </c>
      <c r="AM81" s="92">
        <f t="shared" si="31"/>
        <v>7912.6890641509435</v>
      </c>
      <c r="AN81" s="92">
        <f t="shared" si="31"/>
        <v>3711.1439496855342</v>
      </c>
      <c r="AO81" s="92">
        <f t="shared" si="31"/>
        <v>6381.8421849056595</v>
      </c>
      <c r="AP81" s="92">
        <f t="shared" si="31"/>
        <v>6540.8912113207543</v>
      </c>
      <c r="AQ81" s="92">
        <f t="shared" si="31"/>
        <v>6805.9729220125791</v>
      </c>
      <c r="AR81" s="92">
        <f t="shared" si="31"/>
        <v>4420.2375257861631</v>
      </c>
    </row>
    <row r="82" spans="1:44" s="106" customFormat="1" ht="26" hidden="1" outlineLevel="3" x14ac:dyDescent="0.35">
      <c r="A82" s="89" t="s">
        <v>141</v>
      </c>
      <c r="B82" s="90" t="s">
        <v>493</v>
      </c>
      <c r="C82" s="93">
        <f t="shared" ref="C82:C95" si="32">1/212</f>
        <v>4.7169811320754715E-3</v>
      </c>
      <c r="D82" s="92"/>
      <c r="E82" s="92">
        <v>1</v>
      </c>
      <c r="F82" s="92">
        <v>1</v>
      </c>
      <c r="G82" s="92"/>
      <c r="H82" s="92"/>
      <c r="I82" s="92">
        <v>1</v>
      </c>
      <c r="J82" s="92">
        <v>1</v>
      </c>
      <c r="K82" s="92">
        <v>1</v>
      </c>
      <c r="L82" s="92"/>
      <c r="M82" s="92"/>
      <c r="N82" s="92"/>
      <c r="O82" s="92"/>
      <c r="P82" s="92"/>
      <c r="Q82" s="92"/>
      <c r="R82" s="92">
        <v>1</v>
      </c>
      <c r="S82" s="92"/>
      <c r="T82" s="93">
        <v>1</v>
      </c>
      <c r="U82" s="93">
        <f t="shared" ref="U82:U98" si="33">AVERAGE(V82:X82)</f>
        <v>794.79</v>
      </c>
      <c r="V82" s="92">
        <v>770.92</v>
      </c>
      <c r="W82" s="92">
        <v>877.2</v>
      </c>
      <c r="X82" s="92">
        <v>736.25</v>
      </c>
      <c r="Y82" s="92">
        <v>66</v>
      </c>
      <c r="Z82" s="92">
        <f t="shared" ref="Z82:Z95" si="34">C82/$T82*$U82</f>
        <v>3.7490094339622639</v>
      </c>
      <c r="AA82" s="95" t="s">
        <v>311</v>
      </c>
      <c r="AB82" s="97">
        <f t="shared" ref="AB82:AB95" si="35">SUM(AC82:AR82)</f>
        <v>7095.0003537735838</v>
      </c>
      <c r="AC82" s="88">
        <f t="shared" ref="AC82:AR95" si="36">$Z82*AC$2</f>
        <v>443.50781603773584</v>
      </c>
      <c r="AD82" s="88">
        <f t="shared" si="36"/>
        <v>799.66371226415094</v>
      </c>
      <c r="AE82" s="88">
        <f t="shared" si="36"/>
        <v>349.78258018867922</v>
      </c>
      <c r="AF82" s="88">
        <f t="shared" si="36"/>
        <v>281.17570754716979</v>
      </c>
      <c r="AG82" s="88">
        <f t="shared" si="36"/>
        <v>779.79396226415088</v>
      </c>
      <c r="AH82" s="88">
        <f t="shared" si="36"/>
        <v>377.52524999999997</v>
      </c>
      <c r="AI82" s="88">
        <f t="shared" si="36"/>
        <v>335.16144339622645</v>
      </c>
      <c r="AJ82" s="88">
        <f t="shared" si="36"/>
        <v>449.88113207547167</v>
      </c>
      <c r="AK82" s="88">
        <f t="shared" si="36"/>
        <v>812.4103443396225</v>
      </c>
      <c r="AL82" s="88">
        <f t="shared" si="36"/>
        <v>442.38311320754713</v>
      </c>
      <c r="AM82" s="88">
        <f t="shared" si="36"/>
        <v>447.63172641509436</v>
      </c>
      <c r="AN82" s="88">
        <f t="shared" si="36"/>
        <v>209.94452830188678</v>
      </c>
      <c r="AO82" s="88">
        <f t="shared" si="36"/>
        <v>361.02960849056603</v>
      </c>
      <c r="AP82" s="88">
        <f t="shared" si="36"/>
        <v>370.02723113207549</v>
      </c>
      <c r="AQ82" s="88">
        <f t="shared" si="36"/>
        <v>385.02326886792451</v>
      </c>
      <c r="AR82" s="88">
        <f t="shared" si="36"/>
        <v>250.05892924528303</v>
      </c>
    </row>
    <row r="83" spans="1:44" s="106" customFormat="1" ht="26" hidden="1" outlineLevel="3" x14ac:dyDescent="0.35">
      <c r="A83" s="89" t="s">
        <v>142</v>
      </c>
      <c r="B83" s="90" t="s">
        <v>493</v>
      </c>
      <c r="C83" s="93">
        <f t="shared" si="32"/>
        <v>4.7169811320754715E-3</v>
      </c>
      <c r="D83" s="92"/>
      <c r="E83" s="92">
        <v>1</v>
      </c>
      <c r="F83" s="92"/>
      <c r="G83" s="92"/>
      <c r="H83" s="92"/>
      <c r="I83" s="92">
        <v>1</v>
      </c>
      <c r="J83" s="92"/>
      <c r="K83" s="92">
        <v>1</v>
      </c>
      <c r="L83" s="92"/>
      <c r="M83" s="92"/>
      <c r="N83" s="92"/>
      <c r="O83" s="92"/>
      <c r="P83" s="92"/>
      <c r="Q83" s="92"/>
      <c r="R83" s="92"/>
      <c r="S83" s="92"/>
      <c r="T83" s="93">
        <v>1</v>
      </c>
      <c r="U83" s="93">
        <f t="shared" si="33"/>
        <v>1348.5666666666666</v>
      </c>
      <c r="V83" s="92">
        <v>1300.8399999999999</v>
      </c>
      <c r="W83" s="92">
        <v>1352.89</v>
      </c>
      <c r="X83" s="92">
        <v>1391.97</v>
      </c>
      <c r="Y83" s="92">
        <v>67</v>
      </c>
      <c r="Z83" s="92">
        <f t="shared" si="34"/>
        <v>6.3611635220125784</v>
      </c>
      <c r="AA83" s="95" t="s">
        <v>311</v>
      </c>
      <c r="AB83" s="97">
        <f t="shared" si="35"/>
        <v>12038.501965408805</v>
      </c>
      <c r="AC83" s="88">
        <f t="shared" si="36"/>
        <v>752.52564465408796</v>
      </c>
      <c r="AD83" s="88">
        <f t="shared" si="36"/>
        <v>1356.8361792452831</v>
      </c>
      <c r="AE83" s="88">
        <f t="shared" si="36"/>
        <v>593.49655660377357</v>
      </c>
      <c r="AF83" s="88">
        <f t="shared" si="36"/>
        <v>477.08726415094338</v>
      </c>
      <c r="AG83" s="88">
        <f t="shared" si="36"/>
        <v>1323.1220125786162</v>
      </c>
      <c r="AH83" s="88">
        <f t="shared" si="36"/>
        <v>640.56916666666666</v>
      </c>
      <c r="AI83" s="88">
        <f t="shared" si="36"/>
        <v>568.6880188679246</v>
      </c>
      <c r="AJ83" s="88">
        <f t="shared" si="36"/>
        <v>763.33962264150944</v>
      </c>
      <c r="AK83" s="88">
        <f t="shared" si="36"/>
        <v>1378.4641352201256</v>
      </c>
      <c r="AL83" s="88">
        <f t="shared" si="36"/>
        <v>750.61729559748426</v>
      </c>
      <c r="AM83" s="88">
        <f t="shared" si="36"/>
        <v>759.52292452830193</v>
      </c>
      <c r="AN83" s="88">
        <f t="shared" si="36"/>
        <v>356.22515723270442</v>
      </c>
      <c r="AO83" s="88">
        <f t="shared" si="36"/>
        <v>612.58004716981134</v>
      </c>
      <c r="AP83" s="88">
        <f t="shared" si="36"/>
        <v>627.84683962264148</v>
      </c>
      <c r="AQ83" s="88">
        <f t="shared" si="36"/>
        <v>653.29149371069184</v>
      </c>
      <c r="AR83" s="88">
        <f t="shared" si="36"/>
        <v>424.28960691823897</v>
      </c>
    </row>
    <row r="84" spans="1:44" s="106" customFormat="1" ht="26" hidden="1" outlineLevel="3" x14ac:dyDescent="0.35">
      <c r="A84" s="89" t="s">
        <v>143</v>
      </c>
      <c r="B84" s="90" t="s">
        <v>493</v>
      </c>
      <c r="C84" s="93">
        <f t="shared" si="32"/>
        <v>4.7169811320754715E-3</v>
      </c>
      <c r="D84" s="92"/>
      <c r="E84" s="92">
        <v>1</v>
      </c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3">
        <v>1</v>
      </c>
      <c r="U84" s="93">
        <f t="shared" si="33"/>
        <v>666.94999999999993</v>
      </c>
      <c r="V84" s="92">
        <v>643.35</v>
      </c>
      <c r="W84" s="92">
        <v>669.09</v>
      </c>
      <c r="X84" s="92">
        <v>688.41</v>
      </c>
      <c r="Y84" s="92">
        <v>68</v>
      </c>
      <c r="Z84" s="92">
        <f t="shared" si="34"/>
        <v>3.1459905660377352</v>
      </c>
      <c r="AA84" s="95" t="s">
        <v>311</v>
      </c>
      <c r="AB84" s="97">
        <f t="shared" si="35"/>
        <v>5953.7871462264147</v>
      </c>
      <c r="AC84" s="88">
        <f t="shared" si="36"/>
        <v>372.17068396226404</v>
      </c>
      <c r="AD84" s="88">
        <f t="shared" si="36"/>
        <v>671.0397877358489</v>
      </c>
      <c r="AE84" s="88">
        <f t="shared" si="36"/>
        <v>293.52091981132071</v>
      </c>
      <c r="AF84" s="88">
        <f t="shared" si="36"/>
        <v>235.94929245283015</v>
      </c>
      <c r="AG84" s="88">
        <f t="shared" si="36"/>
        <v>654.36603773584898</v>
      </c>
      <c r="AH84" s="88">
        <f t="shared" si="36"/>
        <v>316.80124999999992</v>
      </c>
      <c r="AI84" s="88">
        <f t="shared" si="36"/>
        <v>281.25155660377357</v>
      </c>
      <c r="AJ84" s="88">
        <f t="shared" si="36"/>
        <v>377.51886792452819</v>
      </c>
      <c r="AK84" s="88">
        <f t="shared" si="36"/>
        <v>681.73615566037722</v>
      </c>
      <c r="AL84" s="88">
        <f t="shared" si="36"/>
        <v>371.22688679245277</v>
      </c>
      <c r="AM84" s="88">
        <f t="shared" si="36"/>
        <v>375.63127358490561</v>
      </c>
      <c r="AN84" s="88">
        <f t="shared" si="36"/>
        <v>176.17547169811317</v>
      </c>
      <c r="AO84" s="88">
        <f t="shared" si="36"/>
        <v>302.9588915094339</v>
      </c>
      <c r="AP84" s="88">
        <f t="shared" si="36"/>
        <v>310.50926886792445</v>
      </c>
      <c r="AQ84" s="88">
        <f t="shared" si="36"/>
        <v>323.0932311320754</v>
      </c>
      <c r="AR84" s="88">
        <f t="shared" si="36"/>
        <v>209.83757075471695</v>
      </c>
    </row>
    <row r="85" spans="1:44" s="106" customFormat="1" ht="14" hidden="1" outlineLevel="3" x14ac:dyDescent="0.35">
      <c r="A85" s="89" t="s">
        <v>487</v>
      </c>
      <c r="B85" s="90" t="s">
        <v>493</v>
      </c>
      <c r="C85" s="93">
        <f t="shared" si="32"/>
        <v>4.7169811320754715E-3</v>
      </c>
      <c r="D85" s="92"/>
      <c r="E85" s="92">
        <v>1</v>
      </c>
      <c r="F85" s="92"/>
      <c r="G85" s="92"/>
      <c r="H85" s="92"/>
      <c r="I85" s="92">
        <v>1</v>
      </c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3">
        <v>1</v>
      </c>
      <c r="U85" s="93">
        <f t="shared" si="33"/>
        <v>833.69</v>
      </c>
      <c r="V85" s="92">
        <v>804.19</v>
      </c>
      <c r="W85" s="92">
        <v>836.36</v>
      </c>
      <c r="X85" s="92">
        <v>860.52</v>
      </c>
      <c r="Y85" s="92">
        <v>69</v>
      </c>
      <c r="Z85" s="92">
        <f t="shared" si="34"/>
        <v>3.9325000000000001</v>
      </c>
      <c r="AA85" s="95" t="s">
        <v>311</v>
      </c>
      <c r="AB85" s="97">
        <f t="shared" si="35"/>
        <v>7442.2562500000004</v>
      </c>
      <c r="AC85" s="88">
        <f t="shared" si="36"/>
        <v>465.21474999999998</v>
      </c>
      <c r="AD85" s="88">
        <f t="shared" si="36"/>
        <v>838.80225000000007</v>
      </c>
      <c r="AE85" s="88">
        <f t="shared" si="36"/>
        <v>366.90224999999998</v>
      </c>
      <c r="AF85" s="88">
        <f t="shared" si="36"/>
        <v>294.9375</v>
      </c>
      <c r="AG85" s="88">
        <f t="shared" si="36"/>
        <v>817.96</v>
      </c>
      <c r="AH85" s="88">
        <f t="shared" si="36"/>
        <v>396.00275000000005</v>
      </c>
      <c r="AI85" s="88">
        <f t="shared" si="36"/>
        <v>351.56550000000004</v>
      </c>
      <c r="AJ85" s="88">
        <f t="shared" si="36"/>
        <v>471.90000000000003</v>
      </c>
      <c r="AK85" s="88">
        <f t="shared" si="36"/>
        <v>852.17274999999995</v>
      </c>
      <c r="AL85" s="88">
        <f t="shared" si="36"/>
        <v>464.03500000000003</v>
      </c>
      <c r="AM85" s="88">
        <f t="shared" si="36"/>
        <v>469.54050000000001</v>
      </c>
      <c r="AN85" s="88">
        <f t="shared" si="36"/>
        <v>220.22</v>
      </c>
      <c r="AO85" s="88">
        <f t="shared" si="36"/>
        <v>378.69974999999999</v>
      </c>
      <c r="AP85" s="88">
        <f t="shared" si="36"/>
        <v>388.13775000000004</v>
      </c>
      <c r="AQ85" s="88">
        <f t="shared" si="36"/>
        <v>403.86775</v>
      </c>
      <c r="AR85" s="88">
        <f t="shared" si="36"/>
        <v>262.29775000000001</v>
      </c>
    </row>
    <row r="86" spans="1:44" s="106" customFormat="1" ht="26" hidden="1" outlineLevel="3" x14ac:dyDescent="0.35">
      <c r="A86" s="89" t="s">
        <v>144</v>
      </c>
      <c r="B86" s="90" t="s">
        <v>493</v>
      </c>
      <c r="C86" s="93">
        <f t="shared" si="32"/>
        <v>4.7169811320754715E-3</v>
      </c>
      <c r="D86" s="92"/>
      <c r="E86" s="92">
        <v>1</v>
      </c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3">
        <v>1</v>
      </c>
      <c r="U86" s="93">
        <f t="shared" si="33"/>
        <v>666.94999999999993</v>
      </c>
      <c r="V86" s="92">
        <v>643.35</v>
      </c>
      <c r="W86" s="92">
        <v>669.09</v>
      </c>
      <c r="X86" s="92">
        <v>688.41</v>
      </c>
      <c r="Y86" s="92">
        <v>70</v>
      </c>
      <c r="Z86" s="92">
        <f t="shared" si="34"/>
        <v>3.1459905660377352</v>
      </c>
      <c r="AA86" s="95" t="s">
        <v>311</v>
      </c>
      <c r="AB86" s="97">
        <f t="shared" si="35"/>
        <v>5953.7871462264147</v>
      </c>
      <c r="AC86" s="88">
        <f t="shared" si="36"/>
        <v>372.17068396226404</v>
      </c>
      <c r="AD86" s="88">
        <f t="shared" si="36"/>
        <v>671.0397877358489</v>
      </c>
      <c r="AE86" s="88">
        <f t="shared" si="36"/>
        <v>293.52091981132071</v>
      </c>
      <c r="AF86" s="88">
        <f t="shared" si="36"/>
        <v>235.94929245283015</v>
      </c>
      <c r="AG86" s="88">
        <f t="shared" si="36"/>
        <v>654.36603773584898</v>
      </c>
      <c r="AH86" s="88">
        <f t="shared" si="36"/>
        <v>316.80124999999992</v>
      </c>
      <c r="AI86" s="88">
        <f t="shared" si="36"/>
        <v>281.25155660377357</v>
      </c>
      <c r="AJ86" s="88">
        <f t="shared" si="36"/>
        <v>377.51886792452819</v>
      </c>
      <c r="AK86" s="88">
        <f t="shared" si="36"/>
        <v>681.73615566037722</v>
      </c>
      <c r="AL86" s="88">
        <f t="shared" si="36"/>
        <v>371.22688679245277</v>
      </c>
      <c r="AM86" s="88">
        <f t="shared" si="36"/>
        <v>375.63127358490561</v>
      </c>
      <c r="AN86" s="88">
        <f t="shared" si="36"/>
        <v>176.17547169811317</v>
      </c>
      <c r="AO86" s="88">
        <f t="shared" si="36"/>
        <v>302.9588915094339</v>
      </c>
      <c r="AP86" s="88">
        <f t="shared" si="36"/>
        <v>310.50926886792445</v>
      </c>
      <c r="AQ86" s="88">
        <f t="shared" si="36"/>
        <v>323.0932311320754</v>
      </c>
      <c r="AR86" s="88">
        <f t="shared" si="36"/>
        <v>209.83757075471695</v>
      </c>
    </row>
    <row r="87" spans="1:44" s="106" customFormat="1" ht="26" hidden="1" outlineLevel="3" x14ac:dyDescent="0.35">
      <c r="A87" s="89" t="s">
        <v>312</v>
      </c>
      <c r="B87" s="90" t="s">
        <v>493</v>
      </c>
      <c r="C87" s="93">
        <f t="shared" si="32"/>
        <v>4.7169811320754715E-3</v>
      </c>
      <c r="D87" s="92"/>
      <c r="E87" s="92">
        <v>1</v>
      </c>
      <c r="F87" s="92"/>
      <c r="G87" s="92"/>
      <c r="H87" s="92"/>
      <c r="I87" s="92">
        <v>1</v>
      </c>
      <c r="J87" s="92"/>
      <c r="K87" s="92"/>
      <c r="L87" s="92"/>
      <c r="M87" s="92"/>
      <c r="N87" s="92"/>
      <c r="O87" s="92"/>
      <c r="P87" s="92"/>
      <c r="Q87" s="92"/>
      <c r="R87" s="92">
        <v>1</v>
      </c>
      <c r="S87" s="92"/>
      <c r="T87" s="93">
        <v>1</v>
      </c>
      <c r="U87" s="93">
        <f t="shared" si="33"/>
        <v>666.94400000000007</v>
      </c>
      <c r="V87" s="107">
        <v>678.66600000000005</v>
      </c>
      <c r="W87" s="107">
        <v>591.66600000000005</v>
      </c>
      <c r="X87" s="107">
        <v>730.5</v>
      </c>
      <c r="Y87" s="92">
        <v>71</v>
      </c>
      <c r="Z87" s="92">
        <f t="shared" si="34"/>
        <v>3.1459622641509437</v>
      </c>
      <c r="AA87" s="95" t="s">
        <v>311</v>
      </c>
      <c r="AB87" s="97">
        <f t="shared" si="35"/>
        <v>5953.7335849056599</v>
      </c>
      <c r="AC87" s="88">
        <f t="shared" si="36"/>
        <v>372.16733584905666</v>
      </c>
      <c r="AD87" s="88">
        <f t="shared" si="36"/>
        <v>671.03375094339629</v>
      </c>
      <c r="AE87" s="88">
        <f t="shared" si="36"/>
        <v>293.51827924528305</v>
      </c>
      <c r="AF87" s="88">
        <f t="shared" si="36"/>
        <v>235.94716981132078</v>
      </c>
      <c r="AG87" s="88">
        <f t="shared" si="36"/>
        <v>654.36015094339632</v>
      </c>
      <c r="AH87" s="88">
        <f t="shared" si="36"/>
        <v>316.79840000000002</v>
      </c>
      <c r="AI87" s="88">
        <f t="shared" si="36"/>
        <v>281.24902641509436</v>
      </c>
      <c r="AJ87" s="88">
        <f t="shared" si="36"/>
        <v>377.51547169811323</v>
      </c>
      <c r="AK87" s="88">
        <f t="shared" si="36"/>
        <v>681.73002264150944</v>
      </c>
      <c r="AL87" s="88">
        <f t="shared" si="36"/>
        <v>371.22354716981135</v>
      </c>
      <c r="AM87" s="88">
        <f t="shared" si="36"/>
        <v>375.62789433962269</v>
      </c>
      <c r="AN87" s="88">
        <f t="shared" si="36"/>
        <v>176.17388679245283</v>
      </c>
      <c r="AO87" s="88">
        <f t="shared" si="36"/>
        <v>302.9561660377359</v>
      </c>
      <c r="AP87" s="88">
        <f t="shared" si="36"/>
        <v>310.50647547169814</v>
      </c>
      <c r="AQ87" s="88">
        <f t="shared" si="36"/>
        <v>323.09032452830195</v>
      </c>
      <c r="AR87" s="88">
        <f t="shared" si="36"/>
        <v>209.83568301886797</v>
      </c>
    </row>
    <row r="88" spans="1:44" s="106" customFormat="1" ht="39" hidden="1" outlineLevel="3" x14ac:dyDescent="0.35">
      <c r="A88" s="89" t="s">
        <v>145</v>
      </c>
      <c r="B88" s="90" t="s">
        <v>493</v>
      </c>
      <c r="C88" s="93">
        <f t="shared" si="32"/>
        <v>4.7169811320754715E-3</v>
      </c>
      <c r="D88" s="92"/>
      <c r="E88" s="92">
        <v>1</v>
      </c>
      <c r="F88" s="92"/>
      <c r="G88" s="92"/>
      <c r="H88" s="92"/>
      <c r="I88" s="92">
        <v>1</v>
      </c>
      <c r="J88" s="92"/>
      <c r="K88" s="92"/>
      <c r="L88" s="92"/>
      <c r="M88" s="92"/>
      <c r="N88" s="92"/>
      <c r="O88" s="92"/>
      <c r="P88" s="92"/>
      <c r="Q88" s="92"/>
      <c r="R88" s="92">
        <v>1</v>
      </c>
      <c r="S88" s="92"/>
      <c r="T88" s="93">
        <v>1</v>
      </c>
      <c r="U88" s="93">
        <f t="shared" si="33"/>
        <v>666.9466666666666</v>
      </c>
      <c r="V88" s="107">
        <v>678.67</v>
      </c>
      <c r="W88" s="107">
        <v>591.66999999999996</v>
      </c>
      <c r="X88" s="107">
        <v>730.5</v>
      </c>
      <c r="Y88" s="92">
        <v>72</v>
      </c>
      <c r="Z88" s="92">
        <f t="shared" si="34"/>
        <v>3.1459748427672953</v>
      </c>
      <c r="AA88" s="95" t="s">
        <v>311</v>
      </c>
      <c r="AB88" s="97">
        <f t="shared" si="35"/>
        <v>5953.7573899371073</v>
      </c>
      <c r="AC88" s="88">
        <f t="shared" si="36"/>
        <v>372.16882389937103</v>
      </c>
      <c r="AD88" s="88">
        <f t="shared" si="36"/>
        <v>671.03643396226414</v>
      </c>
      <c r="AE88" s="88">
        <f t="shared" si="36"/>
        <v>293.51945283018864</v>
      </c>
      <c r="AF88" s="88">
        <f t="shared" si="36"/>
        <v>235.94811320754715</v>
      </c>
      <c r="AG88" s="88">
        <f t="shared" si="36"/>
        <v>654.36276729559745</v>
      </c>
      <c r="AH88" s="88">
        <f t="shared" si="36"/>
        <v>316.79966666666667</v>
      </c>
      <c r="AI88" s="88">
        <f t="shared" si="36"/>
        <v>281.25015094339619</v>
      </c>
      <c r="AJ88" s="88">
        <f t="shared" si="36"/>
        <v>377.51698113207544</v>
      </c>
      <c r="AK88" s="88">
        <f t="shared" si="36"/>
        <v>681.73274842767285</v>
      </c>
      <c r="AL88" s="88">
        <f t="shared" si="36"/>
        <v>371.22503144654087</v>
      </c>
      <c r="AM88" s="88">
        <f t="shared" si="36"/>
        <v>375.62939622641505</v>
      </c>
      <c r="AN88" s="88">
        <f t="shared" si="36"/>
        <v>176.17459119496854</v>
      </c>
      <c r="AO88" s="88">
        <f t="shared" si="36"/>
        <v>302.95737735849053</v>
      </c>
      <c r="AP88" s="88">
        <f t="shared" si="36"/>
        <v>310.50771698113203</v>
      </c>
      <c r="AQ88" s="88">
        <f t="shared" si="36"/>
        <v>323.09161635220124</v>
      </c>
      <c r="AR88" s="88">
        <f t="shared" si="36"/>
        <v>209.8365220125786</v>
      </c>
    </row>
    <row r="89" spans="1:44" s="106" customFormat="1" ht="26" hidden="1" outlineLevel="3" x14ac:dyDescent="0.35">
      <c r="A89" s="89" t="s">
        <v>146</v>
      </c>
      <c r="B89" s="90" t="s">
        <v>493</v>
      </c>
      <c r="C89" s="93">
        <f t="shared" si="32"/>
        <v>4.7169811320754715E-3</v>
      </c>
      <c r="D89" s="92"/>
      <c r="E89" s="92">
        <v>1</v>
      </c>
      <c r="F89" s="92">
        <v>1</v>
      </c>
      <c r="G89" s="92"/>
      <c r="H89" s="92"/>
      <c r="I89" s="92">
        <v>1</v>
      </c>
      <c r="J89" s="92">
        <v>1</v>
      </c>
      <c r="K89" s="92">
        <v>1</v>
      </c>
      <c r="L89" s="92"/>
      <c r="M89" s="92"/>
      <c r="N89" s="92"/>
      <c r="O89" s="92"/>
      <c r="P89" s="92"/>
      <c r="Q89" s="92"/>
      <c r="R89" s="92"/>
      <c r="S89" s="92"/>
      <c r="T89" s="93">
        <v>1</v>
      </c>
      <c r="U89" s="93">
        <f t="shared" si="33"/>
        <v>871.56666666666661</v>
      </c>
      <c r="V89" s="92">
        <v>840.71</v>
      </c>
      <c r="W89" s="92">
        <v>874.37</v>
      </c>
      <c r="X89" s="92">
        <v>899.62</v>
      </c>
      <c r="Y89" s="92">
        <v>73</v>
      </c>
      <c r="Z89" s="92">
        <f t="shared" si="34"/>
        <v>4.1111635220125784</v>
      </c>
      <c r="AA89" s="95" t="s">
        <v>311</v>
      </c>
      <c r="AB89" s="97">
        <f t="shared" si="35"/>
        <v>7780.3769654088046</v>
      </c>
      <c r="AC89" s="88">
        <f t="shared" si="36"/>
        <v>486.350644654088</v>
      </c>
      <c r="AD89" s="88">
        <f t="shared" si="36"/>
        <v>876.91117924528305</v>
      </c>
      <c r="AE89" s="88">
        <f t="shared" si="36"/>
        <v>383.57155660377356</v>
      </c>
      <c r="AF89" s="88">
        <f t="shared" si="36"/>
        <v>308.33726415094338</v>
      </c>
      <c r="AG89" s="88">
        <f t="shared" si="36"/>
        <v>855.12201257861625</v>
      </c>
      <c r="AH89" s="88">
        <f t="shared" si="36"/>
        <v>413.99416666666667</v>
      </c>
      <c r="AI89" s="88">
        <f t="shared" si="36"/>
        <v>367.53801886792451</v>
      </c>
      <c r="AJ89" s="88">
        <f t="shared" si="36"/>
        <v>493.33962264150944</v>
      </c>
      <c r="AK89" s="88">
        <f t="shared" si="36"/>
        <v>890.8891352201257</v>
      </c>
      <c r="AL89" s="88">
        <f t="shared" si="36"/>
        <v>485.11729559748426</v>
      </c>
      <c r="AM89" s="88">
        <f t="shared" si="36"/>
        <v>490.87292452830189</v>
      </c>
      <c r="AN89" s="88">
        <f t="shared" si="36"/>
        <v>230.22515723270439</v>
      </c>
      <c r="AO89" s="88">
        <f t="shared" si="36"/>
        <v>395.90504716981127</v>
      </c>
      <c r="AP89" s="88">
        <f t="shared" si="36"/>
        <v>405.77183962264149</v>
      </c>
      <c r="AQ89" s="88">
        <f t="shared" si="36"/>
        <v>422.21649371069179</v>
      </c>
      <c r="AR89" s="88">
        <f t="shared" si="36"/>
        <v>274.21460691823899</v>
      </c>
    </row>
    <row r="90" spans="1:44" s="106" customFormat="1" ht="52" hidden="1" outlineLevel="3" x14ac:dyDescent="0.35">
      <c r="A90" s="89" t="s">
        <v>147</v>
      </c>
      <c r="B90" s="90" t="s">
        <v>493</v>
      </c>
      <c r="C90" s="93">
        <f t="shared" si="32"/>
        <v>4.7169811320754715E-3</v>
      </c>
      <c r="D90" s="92"/>
      <c r="E90" s="92">
        <v>1</v>
      </c>
      <c r="F90" s="92"/>
      <c r="G90" s="92"/>
      <c r="H90" s="92"/>
      <c r="I90" s="92">
        <v>1</v>
      </c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3">
        <v>1</v>
      </c>
      <c r="U90" s="93">
        <f t="shared" si="33"/>
        <v>645.34</v>
      </c>
      <c r="V90" s="92">
        <v>587.47</v>
      </c>
      <c r="W90" s="92">
        <v>750</v>
      </c>
      <c r="X90" s="92">
        <v>598.54999999999995</v>
      </c>
      <c r="Y90" s="92">
        <v>74</v>
      </c>
      <c r="Z90" s="92">
        <f t="shared" si="34"/>
        <v>3.0440566037735848</v>
      </c>
      <c r="AA90" s="95" t="s">
        <v>311</v>
      </c>
      <c r="AB90" s="97">
        <f t="shared" si="35"/>
        <v>5760.8771226415092</v>
      </c>
      <c r="AC90" s="88">
        <f t="shared" si="36"/>
        <v>360.11189622641507</v>
      </c>
      <c r="AD90" s="88">
        <f t="shared" si="36"/>
        <v>649.29727358490572</v>
      </c>
      <c r="AE90" s="88">
        <f t="shared" si="36"/>
        <v>284.01048113207543</v>
      </c>
      <c r="AF90" s="88">
        <f t="shared" si="36"/>
        <v>228.30424528301887</v>
      </c>
      <c r="AG90" s="88">
        <f t="shared" si="36"/>
        <v>633.16377358490558</v>
      </c>
      <c r="AH90" s="88">
        <f t="shared" si="36"/>
        <v>306.53649999999999</v>
      </c>
      <c r="AI90" s="88">
        <f t="shared" si="36"/>
        <v>272.13866037735852</v>
      </c>
      <c r="AJ90" s="88">
        <f t="shared" si="36"/>
        <v>365.28679245283018</v>
      </c>
      <c r="AK90" s="88">
        <f t="shared" si="36"/>
        <v>659.64706603773584</v>
      </c>
      <c r="AL90" s="88">
        <f t="shared" si="36"/>
        <v>359.19867924528302</v>
      </c>
      <c r="AM90" s="88">
        <f t="shared" si="36"/>
        <v>363.46035849056602</v>
      </c>
      <c r="AN90" s="88">
        <f t="shared" si="36"/>
        <v>170.46716981132076</v>
      </c>
      <c r="AO90" s="88">
        <f t="shared" si="36"/>
        <v>293.14265094339623</v>
      </c>
      <c r="AP90" s="88">
        <f t="shared" si="36"/>
        <v>300.44838679245282</v>
      </c>
      <c r="AQ90" s="88">
        <f t="shared" si="36"/>
        <v>312.62461320754716</v>
      </c>
      <c r="AR90" s="88">
        <f t="shared" si="36"/>
        <v>203.03857547169812</v>
      </c>
    </row>
    <row r="91" spans="1:44" s="106" customFormat="1" ht="26" hidden="1" outlineLevel="3" x14ac:dyDescent="0.35">
      <c r="A91" s="89" t="s">
        <v>148</v>
      </c>
      <c r="B91" s="90" t="s">
        <v>493</v>
      </c>
      <c r="C91" s="93">
        <f t="shared" si="32"/>
        <v>4.7169811320754715E-3</v>
      </c>
      <c r="D91" s="92"/>
      <c r="E91" s="92">
        <v>1</v>
      </c>
      <c r="F91" s="92">
        <v>1</v>
      </c>
      <c r="G91" s="92"/>
      <c r="H91" s="92"/>
      <c r="I91" s="92">
        <v>1</v>
      </c>
      <c r="J91" s="92">
        <v>1</v>
      </c>
      <c r="K91" s="92">
        <v>1</v>
      </c>
      <c r="L91" s="92"/>
      <c r="M91" s="92"/>
      <c r="N91" s="92"/>
      <c r="O91" s="92"/>
      <c r="P91" s="92"/>
      <c r="Q91" s="92"/>
      <c r="R91" s="92"/>
      <c r="S91" s="92"/>
      <c r="T91" s="93">
        <v>1</v>
      </c>
      <c r="U91" s="93">
        <f t="shared" si="33"/>
        <v>781.34</v>
      </c>
      <c r="V91" s="92">
        <v>870.2</v>
      </c>
      <c r="W91" s="92">
        <v>692.48</v>
      </c>
      <c r="X91" s="92"/>
      <c r="Y91" s="92">
        <v>75</v>
      </c>
      <c r="Z91" s="92">
        <f t="shared" si="34"/>
        <v>3.6855660377358492</v>
      </c>
      <c r="AA91" s="95" t="s">
        <v>311</v>
      </c>
      <c r="AB91" s="97">
        <f t="shared" si="35"/>
        <v>6974.9337264150954</v>
      </c>
      <c r="AC91" s="88">
        <f t="shared" si="36"/>
        <v>436.00246226415095</v>
      </c>
      <c r="AD91" s="88">
        <f t="shared" si="36"/>
        <v>786.13123584905668</v>
      </c>
      <c r="AE91" s="88">
        <f t="shared" si="36"/>
        <v>343.86331132075475</v>
      </c>
      <c r="AF91" s="88">
        <f t="shared" si="36"/>
        <v>276.41745283018867</v>
      </c>
      <c r="AG91" s="88">
        <f t="shared" si="36"/>
        <v>766.59773584905668</v>
      </c>
      <c r="AH91" s="88">
        <f t="shared" si="36"/>
        <v>371.13650000000001</v>
      </c>
      <c r="AI91" s="88">
        <f t="shared" si="36"/>
        <v>329.48960377358492</v>
      </c>
      <c r="AJ91" s="88">
        <f t="shared" si="36"/>
        <v>442.26792452830193</v>
      </c>
      <c r="AK91" s="88">
        <f t="shared" si="36"/>
        <v>798.66216037735853</v>
      </c>
      <c r="AL91" s="88">
        <f t="shared" si="36"/>
        <v>434.8967924528302</v>
      </c>
      <c r="AM91" s="88">
        <f t="shared" si="36"/>
        <v>440.05658490566043</v>
      </c>
      <c r="AN91" s="88">
        <f t="shared" si="36"/>
        <v>206.39169811320755</v>
      </c>
      <c r="AO91" s="88">
        <f t="shared" si="36"/>
        <v>354.92000943396226</v>
      </c>
      <c r="AP91" s="88">
        <f t="shared" si="36"/>
        <v>363.76536792452833</v>
      </c>
      <c r="AQ91" s="88">
        <f t="shared" si="36"/>
        <v>378.50763207547175</v>
      </c>
      <c r="AR91" s="88">
        <f t="shared" si="36"/>
        <v>245.82725471698114</v>
      </c>
    </row>
    <row r="92" spans="1:44" s="106" customFormat="1" ht="26" hidden="1" outlineLevel="3" x14ac:dyDescent="0.35">
      <c r="A92" s="89" t="s">
        <v>149</v>
      </c>
      <c r="B92" s="90" t="s">
        <v>493</v>
      </c>
      <c r="C92" s="93">
        <f t="shared" si="32"/>
        <v>4.7169811320754715E-3</v>
      </c>
      <c r="D92" s="92"/>
      <c r="E92" s="92">
        <v>1</v>
      </c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3">
        <v>1</v>
      </c>
      <c r="U92" s="93">
        <f t="shared" si="33"/>
        <v>2710.5499999999997</v>
      </c>
      <c r="V92" s="92">
        <v>2614.64</v>
      </c>
      <c r="W92" s="92">
        <v>2719.28</v>
      </c>
      <c r="X92" s="92">
        <v>2797.73</v>
      </c>
      <c r="Y92" s="92">
        <v>76</v>
      </c>
      <c r="Z92" s="92">
        <f t="shared" si="34"/>
        <v>12.785613207547168</v>
      </c>
      <c r="AA92" s="95" t="s">
        <v>311</v>
      </c>
      <c r="AB92" s="97">
        <f t="shared" si="35"/>
        <v>24196.77299528302</v>
      </c>
      <c r="AC92" s="88">
        <f t="shared" si="36"/>
        <v>1512.53804245283</v>
      </c>
      <c r="AD92" s="88">
        <f t="shared" si="36"/>
        <v>2727.1712971698112</v>
      </c>
      <c r="AE92" s="88">
        <f t="shared" si="36"/>
        <v>1192.8977122641509</v>
      </c>
      <c r="AF92" s="88">
        <f t="shared" si="36"/>
        <v>958.92099056603763</v>
      </c>
      <c r="AG92" s="88">
        <f t="shared" si="36"/>
        <v>2659.4075471698111</v>
      </c>
      <c r="AH92" s="88">
        <f t="shared" si="36"/>
        <v>1287.5112499999998</v>
      </c>
      <c r="AI92" s="88">
        <f t="shared" si="36"/>
        <v>1143.033820754717</v>
      </c>
      <c r="AJ92" s="88">
        <f t="shared" si="36"/>
        <v>1534.2735849056603</v>
      </c>
      <c r="AK92" s="88">
        <f t="shared" si="36"/>
        <v>2770.6423820754712</v>
      </c>
      <c r="AL92" s="88">
        <f t="shared" si="36"/>
        <v>1508.702358490566</v>
      </c>
      <c r="AM92" s="88">
        <f t="shared" si="36"/>
        <v>1526.602216981132</v>
      </c>
      <c r="AN92" s="88">
        <f t="shared" si="36"/>
        <v>715.99433962264141</v>
      </c>
      <c r="AO92" s="88">
        <f t="shared" si="36"/>
        <v>1231.2545518867923</v>
      </c>
      <c r="AP92" s="88">
        <f t="shared" si="36"/>
        <v>1261.9400235849055</v>
      </c>
      <c r="AQ92" s="88">
        <f t="shared" si="36"/>
        <v>1313.0824764150943</v>
      </c>
      <c r="AR92" s="88">
        <f t="shared" si="36"/>
        <v>852.8004009433962</v>
      </c>
    </row>
    <row r="93" spans="1:44" s="106" customFormat="1" ht="26" hidden="1" outlineLevel="3" x14ac:dyDescent="0.35">
      <c r="A93" s="89" t="s">
        <v>150</v>
      </c>
      <c r="B93" s="90" t="s">
        <v>493</v>
      </c>
      <c r="C93" s="93">
        <f t="shared" si="32"/>
        <v>4.7169811320754715E-3</v>
      </c>
      <c r="D93" s="92"/>
      <c r="E93" s="92">
        <v>1</v>
      </c>
      <c r="F93" s="92"/>
      <c r="G93" s="92"/>
      <c r="H93" s="92"/>
      <c r="I93" s="92"/>
      <c r="J93" s="92"/>
      <c r="K93" s="92">
        <v>1</v>
      </c>
      <c r="L93" s="92"/>
      <c r="M93" s="92"/>
      <c r="N93" s="92"/>
      <c r="O93" s="92"/>
      <c r="P93" s="92"/>
      <c r="Q93" s="92"/>
      <c r="R93" s="92"/>
      <c r="S93" s="92"/>
      <c r="T93" s="93">
        <v>1</v>
      </c>
      <c r="U93" s="93">
        <f t="shared" si="33"/>
        <v>645.34</v>
      </c>
      <c r="V93" s="92">
        <v>587.47</v>
      </c>
      <c r="W93" s="92">
        <v>750</v>
      </c>
      <c r="X93" s="92">
        <v>598.54999999999995</v>
      </c>
      <c r="Y93" s="92">
        <v>77</v>
      </c>
      <c r="Z93" s="92">
        <f t="shared" si="34"/>
        <v>3.0440566037735848</v>
      </c>
      <c r="AA93" s="95" t="s">
        <v>311</v>
      </c>
      <c r="AB93" s="97">
        <f t="shared" si="35"/>
        <v>5760.8771226415092</v>
      </c>
      <c r="AC93" s="88">
        <f t="shared" si="36"/>
        <v>360.11189622641507</v>
      </c>
      <c r="AD93" s="88">
        <f t="shared" si="36"/>
        <v>649.29727358490572</v>
      </c>
      <c r="AE93" s="88">
        <f t="shared" si="36"/>
        <v>284.01048113207543</v>
      </c>
      <c r="AF93" s="88">
        <f t="shared" si="36"/>
        <v>228.30424528301887</v>
      </c>
      <c r="AG93" s="88">
        <f t="shared" si="36"/>
        <v>633.16377358490558</v>
      </c>
      <c r="AH93" s="88">
        <f t="shared" si="36"/>
        <v>306.53649999999999</v>
      </c>
      <c r="AI93" s="88">
        <f t="shared" si="36"/>
        <v>272.13866037735852</v>
      </c>
      <c r="AJ93" s="88">
        <f t="shared" si="36"/>
        <v>365.28679245283018</v>
      </c>
      <c r="AK93" s="88">
        <f t="shared" si="36"/>
        <v>659.64706603773584</v>
      </c>
      <c r="AL93" s="88">
        <f t="shared" si="36"/>
        <v>359.19867924528302</v>
      </c>
      <c r="AM93" s="88">
        <f t="shared" si="36"/>
        <v>363.46035849056602</v>
      </c>
      <c r="AN93" s="88">
        <f t="shared" si="36"/>
        <v>170.46716981132076</v>
      </c>
      <c r="AO93" s="88">
        <f t="shared" si="36"/>
        <v>293.14265094339623</v>
      </c>
      <c r="AP93" s="88">
        <f t="shared" si="36"/>
        <v>300.44838679245282</v>
      </c>
      <c r="AQ93" s="88">
        <f t="shared" si="36"/>
        <v>312.62461320754716</v>
      </c>
      <c r="AR93" s="88">
        <f t="shared" si="36"/>
        <v>203.03857547169812</v>
      </c>
    </row>
    <row r="94" spans="1:44" s="106" customFormat="1" ht="39" hidden="1" outlineLevel="3" x14ac:dyDescent="0.35">
      <c r="A94" s="89" t="s">
        <v>151</v>
      </c>
      <c r="B94" s="90" t="s">
        <v>493</v>
      </c>
      <c r="C94" s="93">
        <f t="shared" si="32"/>
        <v>4.7169811320754715E-3</v>
      </c>
      <c r="D94" s="92"/>
      <c r="E94" s="92">
        <v>1</v>
      </c>
      <c r="F94" s="92">
        <v>1</v>
      </c>
      <c r="G94" s="92"/>
      <c r="H94" s="92"/>
      <c r="I94" s="92">
        <v>1</v>
      </c>
      <c r="J94" s="92">
        <v>1</v>
      </c>
      <c r="K94" s="92">
        <v>1</v>
      </c>
      <c r="L94" s="92"/>
      <c r="M94" s="92"/>
      <c r="N94" s="92"/>
      <c r="O94" s="92"/>
      <c r="P94" s="92"/>
      <c r="Q94" s="92"/>
      <c r="R94" s="92"/>
      <c r="S94" s="92"/>
      <c r="T94" s="93">
        <v>1</v>
      </c>
      <c r="U94" s="93">
        <f t="shared" si="33"/>
        <v>1974.28</v>
      </c>
      <c r="V94" s="92">
        <v>1912.45</v>
      </c>
      <c r="W94" s="92">
        <v>2170.19</v>
      </c>
      <c r="X94" s="92">
        <v>1840.2</v>
      </c>
      <c r="Y94" s="92">
        <v>78</v>
      </c>
      <c r="Z94" s="92">
        <f t="shared" si="34"/>
        <v>9.312641509433961</v>
      </c>
      <c r="AA94" s="95" t="s">
        <v>311</v>
      </c>
      <c r="AB94" s="97">
        <f t="shared" si="35"/>
        <v>17624.17405660377</v>
      </c>
      <c r="AC94" s="88">
        <f t="shared" si="36"/>
        <v>1101.6854905660375</v>
      </c>
      <c r="AD94" s="88">
        <f t="shared" si="36"/>
        <v>1986.3864339622639</v>
      </c>
      <c r="AE94" s="88">
        <f t="shared" si="36"/>
        <v>868.86945283018849</v>
      </c>
      <c r="AF94" s="88">
        <f t="shared" si="36"/>
        <v>698.44811320754707</v>
      </c>
      <c r="AG94" s="88">
        <f t="shared" si="36"/>
        <v>1937.029433962264</v>
      </c>
      <c r="AH94" s="88">
        <f t="shared" si="36"/>
        <v>937.7829999999999</v>
      </c>
      <c r="AI94" s="88">
        <f t="shared" si="36"/>
        <v>832.55015094339615</v>
      </c>
      <c r="AJ94" s="88">
        <f t="shared" si="36"/>
        <v>1117.5169811320752</v>
      </c>
      <c r="AK94" s="88">
        <f t="shared" si="36"/>
        <v>2018.0494150943393</v>
      </c>
      <c r="AL94" s="88">
        <f t="shared" si="36"/>
        <v>1098.8916981132074</v>
      </c>
      <c r="AM94" s="88">
        <f t="shared" si="36"/>
        <v>1111.9293962264151</v>
      </c>
      <c r="AN94" s="88">
        <f t="shared" si="36"/>
        <v>521.50792452830183</v>
      </c>
      <c r="AO94" s="88">
        <f t="shared" si="36"/>
        <v>896.80737735849038</v>
      </c>
      <c r="AP94" s="88">
        <f t="shared" si="36"/>
        <v>919.15771698113201</v>
      </c>
      <c r="AQ94" s="88">
        <f t="shared" si="36"/>
        <v>956.40828301886779</v>
      </c>
      <c r="AR94" s="88">
        <f t="shared" si="36"/>
        <v>621.1531886792452</v>
      </c>
    </row>
    <row r="95" spans="1:44" s="106" customFormat="1" ht="52" hidden="1" outlineLevel="3" x14ac:dyDescent="0.35">
      <c r="A95" s="89" t="s">
        <v>152</v>
      </c>
      <c r="B95" s="90" t="s">
        <v>493</v>
      </c>
      <c r="C95" s="93">
        <f t="shared" si="32"/>
        <v>4.7169811320754715E-3</v>
      </c>
      <c r="D95" s="92"/>
      <c r="E95" s="92">
        <v>1</v>
      </c>
      <c r="F95" s="92"/>
      <c r="G95" s="92"/>
      <c r="H95" s="92"/>
      <c r="I95" s="92"/>
      <c r="J95" s="92"/>
      <c r="K95" s="92">
        <v>1</v>
      </c>
      <c r="L95" s="92"/>
      <c r="M95" s="92"/>
      <c r="N95" s="92"/>
      <c r="O95" s="92"/>
      <c r="P95" s="92"/>
      <c r="Q95" s="92"/>
      <c r="R95" s="92"/>
      <c r="S95" s="92"/>
      <c r="T95" s="93">
        <v>1</v>
      </c>
      <c r="U95" s="93">
        <f t="shared" si="33"/>
        <v>776.07666666666671</v>
      </c>
      <c r="V95" s="92">
        <v>704.97</v>
      </c>
      <c r="W95" s="92">
        <v>905</v>
      </c>
      <c r="X95" s="92">
        <v>718.26</v>
      </c>
      <c r="Y95" s="92">
        <v>79</v>
      </c>
      <c r="Z95" s="92">
        <f t="shared" si="34"/>
        <v>3.6607389937106918</v>
      </c>
      <c r="AA95" s="95" t="s">
        <v>311</v>
      </c>
      <c r="AB95" s="97">
        <f t="shared" si="35"/>
        <v>6927.9485455974846</v>
      </c>
      <c r="AC95" s="88">
        <f t="shared" si="36"/>
        <v>433.06542295597484</v>
      </c>
      <c r="AD95" s="88">
        <f t="shared" si="36"/>
        <v>780.83562735849057</v>
      </c>
      <c r="AE95" s="88">
        <f t="shared" si="36"/>
        <v>341.54694811320752</v>
      </c>
      <c r="AF95" s="88">
        <f t="shared" si="36"/>
        <v>274.5554245283019</v>
      </c>
      <c r="AG95" s="88">
        <f t="shared" si="36"/>
        <v>761.43371069182388</v>
      </c>
      <c r="AH95" s="88">
        <f t="shared" si="36"/>
        <v>368.63641666666666</v>
      </c>
      <c r="AI95" s="88">
        <f t="shared" si="36"/>
        <v>327.27006603773589</v>
      </c>
      <c r="AJ95" s="88">
        <f t="shared" si="36"/>
        <v>439.28867924528299</v>
      </c>
      <c r="AK95" s="88">
        <f t="shared" si="36"/>
        <v>793.28213993710688</v>
      </c>
      <c r="AL95" s="88">
        <f t="shared" si="36"/>
        <v>431.96720125786163</v>
      </c>
      <c r="AM95" s="88">
        <f t="shared" si="36"/>
        <v>437.09223584905664</v>
      </c>
      <c r="AN95" s="88">
        <f t="shared" si="36"/>
        <v>205.00138364779875</v>
      </c>
      <c r="AO95" s="88">
        <f t="shared" si="36"/>
        <v>352.52916509433959</v>
      </c>
      <c r="AP95" s="88">
        <f t="shared" si="36"/>
        <v>361.3149386792453</v>
      </c>
      <c r="AQ95" s="88">
        <f t="shared" si="36"/>
        <v>375.95789465408808</v>
      </c>
      <c r="AR95" s="88">
        <f t="shared" si="36"/>
        <v>244.17129088050316</v>
      </c>
    </row>
    <row r="96" spans="1:44" s="103" customFormat="1" ht="26" outlineLevel="2" collapsed="1" x14ac:dyDescent="0.35">
      <c r="A96" s="101" t="s">
        <v>305</v>
      </c>
      <c r="B96" s="102" t="s">
        <v>3</v>
      </c>
      <c r="C96" s="102" t="s">
        <v>3</v>
      </c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102" t="s">
        <v>3</v>
      </c>
      <c r="U96" s="102" t="s">
        <v>3</v>
      </c>
      <c r="V96" s="102" t="s">
        <v>3</v>
      </c>
      <c r="W96" s="102" t="s">
        <v>3</v>
      </c>
      <c r="X96" s="102" t="s">
        <v>3</v>
      </c>
      <c r="Y96" s="102" t="s">
        <v>3</v>
      </c>
      <c r="Z96" s="102" t="s">
        <v>3</v>
      </c>
      <c r="AA96" s="102" t="s">
        <v>3</v>
      </c>
      <c r="AB96" s="92">
        <f>SUM(AB97:AB98)</f>
        <v>91249.772079772083</v>
      </c>
      <c r="AC96" s="92">
        <f t="shared" ref="AC96:AR96" si="37">SUM(AC97:AC98)</f>
        <v>5704.0148148148146</v>
      </c>
      <c r="AD96" s="92">
        <f t="shared" si="37"/>
        <v>10284.584615384618</v>
      </c>
      <c r="AE96" s="92">
        <f t="shared" si="37"/>
        <v>4498.6017094017097</v>
      </c>
      <c r="AF96" s="92">
        <f t="shared" si="37"/>
        <v>3616.2393162393164</v>
      </c>
      <c r="AG96" s="92">
        <f t="shared" si="37"/>
        <v>10029.037037037038</v>
      </c>
      <c r="AH96" s="92">
        <f t="shared" si="37"/>
        <v>4855.4039886039891</v>
      </c>
      <c r="AI96" s="92">
        <f t="shared" si="37"/>
        <v>4310.5572649572659</v>
      </c>
      <c r="AJ96" s="92">
        <f t="shared" si="37"/>
        <v>5785.9829059829062</v>
      </c>
      <c r="AK96" s="92">
        <f t="shared" si="37"/>
        <v>10448.520797720797</v>
      </c>
      <c r="AL96" s="92">
        <f t="shared" si="37"/>
        <v>5689.5498575498577</v>
      </c>
      <c r="AM96" s="92">
        <f t="shared" si="37"/>
        <v>5757.0529914529916</v>
      </c>
      <c r="AN96" s="92">
        <f t="shared" si="37"/>
        <v>2700.1253561253561</v>
      </c>
      <c r="AO96" s="92">
        <f t="shared" si="37"/>
        <v>4643.251282051282</v>
      </c>
      <c r="AP96" s="92">
        <f t="shared" si="37"/>
        <v>4758.9709401709406</v>
      </c>
      <c r="AQ96" s="92">
        <f t="shared" si="37"/>
        <v>4951.8370370370376</v>
      </c>
      <c r="AR96" s="92">
        <f t="shared" si="37"/>
        <v>3216.0421652421655</v>
      </c>
    </row>
    <row r="97" spans="1:46" s="98" customFormat="1" ht="13" hidden="1" outlineLevel="3" x14ac:dyDescent="0.35">
      <c r="A97" s="89" t="s">
        <v>488</v>
      </c>
      <c r="B97" s="90" t="s">
        <v>20</v>
      </c>
      <c r="C97" s="93">
        <f>300/117</f>
        <v>2.5641025641025643</v>
      </c>
      <c r="D97" s="92"/>
      <c r="E97" s="92">
        <v>682</v>
      </c>
      <c r="F97" s="92">
        <v>100</v>
      </c>
      <c r="G97" s="92">
        <v>432</v>
      </c>
      <c r="H97" s="92"/>
      <c r="I97" s="92">
        <v>310</v>
      </c>
      <c r="J97" s="92">
        <v>65</v>
      </c>
      <c r="K97" s="92"/>
      <c r="L97" s="92"/>
      <c r="M97" s="92">
        <v>300</v>
      </c>
      <c r="N97" s="92"/>
      <c r="O97" s="92">
        <v>100</v>
      </c>
      <c r="P97" s="92"/>
      <c r="Q97" s="92"/>
      <c r="R97" s="92">
        <v>250</v>
      </c>
      <c r="S97" s="92"/>
      <c r="T97" s="93">
        <v>1</v>
      </c>
      <c r="U97" s="93">
        <f t="shared" si="33"/>
        <v>4.5</v>
      </c>
      <c r="V97" s="92">
        <v>4.5</v>
      </c>
      <c r="W97" s="92"/>
      <c r="X97" s="92"/>
      <c r="Y97" s="92">
        <v>80</v>
      </c>
      <c r="Z97" s="92">
        <f>C97/$T97*$U97</f>
        <v>11.53846153846154</v>
      </c>
      <c r="AA97" s="95" t="s">
        <v>331</v>
      </c>
      <c r="AB97" s="97">
        <f>SUM(AC97:AR97)</f>
        <v>21836.538461538461</v>
      </c>
      <c r="AC97" s="88">
        <f t="shared" ref="AC97:AR98" si="38">$Z97*AC$2</f>
        <v>1365.0000000000002</v>
      </c>
      <c r="AD97" s="88">
        <f t="shared" si="38"/>
        <v>2461.1538461538466</v>
      </c>
      <c r="AE97" s="88">
        <f t="shared" si="38"/>
        <v>1076.5384615384617</v>
      </c>
      <c r="AF97" s="88">
        <f t="shared" si="38"/>
        <v>865.38461538461547</v>
      </c>
      <c r="AG97" s="88">
        <f t="shared" si="38"/>
        <v>2400.0000000000005</v>
      </c>
      <c r="AH97" s="88">
        <f t="shared" si="38"/>
        <v>1161.9230769230771</v>
      </c>
      <c r="AI97" s="88">
        <f t="shared" si="38"/>
        <v>1031.5384615384617</v>
      </c>
      <c r="AJ97" s="88">
        <f t="shared" si="38"/>
        <v>1384.6153846153848</v>
      </c>
      <c r="AK97" s="88">
        <f t="shared" si="38"/>
        <v>2500.3846153846157</v>
      </c>
      <c r="AL97" s="88">
        <f t="shared" si="38"/>
        <v>1361.5384615384617</v>
      </c>
      <c r="AM97" s="88">
        <f t="shared" si="38"/>
        <v>1377.6923076923078</v>
      </c>
      <c r="AN97" s="88">
        <f t="shared" si="38"/>
        <v>646.15384615384619</v>
      </c>
      <c r="AO97" s="88">
        <f t="shared" si="38"/>
        <v>1111.1538461538462</v>
      </c>
      <c r="AP97" s="88">
        <f t="shared" si="38"/>
        <v>1138.846153846154</v>
      </c>
      <c r="AQ97" s="88">
        <f t="shared" si="38"/>
        <v>1185.0000000000002</v>
      </c>
      <c r="AR97" s="88">
        <f t="shared" si="38"/>
        <v>769.61538461538476</v>
      </c>
    </row>
    <row r="98" spans="1:46" s="98" customFormat="1" ht="13" hidden="1" outlineLevel="3" x14ac:dyDescent="0.35">
      <c r="A98" s="89" t="s">
        <v>106</v>
      </c>
      <c r="B98" s="90" t="s">
        <v>20</v>
      </c>
      <c r="C98" s="93">
        <f>200/117</f>
        <v>1.7094017094017093</v>
      </c>
      <c r="D98" s="92"/>
      <c r="E98" s="92"/>
      <c r="F98" s="92"/>
      <c r="G98" s="92"/>
      <c r="H98" s="92"/>
      <c r="I98" s="92"/>
      <c r="J98" s="92"/>
      <c r="K98" s="92"/>
      <c r="L98" s="92"/>
      <c r="M98" s="92">
        <v>200</v>
      </c>
      <c r="N98" s="92"/>
      <c r="O98" s="92">
        <v>50</v>
      </c>
      <c r="P98" s="92"/>
      <c r="Q98" s="92"/>
      <c r="R98" s="92"/>
      <c r="S98" s="92"/>
      <c r="T98" s="93">
        <v>1</v>
      </c>
      <c r="U98" s="93">
        <f t="shared" si="33"/>
        <v>21.456666666666667</v>
      </c>
      <c r="V98" s="107">
        <v>22</v>
      </c>
      <c r="W98" s="107">
        <v>21.25</v>
      </c>
      <c r="X98" s="107">
        <v>21.12</v>
      </c>
      <c r="Y98" s="92">
        <v>81</v>
      </c>
      <c r="Z98" s="92">
        <f>C98/$T98*$U98</f>
        <v>36.67806267806268</v>
      </c>
      <c r="AA98" s="95" t="s">
        <v>325</v>
      </c>
      <c r="AB98" s="97">
        <f>SUM(AC98:AR98)</f>
        <v>69413.233618233615</v>
      </c>
      <c r="AC98" s="88">
        <f t="shared" si="38"/>
        <v>4339.0148148148146</v>
      </c>
      <c r="AD98" s="88">
        <f t="shared" si="38"/>
        <v>7823.4307692307702</v>
      </c>
      <c r="AE98" s="88">
        <f t="shared" si="38"/>
        <v>3422.0632478632479</v>
      </c>
      <c r="AF98" s="88">
        <f t="shared" si="38"/>
        <v>2750.8547008547012</v>
      </c>
      <c r="AG98" s="88">
        <f t="shared" si="38"/>
        <v>7629.0370370370374</v>
      </c>
      <c r="AH98" s="88">
        <f t="shared" si="38"/>
        <v>3693.480911680912</v>
      </c>
      <c r="AI98" s="88">
        <f t="shared" si="38"/>
        <v>3279.0188034188041</v>
      </c>
      <c r="AJ98" s="88">
        <f t="shared" si="38"/>
        <v>4401.3675213675215</v>
      </c>
      <c r="AK98" s="88">
        <f t="shared" si="38"/>
        <v>7948.1361823361822</v>
      </c>
      <c r="AL98" s="88">
        <f t="shared" si="38"/>
        <v>4328.0113960113958</v>
      </c>
      <c r="AM98" s="88">
        <f t="shared" si="38"/>
        <v>4379.360683760684</v>
      </c>
      <c r="AN98" s="88">
        <f t="shared" si="38"/>
        <v>2053.9715099715099</v>
      </c>
      <c r="AO98" s="88">
        <f t="shared" si="38"/>
        <v>3532.0974358974358</v>
      </c>
      <c r="AP98" s="88">
        <f t="shared" si="38"/>
        <v>3620.1247863247868</v>
      </c>
      <c r="AQ98" s="88">
        <f t="shared" si="38"/>
        <v>3766.8370370370376</v>
      </c>
      <c r="AR98" s="88">
        <f t="shared" si="38"/>
        <v>2446.4267806267808</v>
      </c>
    </row>
    <row r="99" spans="1:46" ht="52" outlineLevel="1" x14ac:dyDescent="0.35">
      <c r="A99" s="86" t="s">
        <v>7</v>
      </c>
      <c r="B99" s="87" t="s">
        <v>3</v>
      </c>
      <c r="C99" s="83" t="s">
        <v>3</v>
      </c>
      <c r="D99" s="83" t="s">
        <v>3</v>
      </c>
      <c r="E99" s="83" t="s">
        <v>3</v>
      </c>
      <c r="F99" s="83" t="s">
        <v>3</v>
      </c>
      <c r="G99" s="83" t="s">
        <v>3</v>
      </c>
      <c r="H99" s="83" t="s">
        <v>3</v>
      </c>
      <c r="I99" s="83" t="s">
        <v>3</v>
      </c>
      <c r="J99" s="83" t="s">
        <v>3</v>
      </c>
      <c r="K99" s="83" t="s">
        <v>3</v>
      </c>
      <c r="L99" s="83" t="s">
        <v>3</v>
      </c>
      <c r="M99" s="83" t="s">
        <v>3</v>
      </c>
      <c r="N99" s="83" t="s">
        <v>3</v>
      </c>
      <c r="O99" s="83" t="s">
        <v>3</v>
      </c>
      <c r="P99" s="83" t="s">
        <v>3</v>
      </c>
      <c r="Q99" s="83" t="s">
        <v>3</v>
      </c>
      <c r="R99" s="83" t="s">
        <v>3</v>
      </c>
      <c r="S99" s="83" t="s">
        <v>3</v>
      </c>
      <c r="T99" s="83" t="s">
        <v>3</v>
      </c>
      <c r="U99" s="83" t="s">
        <v>3</v>
      </c>
      <c r="V99" s="83" t="s">
        <v>3</v>
      </c>
      <c r="W99" s="83" t="s">
        <v>3</v>
      </c>
      <c r="X99" s="83" t="s">
        <v>3</v>
      </c>
      <c r="Y99" s="83" t="s">
        <v>3</v>
      </c>
      <c r="Z99" s="83" t="s">
        <v>3</v>
      </c>
      <c r="AA99" s="83" t="s">
        <v>3</v>
      </c>
      <c r="AB99" s="84">
        <f>SUM(AC99:AR99)</f>
        <v>5395231.6233726526</v>
      </c>
      <c r="AC99" s="88">
        <f>AC100+AC111+AC133+AC173+AC189+AC193</f>
        <v>337255.4298784596</v>
      </c>
      <c r="AD99" s="88">
        <f t="shared" ref="AD99:AR99" si="39">AD100+AD111+AD133+AD173+AD189+AD193</f>
        <v>608086.07940046862</v>
      </c>
      <c r="AE99" s="88">
        <f t="shared" si="39"/>
        <v>265984.2063200362</v>
      </c>
      <c r="AF99" s="88">
        <f t="shared" si="39"/>
        <v>213813.67067527026</v>
      </c>
      <c r="AG99" s="88">
        <f t="shared" si="39"/>
        <v>592976.58000608289</v>
      </c>
      <c r="AH99" s="88">
        <f t="shared" si="39"/>
        <v>287080.48849332955</v>
      </c>
      <c r="AI99" s="88">
        <f t="shared" si="39"/>
        <v>254865.89544492209</v>
      </c>
      <c r="AJ99" s="88">
        <f t="shared" si="39"/>
        <v>342101.87308043236</v>
      </c>
      <c r="AK99" s="88">
        <f t="shared" si="39"/>
        <v>617778.96580441413</v>
      </c>
      <c r="AL99" s="88">
        <f t="shared" si="39"/>
        <v>336400.17519575852</v>
      </c>
      <c r="AM99" s="88">
        <f t="shared" si="39"/>
        <v>340391.36371503025</v>
      </c>
      <c r="AN99" s="88">
        <f t="shared" si="39"/>
        <v>159647.54077086845</v>
      </c>
      <c r="AO99" s="88">
        <f t="shared" si="39"/>
        <v>274536.75314704695</v>
      </c>
      <c r="AP99" s="88">
        <f t="shared" si="39"/>
        <v>281378.7906086556</v>
      </c>
      <c r="AQ99" s="88">
        <f t="shared" si="39"/>
        <v>292782.18637800345</v>
      </c>
      <c r="AR99" s="88">
        <f t="shared" si="39"/>
        <v>190151.62445387366</v>
      </c>
      <c r="AT99" s="85"/>
    </row>
    <row r="100" spans="1:46" s="103" customFormat="1" ht="26" outlineLevel="2" collapsed="1" x14ac:dyDescent="0.35">
      <c r="A100" s="101" t="s">
        <v>301</v>
      </c>
      <c r="B100" s="102" t="s">
        <v>3</v>
      </c>
      <c r="C100" s="102" t="s">
        <v>3</v>
      </c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102" t="s">
        <v>3</v>
      </c>
      <c r="U100" s="102" t="s">
        <v>3</v>
      </c>
      <c r="V100" s="102" t="s">
        <v>3</v>
      </c>
      <c r="W100" s="102" t="s">
        <v>3</v>
      </c>
      <c r="X100" s="102" t="s">
        <v>3</v>
      </c>
      <c r="Y100" s="102" t="s">
        <v>3</v>
      </c>
      <c r="Z100" s="102" t="s">
        <v>3</v>
      </c>
      <c r="AA100" s="102" t="s">
        <v>3</v>
      </c>
      <c r="AB100" s="92">
        <f>SUM(AB101:AB110)</f>
        <v>3142297.0211795159</v>
      </c>
      <c r="AC100" s="92">
        <f t="shared" ref="AC100:AR100" si="40">SUM(AC101:AC110)</f>
        <v>196424.6962248543</v>
      </c>
      <c r="AD100" s="92">
        <f t="shared" si="40"/>
        <v>354162.19530652103</v>
      </c>
      <c r="AE100" s="92">
        <f t="shared" si="40"/>
        <v>154914.82804546834</v>
      </c>
      <c r="AF100" s="92">
        <f t="shared" si="40"/>
        <v>124529.60453815786</v>
      </c>
      <c r="AG100" s="92">
        <f t="shared" si="40"/>
        <v>345362.1032524911</v>
      </c>
      <c r="AH100" s="92">
        <f t="shared" si="40"/>
        <v>167201.74902656666</v>
      </c>
      <c r="AI100" s="92">
        <f t="shared" si="40"/>
        <v>148439.28860948412</v>
      </c>
      <c r="AJ100" s="92">
        <f t="shared" si="40"/>
        <v>199247.36726105257</v>
      </c>
      <c r="AK100" s="92">
        <f t="shared" si="40"/>
        <v>359807.53737891745</v>
      </c>
      <c r="AL100" s="92">
        <f t="shared" si="40"/>
        <v>195926.57780670168</v>
      </c>
      <c r="AM100" s="92">
        <f t="shared" si="40"/>
        <v>198251.13042474736</v>
      </c>
      <c r="AN100" s="92">
        <f t="shared" si="40"/>
        <v>92982.104721824537</v>
      </c>
      <c r="AO100" s="92">
        <f t="shared" si="40"/>
        <v>159896.01222699467</v>
      </c>
      <c r="AP100" s="92">
        <f t="shared" si="40"/>
        <v>163880.95957221574</v>
      </c>
      <c r="AQ100" s="92">
        <f t="shared" si="40"/>
        <v>170522.53848091749</v>
      </c>
      <c r="AR100" s="92">
        <f t="shared" si="40"/>
        <v>110748.32830260172</v>
      </c>
    </row>
    <row r="101" spans="1:46" s="98" customFormat="1" ht="13" hidden="1" outlineLevel="3" x14ac:dyDescent="0.35">
      <c r="A101" s="89" t="s">
        <v>8</v>
      </c>
      <c r="B101" s="90" t="s">
        <v>310</v>
      </c>
      <c r="C101" s="93">
        <f>34/117</f>
        <v>0.29059829059829062</v>
      </c>
      <c r="D101" s="92">
        <v>30</v>
      </c>
      <c r="E101" s="92">
        <v>50</v>
      </c>
      <c r="F101" s="92">
        <v>40</v>
      </c>
      <c r="G101" s="92">
        <v>33</v>
      </c>
      <c r="H101" s="92">
        <v>60</v>
      </c>
      <c r="I101" s="92"/>
      <c r="J101" s="92">
        <v>30</v>
      </c>
      <c r="K101" s="92">
        <v>36</v>
      </c>
      <c r="L101" s="92">
        <v>51</v>
      </c>
      <c r="M101" s="92">
        <v>34</v>
      </c>
      <c r="N101" s="92">
        <v>38</v>
      </c>
      <c r="O101" s="92">
        <v>22</v>
      </c>
      <c r="P101" s="92"/>
      <c r="Q101" s="92">
        <v>34</v>
      </c>
      <c r="R101" s="92">
        <v>28</v>
      </c>
      <c r="S101" s="92">
        <v>24</v>
      </c>
      <c r="T101" s="93">
        <v>1</v>
      </c>
      <c r="U101" s="93">
        <f t="shared" ref="U101:U110" si="41">AVERAGE(V101:X101)</f>
        <v>3557.5</v>
      </c>
      <c r="V101" s="107">
        <v>4252.5</v>
      </c>
      <c r="W101" s="107">
        <v>3250</v>
      </c>
      <c r="X101" s="107">
        <v>3170</v>
      </c>
      <c r="Y101" s="92">
        <v>82</v>
      </c>
      <c r="Z101" s="92">
        <f t="shared" ref="Z101:Z110" si="42">C101/$T101*$U101</f>
        <v>1033.8034188034189</v>
      </c>
      <c r="AA101" s="95" t="s">
        <v>307</v>
      </c>
      <c r="AB101" s="97">
        <f t="shared" ref="AB101:AB110" si="43">SUM(AC101:AR101)</f>
        <v>1956472.9700854705</v>
      </c>
      <c r="AC101" s="88">
        <f t="shared" ref="AC101:AR110" si="44">$Z101*AC$2</f>
        <v>122298.94444444445</v>
      </c>
      <c r="AD101" s="88">
        <f t="shared" si="44"/>
        <v>220510.26923076928</v>
      </c>
      <c r="AE101" s="88">
        <f t="shared" si="44"/>
        <v>96453.858974358984</v>
      </c>
      <c r="AF101" s="88">
        <f t="shared" si="44"/>
        <v>77535.256410256421</v>
      </c>
      <c r="AG101" s="88">
        <f t="shared" si="44"/>
        <v>215031.11111111112</v>
      </c>
      <c r="AH101" s="88">
        <f t="shared" si="44"/>
        <v>104104.0042735043</v>
      </c>
      <c r="AI101" s="88">
        <f t="shared" si="44"/>
        <v>92422.025641025655</v>
      </c>
      <c r="AJ101" s="88">
        <f t="shared" si="44"/>
        <v>124056.41025641028</v>
      </c>
      <c r="AK101" s="88">
        <f t="shared" si="44"/>
        <v>224025.20085470087</v>
      </c>
      <c r="AL101" s="88">
        <f t="shared" si="44"/>
        <v>121988.80341880344</v>
      </c>
      <c r="AM101" s="88">
        <f t="shared" si="44"/>
        <v>123436.12820512823</v>
      </c>
      <c r="AN101" s="88">
        <f t="shared" si="44"/>
        <v>57892.99145299146</v>
      </c>
      <c r="AO101" s="88">
        <f t="shared" si="44"/>
        <v>99555.269230769234</v>
      </c>
      <c r="AP101" s="88">
        <f t="shared" si="44"/>
        <v>102036.39743589745</v>
      </c>
      <c r="AQ101" s="88">
        <f t="shared" si="44"/>
        <v>106171.61111111112</v>
      </c>
      <c r="AR101" s="88">
        <f t="shared" si="44"/>
        <v>68954.688034188046</v>
      </c>
    </row>
    <row r="102" spans="1:46" s="98" customFormat="1" ht="26" hidden="1" outlineLevel="3" x14ac:dyDescent="0.35">
      <c r="A102" s="89" t="s">
        <v>9</v>
      </c>
      <c r="B102" s="90" t="s">
        <v>310</v>
      </c>
      <c r="C102" s="93">
        <f>4/117</f>
        <v>3.4188034188034191E-2</v>
      </c>
      <c r="D102" s="92"/>
      <c r="E102" s="92">
        <v>4</v>
      </c>
      <c r="F102" s="92">
        <v>2</v>
      </c>
      <c r="G102" s="92"/>
      <c r="H102" s="92">
        <v>20</v>
      </c>
      <c r="I102" s="92"/>
      <c r="J102" s="92">
        <v>3</v>
      </c>
      <c r="K102" s="92"/>
      <c r="L102" s="92">
        <v>4</v>
      </c>
      <c r="M102" s="92">
        <v>4</v>
      </c>
      <c r="N102" s="92"/>
      <c r="O102" s="92">
        <v>6</v>
      </c>
      <c r="P102" s="92"/>
      <c r="Q102" s="92">
        <v>5</v>
      </c>
      <c r="R102" s="92"/>
      <c r="S102" s="92"/>
      <c r="T102" s="93">
        <v>1</v>
      </c>
      <c r="U102" s="93">
        <f t="shared" si="41"/>
        <v>3557.5</v>
      </c>
      <c r="V102" s="107">
        <v>4252.5</v>
      </c>
      <c r="W102" s="107">
        <v>3250</v>
      </c>
      <c r="X102" s="107">
        <v>3170</v>
      </c>
      <c r="Y102" s="92">
        <v>83</v>
      </c>
      <c r="Z102" s="92">
        <f t="shared" si="42"/>
        <v>121.62393162393164</v>
      </c>
      <c r="AA102" s="95" t="s">
        <v>288</v>
      </c>
      <c r="AB102" s="97">
        <f t="shared" si="43"/>
        <v>230173.29059829065</v>
      </c>
      <c r="AC102" s="88">
        <f t="shared" si="44"/>
        <v>14388.111111111113</v>
      </c>
      <c r="AD102" s="88">
        <f t="shared" si="44"/>
        <v>25942.384615384621</v>
      </c>
      <c r="AE102" s="88">
        <f t="shared" si="44"/>
        <v>11347.512820512822</v>
      </c>
      <c r="AF102" s="88">
        <f t="shared" si="44"/>
        <v>9121.794871794873</v>
      </c>
      <c r="AG102" s="88">
        <f t="shared" si="44"/>
        <v>25297.777777777781</v>
      </c>
      <c r="AH102" s="88">
        <f t="shared" si="44"/>
        <v>12247.529914529916</v>
      </c>
      <c r="AI102" s="88">
        <f t="shared" si="44"/>
        <v>10873.17948717949</v>
      </c>
      <c r="AJ102" s="88">
        <f t="shared" si="44"/>
        <v>14594.871794871797</v>
      </c>
      <c r="AK102" s="88">
        <f t="shared" si="44"/>
        <v>26355.905982905984</v>
      </c>
      <c r="AL102" s="88">
        <f t="shared" si="44"/>
        <v>14351.623931623933</v>
      </c>
      <c r="AM102" s="88">
        <f t="shared" si="44"/>
        <v>14521.897435897439</v>
      </c>
      <c r="AN102" s="88">
        <f t="shared" si="44"/>
        <v>6810.9401709401718</v>
      </c>
      <c r="AO102" s="88">
        <f t="shared" si="44"/>
        <v>11712.384615384617</v>
      </c>
      <c r="AP102" s="88">
        <f t="shared" si="44"/>
        <v>12004.282051282053</v>
      </c>
      <c r="AQ102" s="88">
        <f t="shared" si="44"/>
        <v>12490.777777777779</v>
      </c>
      <c r="AR102" s="88">
        <f t="shared" si="44"/>
        <v>8112.3162393162411</v>
      </c>
    </row>
    <row r="103" spans="1:46" s="98" customFormat="1" ht="26" hidden="1" outlineLevel="3" x14ac:dyDescent="0.35">
      <c r="A103" s="89" t="s">
        <v>11</v>
      </c>
      <c r="B103" s="90" t="s">
        <v>310</v>
      </c>
      <c r="C103" s="93">
        <f>12/117</f>
        <v>0.10256410256410256</v>
      </c>
      <c r="D103" s="92">
        <v>22</v>
      </c>
      <c r="E103" s="92">
        <v>18</v>
      </c>
      <c r="F103" s="92">
        <v>12</v>
      </c>
      <c r="G103" s="92">
        <v>10</v>
      </c>
      <c r="H103" s="92">
        <v>62</v>
      </c>
      <c r="I103" s="92">
        <v>9</v>
      </c>
      <c r="J103" s="92">
        <v>10</v>
      </c>
      <c r="K103" s="92"/>
      <c r="L103" s="92">
        <v>4</v>
      </c>
      <c r="M103" s="92">
        <v>12</v>
      </c>
      <c r="N103" s="92"/>
      <c r="O103" s="92">
        <v>20</v>
      </c>
      <c r="P103" s="92">
        <v>6</v>
      </c>
      <c r="Q103" s="92">
        <v>20</v>
      </c>
      <c r="R103" s="92">
        <v>12</v>
      </c>
      <c r="S103" s="92">
        <v>10</v>
      </c>
      <c r="T103" s="93">
        <v>1</v>
      </c>
      <c r="U103" s="93">
        <f t="shared" si="41"/>
        <v>494</v>
      </c>
      <c r="V103" s="107">
        <v>494</v>
      </c>
      <c r="W103" s="107"/>
      <c r="X103" s="107"/>
      <c r="Y103" s="92">
        <v>84</v>
      </c>
      <c r="Z103" s="92">
        <f t="shared" si="42"/>
        <v>50.666666666666664</v>
      </c>
      <c r="AA103" s="95" t="s">
        <v>308</v>
      </c>
      <c r="AB103" s="97">
        <f t="shared" si="43"/>
        <v>95886.666666666657</v>
      </c>
      <c r="AC103" s="88">
        <f t="shared" si="44"/>
        <v>5993.8666666666659</v>
      </c>
      <c r="AD103" s="88">
        <f t="shared" si="44"/>
        <v>10807.2</v>
      </c>
      <c r="AE103" s="88">
        <f t="shared" si="44"/>
        <v>4727.2</v>
      </c>
      <c r="AF103" s="88">
        <f t="shared" si="44"/>
        <v>3800</v>
      </c>
      <c r="AG103" s="88">
        <f t="shared" si="44"/>
        <v>10538.666666666666</v>
      </c>
      <c r="AH103" s="88">
        <f t="shared" si="44"/>
        <v>5102.1333333333332</v>
      </c>
      <c r="AI103" s="88">
        <f t="shared" si="44"/>
        <v>4529.6000000000004</v>
      </c>
      <c r="AJ103" s="88">
        <f t="shared" si="44"/>
        <v>6080</v>
      </c>
      <c r="AK103" s="88">
        <f t="shared" si="44"/>
        <v>10979.466666666665</v>
      </c>
      <c r="AL103" s="88">
        <f t="shared" si="44"/>
        <v>5978.6666666666661</v>
      </c>
      <c r="AM103" s="88">
        <f t="shared" si="44"/>
        <v>6049.6</v>
      </c>
      <c r="AN103" s="88">
        <f t="shared" si="44"/>
        <v>2837.333333333333</v>
      </c>
      <c r="AO103" s="88">
        <f t="shared" si="44"/>
        <v>4879.2</v>
      </c>
      <c r="AP103" s="88">
        <f t="shared" si="44"/>
        <v>5000.8</v>
      </c>
      <c r="AQ103" s="88">
        <f t="shared" si="44"/>
        <v>5203.4666666666662</v>
      </c>
      <c r="AR103" s="88">
        <f t="shared" si="44"/>
        <v>3379.4666666666667</v>
      </c>
    </row>
    <row r="104" spans="1:46" s="98" customFormat="1" ht="13" hidden="1" outlineLevel="3" x14ac:dyDescent="0.35">
      <c r="A104" s="113" t="s">
        <v>202</v>
      </c>
      <c r="B104" s="90" t="s">
        <v>494</v>
      </c>
      <c r="C104" s="93">
        <f>726/216.7</f>
        <v>3.3502538071065993</v>
      </c>
      <c r="D104" s="92">
        <v>730.5</v>
      </c>
      <c r="E104" s="92">
        <v>400</v>
      </c>
      <c r="F104" s="92">
        <v>277</v>
      </c>
      <c r="G104" s="92">
        <v>325</v>
      </c>
      <c r="H104" s="92">
        <v>780</v>
      </c>
      <c r="I104" s="92">
        <v>325</v>
      </c>
      <c r="J104" s="92">
        <v>325</v>
      </c>
      <c r="K104" s="92">
        <v>325</v>
      </c>
      <c r="L104" s="92">
        <v>726</v>
      </c>
      <c r="M104" s="92">
        <v>726</v>
      </c>
      <c r="N104" s="92">
        <v>325</v>
      </c>
      <c r="O104" s="92"/>
      <c r="P104" s="92"/>
      <c r="Q104" s="92">
        <v>796</v>
      </c>
      <c r="R104" s="92">
        <v>636</v>
      </c>
      <c r="S104" s="92">
        <v>165</v>
      </c>
      <c r="T104" s="93">
        <v>1</v>
      </c>
      <c r="U104" s="93">
        <f t="shared" si="41"/>
        <v>48.77</v>
      </c>
      <c r="V104" s="107">
        <v>48.77</v>
      </c>
      <c r="W104" s="107"/>
      <c r="X104" s="107"/>
      <c r="Y104" s="92">
        <v>85</v>
      </c>
      <c r="Z104" s="92">
        <f t="shared" si="42"/>
        <v>163.39187817258886</v>
      </c>
      <c r="AA104" s="95" t="s">
        <v>470</v>
      </c>
      <c r="AB104" s="97">
        <f t="shared" si="43"/>
        <v>309219.12944162445</v>
      </c>
      <c r="AC104" s="88">
        <f t="shared" si="44"/>
        <v>19329.259187817261</v>
      </c>
      <c r="AD104" s="88">
        <f t="shared" si="44"/>
        <v>34851.487614213205</v>
      </c>
      <c r="AE104" s="88">
        <f t="shared" si="44"/>
        <v>15244.46223350254</v>
      </c>
      <c r="AF104" s="88">
        <f t="shared" si="44"/>
        <v>12254.390862944165</v>
      </c>
      <c r="AG104" s="88">
        <f t="shared" si="44"/>
        <v>33985.510659898486</v>
      </c>
      <c r="AH104" s="88">
        <f t="shared" si="44"/>
        <v>16453.562131979699</v>
      </c>
      <c r="AI104" s="88">
        <f t="shared" si="44"/>
        <v>14607.233908629445</v>
      </c>
      <c r="AJ104" s="88">
        <f t="shared" si="44"/>
        <v>19607.025380710664</v>
      </c>
      <c r="AK104" s="88">
        <f t="shared" si="44"/>
        <v>35407.020000000004</v>
      </c>
      <c r="AL104" s="88">
        <f t="shared" si="44"/>
        <v>19280.241624365484</v>
      </c>
      <c r="AM104" s="88">
        <f t="shared" si="44"/>
        <v>19508.990253807111</v>
      </c>
      <c r="AN104" s="88">
        <f t="shared" si="44"/>
        <v>9149.9451776649767</v>
      </c>
      <c r="AO104" s="88">
        <f t="shared" si="44"/>
        <v>15734.637868020307</v>
      </c>
      <c r="AP104" s="88">
        <f t="shared" si="44"/>
        <v>16126.778375634522</v>
      </c>
      <c r="AQ104" s="88">
        <f t="shared" si="44"/>
        <v>16780.345888324875</v>
      </c>
      <c r="AR104" s="88">
        <f t="shared" si="44"/>
        <v>10898.238274111678</v>
      </c>
    </row>
    <row r="105" spans="1:46" s="106" customFormat="1" ht="14" hidden="1" outlineLevel="3" x14ac:dyDescent="0.35">
      <c r="A105" s="89" t="s">
        <v>14</v>
      </c>
      <c r="B105" s="90" t="s">
        <v>310</v>
      </c>
      <c r="C105" s="93">
        <f>2/117</f>
        <v>1.7094017094017096E-2</v>
      </c>
      <c r="D105" s="92"/>
      <c r="E105" s="92">
        <v>2</v>
      </c>
      <c r="F105" s="92"/>
      <c r="G105" s="92">
        <v>3</v>
      </c>
      <c r="H105" s="92"/>
      <c r="I105" s="92"/>
      <c r="J105" s="92"/>
      <c r="K105" s="92">
        <v>1</v>
      </c>
      <c r="L105" s="92"/>
      <c r="M105" s="92">
        <v>2</v>
      </c>
      <c r="N105" s="92">
        <v>1</v>
      </c>
      <c r="O105" s="92"/>
      <c r="P105" s="92"/>
      <c r="Q105" s="92">
        <v>3</v>
      </c>
      <c r="R105" s="92"/>
      <c r="S105" s="92"/>
      <c r="T105" s="93">
        <v>1</v>
      </c>
      <c r="U105" s="93">
        <f t="shared" si="41"/>
        <v>3333.3333333333335</v>
      </c>
      <c r="V105" s="111">
        <v>2500</v>
      </c>
      <c r="W105" s="111">
        <v>6000</v>
      </c>
      <c r="X105" s="111">
        <v>1500</v>
      </c>
      <c r="Y105" s="92">
        <v>86</v>
      </c>
      <c r="Z105" s="92">
        <f t="shared" si="42"/>
        <v>56.980056980056986</v>
      </c>
      <c r="AA105" s="95" t="s">
        <v>288</v>
      </c>
      <c r="AB105" s="97">
        <f t="shared" si="43"/>
        <v>107834.75783475787</v>
      </c>
      <c r="AC105" s="88">
        <f t="shared" si="44"/>
        <v>6740.7407407407409</v>
      </c>
      <c r="AD105" s="88">
        <f t="shared" si="44"/>
        <v>12153.846153846156</v>
      </c>
      <c r="AE105" s="88">
        <f t="shared" si="44"/>
        <v>5316.2393162393164</v>
      </c>
      <c r="AF105" s="88">
        <f t="shared" si="44"/>
        <v>4273.5042735042744</v>
      </c>
      <c r="AG105" s="88">
        <f t="shared" si="44"/>
        <v>11851.851851851854</v>
      </c>
      <c r="AH105" s="88">
        <f t="shared" si="44"/>
        <v>5737.8917378917386</v>
      </c>
      <c r="AI105" s="88">
        <f t="shared" si="44"/>
        <v>5094.0170940170947</v>
      </c>
      <c r="AJ105" s="88">
        <f t="shared" si="44"/>
        <v>6837.6068376068379</v>
      </c>
      <c r="AK105" s="88">
        <f t="shared" si="44"/>
        <v>12347.578347578348</v>
      </c>
      <c r="AL105" s="88">
        <f t="shared" si="44"/>
        <v>6723.6467236467242</v>
      </c>
      <c r="AM105" s="88">
        <f t="shared" si="44"/>
        <v>6803.4188034188046</v>
      </c>
      <c r="AN105" s="88">
        <f t="shared" si="44"/>
        <v>3190.8831908831912</v>
      </c>
      <c r="AO105" s="88">
        <f t="shared" si="44"/>
        <v>5487.1794871794873</v>
      </c>
      <c r="AP105" s="88">
        <f t="shared" si="44"/>
        <v>5623.9316239316249</v>
      </c>
      <c r="AQ105" s="88">
        <f t="shared" si="44"/>
        <v>5851.8518518518522</v>
      </c>
      <c r="AR105" s="88">
        <f t="shared" si="44"/>
        <v>3800.5698005698009</v>
      </c>
    </row>
    <row r="106" spans="1:46" s="106" customFormat="1" ht="14" hidden="1" outlineLevel="3" x14ac:dyDescent="0.35">
      <c r="A106" s="89" t="s">
        <v>15</v>
      </c>
      <c r="B106" s="90" t="s">
        <v>310</v>
      </c>
      <c r="C106" s="93">
        <f>1/90</f>
        <v>1.1111111111111112E-2</v>
      </c>
      <c r="D106" s="92">
        <v>1</v>
      </c>
      <c r="E106" s="92"/>
      <c r="F106" s="92">
        <v>1</v>
      </c>
      <c r="G106" s="92">
        <v>2</v>
      </c>
      <c r="H106" s="92"/>
      <c r="I106" s="92"/>
      <c r="J106" s="92">
        <v>1</v>
      </c>
      <c r="K106" s="92">
        <v>1</v>
      </c>
      <c r="L106" s="92"/>
      <c r="M106" s="92"/>
      <c r="N106" s="92">
        <v>1</v>
      </c>
      <c r="O106" s="92"/>
      <c r="P106" s="92">
        <v>1</v>
      </c>
      <c r="Q106" s="92"/>
      <c r="R106" s="92"/>
      <c r="S106" s="92"/>
      <c r="T106" s="93">
        <v>1</v>
      </c>
      <c r="U106" s="93">
        <f t="shared" si="41"/>
        <v>7433.333333333333</v>
      </c>
      <c r="V106" s="92">
        <v>4900</v>
      </c>
      <c r="W106" s="92">
        <v>11900</v>
      </c>
      <c r="X106" s="92">
        <v>5500</v>
      </c>
      <c r="Y106" s="92">
        <v>87</v>
      </c>
      <c r="Z106" s="92">
        <f t="shared" si="42"/>
        <v>82.592592592592595</v>
      </c>
      <c r="AA106" s="95" t="s">
        <v>297</v>
      </c>
      <c r="AB106" s="97">
        <f t="shared" si="43"/>
        <v>156306.48148148149</v>
      </c>
      <c r="AC106" s="88">
        <f t="shared" si="44"/>
        <v>9770.7037037037044</v>
      </c>
      <c r="AD106" s="88">
        <f t="shared" si="44"/>
        <v>17617</v>
      </c>
      <c r="AE106" s="88">
        <f t="shared" si="44"/>
        <v>7705.8888888888887</v>
      </c>
      <c r="AF106" s="88">
        <f t="shared" si="44"/>
        <v>6194.4444444444443</v>
      </c>
      <c r="AG106" s="88">
        <f t="shared" si="44"/>
        <v>17179.259259259259</v>
      </c>
      <c r="AH106" s="88">
        <f t="shared" si="44"/>
        <v>8317.0740740740748</v>
      </c>
      <c r="AI106" s="88">
        <f t="shared" si="44"/>
        <v>7383.7777777777783</v>
      </c>
      <c r="AJ106" s="88">
        <f t="shared" si="44"/>
        <v>9911.1111111111113</v>
      </c>
      <c r="AK106" s="88">
        <f t="shared" si="44"/>
        <v>17897.814814814814</v>
      </c>
      <c r="AL106" s="88">
        <f t="shared" si="44"/>
        <v>9745.925925925927</v>
      </c>
      <c r="AM106" s="88">
        <f t="shared" si="44"/>
        <v>9861.5555555555566</v>
      </c>
      <c r="AN106" s="88">
        <f t="shared" si="44"/>
        <v>4625.1851851851852</v>
      </c>
      <c r="AO106" s="88">
        <f t="shared" si="44"/>
        <v>7953.666666666667</v>
      </c>
      <c r="AP106" s="88">
        <f t="shared" si="44"/>
        <v>8151.8888888888896</v>
      </c>
      <c r="AQ106" s="88">
        <f t="shared" si="44"/>
        <v>8482.2592592592591</v>
      </c>
      <c r="AR106" s="88">
        <f t="shared" si="44"/>
        <v>5508.9259259259261</v>
      </c>
    </row>
    <row r="107" spans="1:46" s="106" customFormat="1" ht="26" hidden="1" outlineLevel="3" x14ac:dyDescent="0.35">
      <c r="A107" s="89" t="s">
        <v>16</v>
      </c>
      <c r="B107" s="90" t="s">
        <v>310</v>
      </c>
      <c r="C107" s="93">
        <f>2/90</f>
        <v>2.2222222222222223E-2</v>
      </c>
      <c r="D107" s="92"/>
      <c r="E107" s="92"/>
      <c r="F107" s="92"/>
      <c r="G107" s="92"/>
      <c r="H107" s="92"/>
      <c r="I107" s="92"/>
      <c r="J107" s="92">
        <v>2</v>
      </c>
      <c r="K107" s="92">
        <v>1</v>
      </c>
      <c r="L107" s="92">
        <v>2</v>
      </c>
      <c r="M107" s="92"/>
      <c r="N107" s="92"/>
      <c r="O107" s="92"/>
      <c r="P107" s="92"/>
      <c r="Q107" s="92"/>
      <c r="R107" s="92"/>
      <c r="S107" s="92"/>
      <c r="T107" s="93">
        <v>1</v>
      </c>
      <c r="U107" s="93">
        <f t="shared" si="41"/>
        <v>2233.3333333333335</v>
      </c>
      <c r="V107" s="92">
        <v>1800</v>
      </c>
      <c r="W107" s="92">
        <v>2500</v>
      </c>
      <c r="X107" s="92">
        <v>2400</v>
      </c>
      <c r="Y107" s="92">
        <v>88</v>
      </c>
      <c r="Z107" s="92">
        <f t="shared" si="42"/>
        <v>49.629629629629633</v>
      </c>
      <c r="AA107" s="95" t="s">
        <v>309</v>
      </c>
      <c r="AB107" s="97">
        <f t="shared" si="43"/>
        <v>93924.074074074058</v>
      </c>
      <c r="AC107" s="88">
        <f t="shared" si="44"/>
        <v>5871.1851851851852</v>
      </c>
      <c r="AD107" s="88">
        <f t="shared" si="44"/>
        <v>10586.000000000002</v>
      </c>
      <c r="AE107" s="88">
        <f t="shared" si="44"/>
        <v>4630.4444444444443</v>
      </c>
      <c r="AF107" s="88">
        <f t="shared" si="44"/>
        <v>3722.2222222222226</v>
      </c>
      <c r="AG107" s="88">
        <f t="shared" si="44"/>
        <v>10322.962962962964</v>
      </c>
      <c r="AH107" s="88">
        <f t="shared" si="44"/>
        <v>4997.7037037037044</v>
      </c>
      <c r="AI107" s="88">
        <f t="shared" si="44"/>
        <v>4436.8888888888896</v>
      </c>
      <c r="AJ107" s="88">
        <f t="shared" si="44"/>
        <v>5955.5555555555557</v>
      </c>
      <c r="AK107" s="88">
        <f t="shared" si="44"/>
        <v>10754.740740740741</v>
      </c>
      <c r="AL107" s="88">
        <f t="shared" si="44"/>
        <v>5856.2962962962965</v>
      </c>
      <c r="AM107" s="88">
        <f t="shared" si="44"/>
        <v>5925.7777777777783</v>
      </c>
      <c r="AN107" s="88">
        <f t="shared" si="44"/>
        <v>2779.2592592592596</v>
      </c>
      <c r="AO107" s="88">
        <f t="shared" si="44"/>
        <v>4779.3333333333339</v>
      </c>
      <c r="AP107" s="88">
        <f t="shared" si="44"/>
        <v>4898.4444444444453</v>
      </c>
      <c r="AQ107" s="88">
        <f t="shared" si="44"/>
        <v>5096.9629629629635</v>
      </c>
      <c r="AR107" s="88">
        <f t="shared" si="44"/>
        <v>3310.2962962962965</v>
      </c>
    </row>
    <row r="108" spans="1:46" s="106" customFormat="1" ht="26" hidden="1" outlineLevel="3" x14ac:dyDescent="0.35">
      <c r="A108" s="89" t="s">
        <v>17</v>
      </c>
      <c r="B108" s="90" t="s">
        <v>310</v>
      </c>
      <c r="C108" s="93">
        <f>1/90</f>
        <v>1.1111111111111112E-2</v>
      </c>
      <c r="D108" s="92"/>
      <c r="E108" s="92"/>
      <c r="F108" s="92"/>
      <c r="G108" s="92"/>
      <c r="H108" s="92"/>
      <c r="I108" s="92"/>
      <c r="J108" s="92">
        <v>1</v>
      </c>
      <c r="K108" s="92"/>
      <c r="L108" s="92"/>
      <c r="M108" s="92"/>
      <c r="N108" s="92"/>
      <c r="O108" s="92">
        <v>2</v>
      </c>
      <c r="P108" s="92"/>
      <c r="Q108" s="92"/>
      <c r="R108" s="92"/>
      <c r="S108" s="92"/>
      <c r="T108" s="93">
        <v>1</v>
      </c>
      <c r="U108" s="93">
        <f t="shared" si="41"/>
        <v>2150</v>
      </c>
      <c r="V108" s="107">
        <v>3000</v>
      </c>
      <c r="W108" s="107">
        <v>1300</v>
      </c>
      <c r="X108" s="107"/>
      <c r="Y108" s="92">
        <v>89</v>
      </c>
      <c r="Z108" s="92">
        <f t="shared" si="42"/>
        <v>23.888888888888889</v>
      </c>
      <c r="AA108" s="95" t="s">
        <v>297</v>
      </c>
      <c r="AB108" s="97">
        <f t="shared" si="43"/>
        <v>45209.722222222234</v>
      </c>
      <c r="AC108" s="88">
        <f t="shared" si="44"/>
        <v>2826.0555555555557</v>
      </c>
      <c r="AD108" s="88">
        <f t="shared" si="44"/>
        <v>5095.5</v>
      </c>
      <c r="AE108" s="88">
        <f t="shared" si="44"/>
        <v>2228.8333333333335</v>
      </c>
      <c r="AF108" s="88">
        <f t="shared" si="44"/>
        <v>1791.6666666666667</v>
      </c>
      <c r="AG108" s="88">
        <f t="shared" si="44"/>
        <v>4968.8888888888887</v>
      </c>
      <c r="AH108" s="88">
        <f t="shared" si="44"/>
        <v>2405.6111111111113</v>
      </c>
      <c r="AI108" s="88">
        <f t="shared" si="44"/>
        <v>2135.666666666667</v>
      </c>
      <c r="AJ108" s="88">
        <f t="shared" si="44"/>
        <v>2866.6666666666665</v>
      </c>
      <c r="AK108" s="88">
        <f t="shared" si="44"/>
        <v>5176.7222222222217</v>
      </c>
      <c r="AL108" s="88">
        <f t="shared" si="44"/>
        <v>2818.8888888888891</v>
      </c>
      <c r="AM108" s="88">
        <f t="shared" si="44"/>
        <v>2852.3333333333335</v>
      </c>
      <c r="AN108" s="88">
        <f t="shared" si="44"/>
        <v>1337.7777777777778</v>
      </c>
      <c r="AO108" s="88">
        <f t="shared" si="44"/>
        <v>2300.5</v>
      </c>
      <c r="AP108" s="88">
        <f t="shared" si="44"/>
        <v>2357.8333333333335</v>
      </c>
      <c r="AQ108" s="88">
        <f t="shared" si="44"/>
        <v>2453.3888888888891</v>
      </c>
      <c r="AR108" s="88">
        <f t="shared" si="44"/>
        <v>1593.3888888888889</v>
      </c>
    </row>
    <row r="109" spans="1:46" s="106" customFormat="1" ht="26" hidden="1" outlineLevel="3" x14ac:dyDescent="0.35">
      <c r="A109" s="89" t="s">
        <v>18</v>
      </c>
      <c r="B109" s="90" t="s">
        <v>310</v>
      </c>
      <c r="C109" s="93">
        <f>2/117</f>
        <v>1.7094017094017096E-2</v>
      </c>
      <c r="D109" s="92"/>
      <c r="E109" s="92"/>
      <c r="F109" s="92">
        <v>1</v>
      </c>
      <c r="G109" s="92">
        <v>2</v>
      </c>
      <c r="H109" s="92"/>
      <c r="I109" s="92"/>
      <c r="J109" s="92">
        <v>2</v>
      </c>
      <c r="K109" s="92"/>
      <c r="L109" s="92"/>
      <c r="M109" s="92">
        <v>2</v>
      </c>
      <c r="N109" s="92">
        <v>2</v>
      </c>
      <c r="O109" s="92"/>
      <c r="P109" s="92"/>
      <c r="Q109" s="92">
        <v>3</v>
      </c>
      <c r="R109" s="92"/>
      <c r="S109" s="92"/>
      <c r="T109" s="93">
        <v>1</v>
      </c>
      <c r="U109" s="93">
        <f t="shared" si="41"/>
        <v>3000</v>
      </c>
      <c r="V109" s="107">
        <v>3500</v>
      </c>
      <c r="W109" s="107">
        <v>2900</v>
      </c>
      <c r="X109" s="107">
        <v>2600</v>
      </c>
      <c r="Y109" s="92">
        <v>90</v>
      </c>
      <c r="Z109" s="92">
        <f t="shared" si="42"/>
        <v>51.282051282051285</v>
      </c>
      <c r="AA109" s="95" t="s">
        <v>288</v>
      </c>
      <c r="AB109" s="97">
        <f t="shared" si="43"/>
        <v>97051.282051282076</v>
      </c>
      <c r="AC109" s="88">
        <f t="shared" si="44"/>
        <v>6066.666666666667</v>
      </c>
      <c r="AD109" s="88">
        <f t="shared" si="44"/>
        <v>10938.461538461539</v>
      </c>
      <c r="AE109" s="88">
        <f t="shared" si="44"/>
        <v>4784.6153846153848</v>
      </c>
      <c r="AF109" s="88">
        <f t="shared" si="44"/>
        <v>3846.1538461538462</v>
      </c>
      <c r="AG109" s="88">
        <f t="shared" si="44"/>
        <v>10666.666666666668</v>
      </c>
      <c r="AH109" s="88">
        <f t="shared" si="44"/>
        <v>5164.1025641025644</v>
      </c>
      <c r="AI109" s="88">
        <f t="shared" si="44"/>
        <v>4584.6153846153848</v>
      </c>
      <c r="AJ109" s="88">
        <f t="shared" si="44"/>
        <v>6153.8461538461543</v>
      </c>
      <c r="AK109" s="88">
        <f t="shared" si="44"/>
        <v>11112.820512820514</v>
      </c>
      <c r="AL109" s="88">
        <f t="shared" si="44"/>
        <v>6051.2820512820517</v>
      </c>
      <c r="AM109" s="88">
        <f t="shared" si="44"/>
        <v>6123.0769230769238</v>
      </c>
      <c r="AN109" s="88">
        <f t="shared" si="44"/>
        <v>2871.7948717948721</v>
      </c>
      <c r="AO109" s="88">
        <f t="shared" si="44"/>
        <v>4938.4615384615381</v>
      </c>
      <c r="AP109" s="88">
        <f t="shared" si="44"/>
        <v>5061.5384615384619</v>
      </c>
      <c r="AQ109" s="88">
        <f t="shared" si="44"/>
        <v>5266.666666666667</v>
      </c>
      <c r="AR109" s="88">
        <f t="shared" si="44"/>
        <v>3420.5128205128208</v>
      </c>
    </row>
    <row r="110" spans="1:46" s="116" customFormat="1" ht="14" hidden="1" outlineLevel="3" x14ac:dyDescent="0.35">
      <c r="A110" s="114" t="s">
        <v>241</v>
      </c>
      <c r="B110" s="90" t="s">
        <v>310</v>
      </c>
      <c r="C110" s="93">
        <f>1/117</f>
        <v>8.5470085470085479E-3</v>
      </c>
      <c r="D110" s="92">
        <v>1</v>
      </c>
      <c r="E110" s="92">
        <v>1</v>
      </c>
      <c r="F110" s="92"/>
      <c r="G110" s="92"/>
      <c r="H110" s="92">
        <v>1</v>
      </c>
      <c r="I110" s="92">
        <v>1</v>
      </c>
      <c r="J110" s="92">
        <v>1</v>
      </c>
      <c r="K110" s="92">
        <v>1</v>
      </c>
      <c r="L110" s="92">
        <v>1</v>
      </c>
      <c r="M110" s="92">
        <v>1</v>
      </c>
      <c r="N110" s="92">
        <v>1</v>
      </c>
      <c r="O110" s="92">
        <v>1</v>
      </c>
      <c r="P110" s="92">
        <v>1</v>
      </c>
      <c r="Q110" s="92">
        <v>1</v>
      </c>
      <c r="R110" s="92">
        <v>1</v>
      </c>
      <c r="S110" s="92">
        <v>1</v>
      </c>
      <c r="T110" s="115">
        <v>1</v>
      </c>
      <c r="U110" s="93">
        <f t="shared" si="41"/>
        <v>3104.6666666666665</v>
      </c>
      <c r="V110" s="107">
        <v>2990</v>
      </c>
      <c r="W110" s="107">
        <v>2880</v>
      </c>
      <c r="X110" s="107">
        <v>3444</v>
      </c>
      <c r="Y110" s="92">
        <v>91</v>
      </c>
      <c r="Z110" s="92">
        <f t="shared" si="42"/>
        <v>26.535612535612536</v>
      </c>
      <c r="AA110" s="95" t="s">
        <v>276</v>
      </c>
      <c r="AB110" s="97">
        <f t="shared" si="43"/>
        <v>50218.646723646722</v>
      </c>
      <c r="AC110" s="88">
        <f t="shared" si="44"/>
        <v>3139.1629629629629</v>
      </c>
      <c r="AD110" s="88">
        <f t="shared" si="44"/>
        <v>5660.0461538461541</v>
      </c>
      <c r="AE110" s="88">
        <f t="shared" si="44"/>
        <v>2475.7726495726497</v>
      </c>
      <c r="AF110" s="88">
        <f t="shared" si="44"/>
        <v>1990.1709401709402</v>
      </c>
      <c r="AG110" s="88">
        <f t="shared" si="44"/>
        <v>5519.4074074074078</v>
      </c>
      <c r="AH110" s="88">
        <f t="shared" si="44"/>
        <v>2672.1361823361826</v>
      </c>
      <c r="AI110" s="88">
        <f t="shared" si="44"/>
        <v>2372.2837606837611</v>
      </c>
      <c r="AJ110" s="88">
        <f t="shared" si="44"/>
        <v>3184.2735042735044</v>
      </c>
      <c r="AK110" s="88">
        <f t="shared" si="44"/>
        <v>5750.2672364672362</v>
      </c>
      <c r="AL110" s="88">
        <f t="shared" si="44"/>
        <v>3131.2022792022794</v>
      </c>
      <c r="AM110" s="88">
        <f t="shared" si="44"/>
        <v>3168.3521367521371</v>
      </c>
      <c r="AN110" s="88">
        <f t="shared" si="44"/>
        <v>1485.9943019943021</v>
      </c>
      <c r="AO110" s="88">
        <f t="shared" si="44"/>
        <v>2555.3794871794871</v>
      </c>
      <c r="AP110" s="88">
        <f t="shared" si="44"/>
        <v>2619.0649572649572</v>
      </c>
      <c r="AQ110" s="88">
        <f t="shared" si="44"/>
        <v>2725.2074074074076</v>
      </c>
      <c r="AR110" s="88">
        <f t="shared" si="44"/>
        <v>1769.9253561253563</v>
      </c>
    </row>
    <row r="111" spans="1:46" s="103" customFormat="1" ht="13" outlineLevel="2" collapsed="1" x14ac:dyDescent="0.35">
      <c r="A111" s="101" t="s">
        <v>302</v>
      </c>
      <c r="B111" s="102" t="s">
        <v>3</v>
      </c>
      <c r="C111" s="102" t="s">
        <v>3</v>
      </c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102" t="s">
        <v>3</v>
      </c>
      <c r="U111" s="102" t="s">
        <v>3</v>
      </c>
      <c r="V111" s="102" t="s">
        <v>3</v>
      </c>
      <c r="W111" s="102" t="s">
        <v>3</v>
      </c>
      <c r="X111" s="102" t="s">
        <v>3</v>
      </c>
      <c r="Y111" s="102" t="s">
        <v>3</v>
      </c>
      <c r="Z111" s="102" t="s">
        <v>3</v>
      </c>
      <c r="AA111" s="102" t="s">
        <v>3</v>
      </c>
      <c r="AB111" s="92">
        <f>SUM(AB112:AB132)</f>
        <v>386247.87508617557</v>
      </c>
      <c r="AC111" s="92">
        <f t="shared" ref="AC111:AR111" si="45">SUM(AC112:AC132)</f>
        <v>24144.318955188679</v>
      </c>
      <c r="AD111" s="92">
        <f t="shared" si="45"/>
        <v>43533.247955551538</v>
      </c>
      <c r="AE111" s="92">
        <f t="shared" si="45"/>
        <v>19041.969218251092</v>
      </c>
      <c r="AF111" s="92">
        <f t="shared" si="45"/>
        <v>15307.049210812771</v>
      </c>
      <c r="AG111" s="92">
        <f t="shared" si="45"/>
        <v>42451.549811320765</v>
      </c>
      <c r="AH111" s="92">
        <f t="shared" si="45"/>
        <v>20552.264740384617</v>
      </c>
      <c r="AI111" s="92">
        <f t="shared" si="45"/>
        <v>18246.002659288828</v>
      </c>
      <c r="AJ111" s="92">
        <f t="shared" si="45"/>
        <v>24491.278737300436</v>
      </c>
      <c r="AK111" s="92">
        <f t="shared" si="45"/>
        <v>44227.167519775045</v>
      </c>
      <c r="AL111" s="92">
        <f t="shared" si="45"/>
        <v>24083.090758345432</v>
      </c>
      <c r="AM111" s="92">
        <f t="shared" si="45"/>
        <v>24368.822343613931</v>
      </c>
      <c r="AN111" s="92">
        <f t="shared" si="45"/>
        <v>11429.263410740205</v>
      </c>
      <c r="AO111" s="92">
        <f t="shared" si="45"/>
        <v>19654.251186683599</v>
      </c>
      <c r="AP111" s="92">
        <f t="shared" si="45"/>
        <v>20144.076761429613</v>
      </c>
      <c r="AQ111" s="92">
        <f t="shared" si="45"/>
        <v>20960.452719339624</v>
      </c>
      <c r="AR111" s="92">
        <f t="shared" si="45"/>
        <v>13613.069098149495</v>
      </c>
    </row>
    <row r="112" spans="1:46" s="106" customFormat="1" ht="14" hidden="1" outlineLevel="3" x14ac:dyDescent="0.35">
      <c r="A112" s="89" t="s">
        <v>119</v>
      </c>
      <c r="B112" s="90" t="s">
        <v>20</v>
      </c>
      <c r="C112" s="93">
        <f>40/212</f>
        <v>0.18867924528301888</v>
      </c>
      <c r="D112" s="92"/>
      <c r="E112" s="92">
        <v>40</v>
      </c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3">
        <v>1</v>
      </c>
      <c r="U112" s="93">
        <f t="shared" ref="U112:U175" si="46">AVERAGE(V112:X112)</f>
        <v>211.33333333333334</v>
      </c>
      <c r="V112" s="92">
        <v>168</v>
      </c>
      <c r="W112" s="92">
        <v>205</v>
      </c>
      <c r="X112" s="92">
        <v>261</v>
      </c>
      <c r="Y112" s="92">
        <v>92</v>
      </c>
      <c r="Z112" s="92">
        <f t="shared" ref="Z112:Z132" si="47">C112/$T112*$U112</f>
        <v>39.874213836477992</v>
      </c>
      <c r="AA112" s="95" t="s">
        <v>313</v>
      </c>
      <c r="AB112" s="97">
        <f t="shared" ref="AB112:AB132" si="48">SUM(AC112:AR112)</f>
        <v>75461.949685534608</v>
      </c>
      <c r="AC112" s="88">
        <f t="shared" ref="AC112:AR127" si="49">$Z112*AC$2</f>
        <v>4717.1194968553464</v>
      </c>
      <c r="AD112" s="88">
        <f t="shared" si="49"/>
        <v>8505.1698113207567</v>
      </c>
      <c r="AE112" s="88">
        <f t="shared" si="49"/>
        <v>3720.2641509433965</v>
      </c>
      <c r="AF112" s="88">
        <f t="shared" si="49"/>
        <v>2990.5660377358495</v>
      </c>
      <c r="AG112" s="88">
        <f t="shared" si="49"/>
        <v>8293.8364779874228</v>
      </c>
      <c r="AH112" s="88">
        <f t="shared" si="49"/>
        <v>4015.3333333333339</v>
      </c>
      <c r="AI112" s="88">
        <f t="shared" si="49"/>
        <v>3564.7547169811328</v>
      </c>
      <c r="AJ112" s="88">
        <f t="shared" si="49"/>
        <v>4784.9056603773588</v>
      </c>
      <c r="AK112" s="88">
        <f t="shared" si="49"/>
        <v>8640.7421383647797</v>
      </c>
      <c r="AL112" s="88">
        <f t="shared" si="49"/>
        <v>4705.1572327044032</v>
      </c>
      <c r="AM112" s="88">
        <f t="shared" si="49"/>
        <v>4760.9811320754725</v>
      </c>
      <c r="AN112" s="88">
        <f t="shared" si="49"/>
        <v>2232.9559748427673</v>
      </c>
      <c r="AO112" s="88">
        <f t="shared" si="49"/>
        <v>3839.8867924528304</v>
      </c>
      <c r="AP112" s="88">
        <f t="shared" si="49"/>
        <v>3935.5849056603779</v>
      </c>
      <c r="AQ112" s="88">
        <f t="shared" si="49"/>
        <v>4095.08176100629</v>
      </c>
      <c r="AR112" s="88">
        <f t="shared" si="49"/>
        <v>2659.6100628930822</v>
      </c>
    </row>
    <row r="113" spans="1:44" s="106" customFormat="1" ht="26" hidden="1" outlineLevel="3" x14ac:dyDescent="0.35">
      <c r="A113" s="89" t="s">
        <v>120</v>
      </c>
      <c r="B113" s="90" t="s">
        <v>20</v>
      </c>
      <c r="C113" s="93">
        <f>90/212</f>
        <v>0.42452830188679247</v>
      </c>
      <c r="D113" s="92"/>
      <c r="E113" s="92">
        <v>90</v>
      </c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3">
        <v>1</v>
      </c>
      <c r="U113" s="93">
        <f t="shared" si="46"/>
        <v>11.200000000000001</v>
      </c>
      <c r="V113" s="92">
        <v>8</v>
      </c>
      <c r="W113" s="92">
        <v>12.1</v>
      </c>
      <c r="X113" s="92">
        <v>13.5</v>
      </c>
      <c r="Y113" s="92">
        <v>93</v>
      </c>
      <c r="Z113" s="92">
        <f t="shared" si="47"/>
        <v>4.7547169811320762</v>
      </c>
      <c r="AA113" s="95" t="s">
        <v>314</v>
      </c>
      <c r="AB113" s="97">
        <f t="shared" si="48"/>
        <v>8998.3018867924529</v>
      </c>
      <c r="AC113" s="88">
        <f t="shared" si="49"/>
        <v>562.48301886792456</v>
      </c>
      <c r="AD113" s="88">
        <f t="shared" si="49"/>
        <v>1014.1811320754719</v>
      </c>
      <c r="AE113" s="88">
        <f t="shared" si="49"/>
        <v>443.61509433962271</v>
      </c>
      <c r="AF113" s="88">
        <f t="shared" si="49"/>
        <v>356.6037735849057</v>
      </c>
      <c r="AG113" s="88">
        <f t="shared" si="49"/>
        <v>988.98113207547181</v>
      </c>
      <c r="AH113" s="88">
        <f t="shared" si="49"/>
        <v>478.80000000000007</v>
      </c>
      <c r="AI113" s="88">
        <f t="shared" si="49"/>
        <v>425.07169811320762</v>
      </c>
      <c r="AJ113" s="88">
        <f t="shared" si="49"/>
        <v>570.56603773584914</v>
      </c>
      <c r="AK113" s="88">
        <f t="shared" si="49"/>
        <v>1030.3471698113208</v>
      </c>
      <c r="AL113" s="88">
        <f t="shared" si="49"/>
        <v>561.05660377358504</v>
      </c>
      <c r="AM113" s="88">
        <f t="shared" si="49"/>
        <v>567.71320754716987</v>
      </c>
      <c r="AN113" s="88">
        <f t="shared" si="49"/>
        <v>266.26415094339626</v>
      </c>
      <c r="AO113" s="88">
        <f t="shared" si="49"/>
        <v>457.87924528301892</v>
      </c>
      <c r="AP113" s="88">
        <f t="shared" si="49"/>
        <v>469.29056603773591</v>
      </c>
      <c r="AQ113" s="88">
        <f t="shared" si="49"/>
        <v>488.30943396226422</v>
      </c>
      <c r="AR113" s="88">
        <f t="shared" si="49"/>
        <v>317.1396226415095</v>
      </c>
    </row>
    <row r="114" spans="1:44" s="106" customFormat="1" ht="14" hidden="1" outlineLevel="3" x14ac:dyDescent="0.35">
      <c r="A114" s="89" t="s">
        <v>121</v>
      </c>
      <c r="B114" s="90" t="s">
        <v>20</v>
      </c>
      <c r="C114" s="93">
        <f>40/212</f>
        <v>0.18867924528301888</v>
      </c>
      <c r="D114" s="92"/>
      <c r="E114" s="92">
        <v>40</v>
      </c>
      <c r="F114" s="92"/>
      <c r="G114" s="92"/>
      <c r="H114" s="92"/>
      <c r="I114" s="92">
        <v>20</v>
      </c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3">
        <v>1</v>
      </c>
      <c r="U114" s="93">
        <f t="shared" si="46"/>
        <v>43.086666666666666</v>
      </c>
      <c r="V114" s="107">
        <v>38.11</v>
      </c>
      <c r="W114" s="107">
        <v>45.35</v>
      </c>
      <c r="X114" s="107">
        <v>45.8</v>
      </c>
      <c r="Y114" s="92">
        <v>94</v>
      </c>
      <c r="Z114" s="92">
        <f t="shared" si="47"/>
        <v>8.129559748427674</v>
      </c>
      <c r="AA114" s="95" t="s">
        <v>313</v>
      </c>
      <c r="AB114" s="97">
        <f t="shared" si="48"/>
        <v>15385.191823899375</v>
      </c>
      <c r="AC114" s="88">
        <f t="shared" si="49"/>
        <v>961.72691823899379</v>
      </c>
      <c r="AD114" s="88">
        <f t="shared" si="49"/>
        <v>1734.0350943396229</v>
      </c>
      <c r="AE114" s="88">
        <f t="shared" si="49"/>
        <v>758.48792452830196</v>
      </c>
      <c r="AF114" s="88">
        <f t="shared" si="49"/>
        <v>609.7169811320756</v>
      </c>
      <c r="AG114" s="88">
        <f t="shared" si="49"/>
        <v>1690.9484276729563</v>
      </c>
      <c r="AH114" s="88">
        <f t="shared" si="49"/>
        <v>818.64666666666676</v>
      </c>
      <c r="AI114" s="88">
        <f t="shared" si="49"/>
        <v>726.78264150943414</v>
      </c>
      <c r="AJ114" s="88">
        <f t="shared" si="49"/>
        <v>975.54716981132083</v>
      </c>
      <c r="AK114" s="88">
        <f t="shared" si="49"/>
        <v>1761.675597484277</v>
      </c>
      <c r="AL114" s="88">
        <f t="shared" si="49"/>
        <v>959.28805031446552</v>
      </c>
      <c r="AM114" s="88">
        <f t="shared" si="49"/>
        <v>970.66943396226429</v>
      </c>
      <c r="AN114" s="88">
        <f t="shared" si="49"/>
        <v>455.25534591194975</v>
      </c>
      <c r="AO114" s="88">
        <f t="shared" si="49"/>
        <v>782.87660377358497</v>
      </c>
      <c r="AP114" s="88">
        <f t="shared" si="49"/>
        <v>802.38754716981146</v>
      </c>
      <c r="AQ114" s="88">
        <f t="shared" si="49"/>
        <v>834.90578616352218</v>
      </c>
      <c r="AR114" s="88">
        <f t="shared" si="49"/>
        <v>542.24163522012589</v>
      </c>
    </row>
    <row r="115" spans="1:44" s="106" customFormat="1" ht="14" hidden="1" outlineLevel="3" x14ac:dyDescent="0.35">
      <c r="A115" s="89" t="s">
        <v>122</v>
      </c>
      <c r="B115" s="90" t="s">
        <v>107</v>
      </c>
      <c r="C115" s="93">
        <f>40/212</f>
        <v>0.18867924528301888</v>
      </c>
      <c r="D115" s="92"/>
      <c r="E115" s="92">
        <v>40</v>
      </c>
      <c r="F115" s="92"/>
      <c r="G115" s="92"/>
      <c r="H115" s="92"/>
      <c r="I115" s="92">
        <v>10</v>
      </c>
      <c r="J115" s="92">
        <v>40</v>
      </c>
      <c r="K115" s="92">
        <v>55</v>
      </c>
      <c r="L115" s="92"/>
      <c r="M115" s="92"/>
      <c r="N115" s="92"/>
      <c r="O115" s="92"/>
      <c r="P115" s="92"/>
      <c r="Q115" s="92">
        <v>30</v>
      </c>
      <c r="R115" s="92"/>
      <c r="S115" s="92"/>
      <c r="T115" s="93">
        <v>1</v>
      </c>
      <c r="U115" s="93">
        <f t="shared" si="46"/>
        <v>204.16666666666666</v>
      </c>
      <c r="V115" s="92">
        <v>201</v>
      </c>
      <c r="W115" s="92">
        <v>204.5</v>
      </c>
      <c r="X115" s="92">
        <v>207</v>
      </c>
      <c r="Y115" s="92">
        <v>95</v>
      </c>
      <c r="Z115" s="92">
        <f t="shared" si="47"/>
        <v>38.522012578616355</v>
      </c>
      <c r="AA115" s="95" t="s">
        <v>313</v>
      </c>
      <c r="AB115" s="97">
        <f t="shared" si="48"/>
        <v>72902.908805031446</v>
      </c>
      <c r="AC115" s="88">
        <f t="shared" si="49"/>
        <v>4557.1540880503144</v>
      </c>
      <c r="AD115" s="88">
        <f t="shared" si="49"/>
        <v>8216.7452830188686</v>
      </c>
      <c r="AE115" s="88">
        <f t="shared" si="49"/>
        <v>3594.1037735849059</v>
      </c>
      <c r="AF115" s="88">
        <f t="shared" si="49"/>
        <v>2889.1509433962265</v>
      </c>
      <c r="AG115" s="88">
        <f t="shared" si="49"/>
        <v>8012.5786163522016</v>
      </c>
      <c r="AH115" s="88">
        <f t="shared" si="49"/>
        <v>3879.166666666667</v>
      </c>
      <c r="AI115" s="88">
        <f t="shared" si="49"/>
        <v>3443.8679245283024</v>
      </c>
      <c r="AJ115" s="88">
        <f t="shared" si="49"/>
        <v>4622.6415094339627</v>
      </c>
      <c r="AK115" s="88">
        <f t="shared" si="49"/>
        <v>8347.7201257861634</v>
      </c>
      <c r="AL115" s="88">
        <f t="shared" si="49"/>
        <v>4545.59748427673</v>
      </c>
      <c r="AM115" s="88">
        <f t="shared" si="49"/>
        <v>4599.5283018867931</v>
      </c>
      <c r="AN115" s="88">
        <f t="shared" si="49"/>
        <v>2157.232704402516</v>
      </c>
      <c r="AO115" s="88">
        <f t="shared" si="49"/>
        <v>3709.6698113207549</v>
      </c>
      <c r="AP115" s="88">
        <f t="shared" si="49"/>
        <v>3802.1226415094343</v>
      </c>
      <c r="AQ115" s="88">
        <f t="shared" si="49"/>
        <v>3956.2106918238997</v>
      </c>
      <c r="AR115" s="88">
        <f t="shared" si="49"/>
        <v>2569.4182389937109</v>
      </c>
    </row>
    <row r="116" spans="1:44" s="106" customFormat="1" ht="14" hidden="1" outlineLevel="3" x14ac:dyDescent="0.35">
      <c r="A116" s="89" t="s">
        <v>123</v>
      </c>
      <c r="B116" s="90" t="s">
        <v>20</v>
      </c>
      <c r="C116" s="93">
        <f>1000/212</f>
        <v>4.716981132075472</v>
      </c>
      <c r="D116" s="92"/>
      <c r="E116" s="92">
        <v>1000</v>
      </c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3">
        <v>1</v>
      </c>
      <c r="U116" s="93">
        <v>1.73</v>
      </c>
      <c r="V116" s="111"/>
      <c r="W116" s="111"/>
      <c r="X116" s="111"/>
      <c r="Y116" s="92">
        <v>96</v>
      </c>
      <c r="Z116" s="92">
        <f t="shared" si="47"/>
        <v>8.1603773584905657</v>
      </c>
      <c r="AA116" s="95" t="s">
        <v>315</v>
      </c>
      <c r="AB116" s="97">
        <f t="shared" si="48"/>
        <v>15443.514150943396</v>
      </c>
      <c r="AC116" s="88">
        <f t="shared" si="49"/>
        <v>965.37264150943395</v>
      </c>
      <c r="AD116" s="88">
        <f t="shared" si="49"/>
        <v>1740.6084905660377</v>
      </c>
      <c r="AE116" s="88">
        <f t="shared" si="49"/>
        <v>761.36320754716974</v>
      </c>
      <c r="AF116" s="88">
        <f t="shared" si="49"/>
        <v>612.02830188679241</v>
      </c>
      <c r="AG116" s="88">
        <f t="shared" si="49"/>
        <v>1697.3584905660377</v>
      </c>
      <c r="AH116" s="88">
        <f t="shared" si="49"/>
        <v>821.75</v>
      </c>
      <c r="AI116" s="88">
        <f t="shared" si="49"/>
        <v>729.53773584905662</v>
      </c>
      <c r="AJ116" s="88">
        <f t="shared" si="49"/>
        <v>979.24528301886789</v>
      </c>
      <c r="AK116" s="88">
        <f t="shared" si="49"/>
        <v>1768.3537735849054</v>
      </c>
      <c r="AL116" s="88">
        <f t="shared" si="49"/>
        <v>962.92452830188677</v>
      </c>
      <c r="AM116" s="88">
        <f t="shared" si="49"/>
        <v>974.34905660377353</v>
      </c>
      <c r="AN116" s="88">
        <f t="shared" si="49"/>
        <v>456.98113207547169</v>
      </c>
      <c r="AO116" s="88">
        <f t="shared" si="49"/>
        <v>785.84433962264143</v>
      </c>
      <c r="AP116" s="88">
        <f t="shared" si="49"/>
        <v>805.42924528301887</v>
      </c>
      <c r="AQ116" s="88">
        <f t="shared" si="49"/>
        <v>838.07075471698113</v>
      </c>
      <c r="AR116" s="88">
        <f t="shared" si="49"/>
        <v>544.29716981132071</v>
      </c>
    </row>
    <row r="117" spans="1:44" s="106" customFormat="1" ht="14" hidden="1" outlineLevel="3" x14ac:dyDescent="0.35">
      <c r="A117" s="89" t="s">
        <v>124</v>
      </c>
      <c r="B117" s="90" t="s">
        <v>20</v>
      </c>
      <c r="C117" s="93">
        <f>10/104</f>
        <v>9.6153846153846159E-2</v>
      </c>
      <c r="D117" s="92"/>
      <c r="E117" s="92"/>
      <c r="F117" s="92"/>
      <c r="G117" s="92"/>
      <c r="H117" s="92"/>
      <c r="I117" s="92">
        <v>10</v>
      </c>
      <c r="J117" s="92">
        <v>90</v>
      </c>
      <c r="K117" s="92"/>
      <c r="L117" s="92"/>
      <c r="M117" s="92"/>
      <c r="N117" s="92"/>
      <c r="O117" s="92">
        <v>46</v>
      </c>
      <c r="P117" s="92"/>
      <c r="Q117" s="92"/>
      <c r="R117" s="92"/>
      <c r="S117" s="92"/>
      <c r="T117" s="93">
        <v>1</v>
      </c>
      <c r="U117" s="93">
        <f t="shared" si="46"/>
        <v>11.296666666666667</v>
      </c>
      <c r="V117" s="92">
        <v>11.89</v>
      </c>
      <c r="W117" s="92">
        <v>9.99</v>
      </c>
      <c r="X117" s="92">
        <v>12.01</v>
      </c>
      <c r="Y117" s="92">
        <v>97</v>
      </c>
      <c r="Z117" s="92">
        <f t="shared" si="47"/>
        <v>1.0862179487179489</v>
      </c>
      <c r="AA117" s="95" t="s">
        <v>316</v>
      </c>
      <c r="AB117" s="97">
        <f t="shared" si="48"/>
        <v>2055.6674679487182</v>
      </c>
      <c r="AC117" s="88">
        <f t="shared" si="49"/>
        <v>128.49958333333333</v>
      </c>
      <c r="AD117" s="88">
        <f t="shared" si="49"/>
        <v>231.6902884615385</v>
      </c>
      <c r="AE117" s="88">
        <f t="shared" si="49"/>
        <v>101.34413461538462</v>
      </c>
      <c r="AF117" s="88">
        <f t="shared" si="49"/>
        <v>81.46634615384616</v>
      </c>
      <c r="AG117" s="88">
        <f t="shared" si="49"/>
        <v>225.93333333333337</v>
      </c>
      <c r="AH117" s="88">
        <f t="shared" si="49"/>
        <v>109.38214743589745</v>
      </c>
      <c r="AI117" s="88">
        <f t="shared" si="49"/>
        <v>97.107884615384634</v>
      </c>
      <c r="AJ117" s="88">
        <f t="shared" si="49"/>
        <v>130.34615384615387</v>
      </c>
      <c r="AK117" s="88">
        <f t="shared" si="49"/>
        <v>235.38342948717951</v>
      </c>
      <c r="AL117" s="88">
        <f t="shared" si="49"/>
        <v>128.17371794871798</v>
      </c>
      <c r="AM117" s="88">
        <f t="shared" si="49"/>
        <v>129.6944230769231</v>
      </c>
      <c r="AN117" s="88">
        <f t="shared" si="49"/>
        <v>60.828205128205134</v>
      </c>
      <c r="AO117" s="88">
        <f t="shared" si="49"/>
        <v>104.60278846153847</v>
      </c>
      <c r="AP117" s="88">
        <f t="shared" si="49"/>
        <v>107.20971153846156</v>
      </c>
      <c r="AQ117" s="88">
        <f t="shared" si="49"/>
        <v>111.55458333333335</v>
      </c>
      <c r="AR117" s="88">
        <f t="shared" si="49"/>
        <v>72.450737179487191</v>
      </c>
    </row>
    <row r="118" spans="1:44" s="106" customFormat="1" ht="14" hidden="1" outlineLevel="3" x14ac:dyDescent="0.35">
      <c r="A118" s="89" t="s">
        <v>125</v>
      </c>
      <c r="B118" s="90" t="s">
        <v>20</v>
      </c>
      <c r="C118" s="93">
        <f>10/104</f>
        <v>9.6153846153846159E-2</v>
      </c>
      <c r="D118" s="92"/>
      <c r="E118" s="92"/>
      <c r="F118" s="92"/>
      <c r="G118" s="92"/>
      <c r="H118" s="92"/>
      <c r="I118" s="92">
        <v>10</v>
      </c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3">
        <v>1</v>
      </c>
      <c r="U118" s="93">
        <f t="shared" si="46"/>
        <v>100.60666666666667</v>
      </c>
      <c r="V118" s="92">
        <v>105.89</v>
      </c>
      <c r="W118" s="92">
        <v>88.98</v>
      </c>
      <c r="X118" s="92">
        <v>106.95</v>
      </c>
      <c r="Y118" s="92">
        <v>98</v>
      </c>
      <c r="Z118" s="92">
        <f t="shared" si="47"/>
        <v>9.6737179487179503</v>
      </c>
      <c r="AA118" s="95" t="s">
        <v>316</v>
      </c>
      <c r="AB118" s="97">
        <f t="shared" si="48"/>
        <v>18307.511217948722</v>
      </c>
      <c r="AC118" s="88">
        <f t="shared" si="49"/>
        <v>1144.4008333333336</v>
      </c>
      <c r="AD118" s="88">
        <f t="shared" si="49"/>
        <v>2063.4040384615391</v>
      </c>
      <c r="AE118" s="88">
        <f t="shared" si="49"/>
        <v>902.55788461538475</v>
      </c>
      <c r="AF118" s="88">
        <f t="shared" si="49"/>
        <v>725.5288461538463</v>
      </c>
      <c r="AG118" s="88">
        <f t="shared" si="49"/>
        <v>2012.1333333333337</v>
      </c>
      <c r="AH118" s="88">
        <f t="shared" si="49"/>
        <v>974.14339743589767</v>
      </c>
      <c r="AI118" s="88">
        <f t="shared" si="49"/>
        <v>864.83038461538479</v>
      </c>
      <c r="AJ118" s="88">
        <f t="shared" si="49"/>
        <v>1160.846153846154</v>
      </c>
      <c r="AK118" s="88">
        <f t="shared" si="49"/>
        <v>2096.2946794871796</v>
      </c>
      <c r="AL118" s="88">
        <f t="shared" si="49"/>
        <v>1141.4987179487182</v>
      </c>
      <c r="AM118" s="88">
        <f t="shared" si="49"/>
        <v>1155.0419230769232</v>
      </c>
      <c r="AN118" s="88">
        <f t="shared" si="49"/>
        <v>541.72820512820522</v>
      </c>
      <c r="AO118" s="88">
        <f t="shared" si="49"/>
        <v>931.57903846153863</v>
      </c>
      <c r="AP118" s="88">
        <f t="shared" si="49"/>
        <v>954.79596153846171</v>
      </c>
      <c r="AQ118" s="88">
        <f t="shared" si="49"/>
        <v>993.49083333333351</v>
      </c>
      <c r="AR118" s="88">
        <f t="shared" si="49"/>
        <v>645.2369871794873</v>
      </c>
    </row>
    <row r="119" spans="1:44" s="106" customFormat="1" ht="14" hidden="1" outlineLevel="3" x14ac:dyDescent="0.35">
      <c r="A119" s="89" t="s">
        <v>126</v>
      </c>
      <c r="B119" s="90" t="s">
        <v>20</v>
      </c>
      <c r="C119" s="93">
        <f>10/104</f>
        <v>9.6153846153846159E-2</v>
      </c>
      <c r="D119" s="92"/>
      <c r="E119" s="92"/>
      <c r="F119" s="92"/>
      <c r="G119" s="92"/>
      <c r="H119" s="92"/>
      <c r="I119" s="92">
        <v>10</v>
      </c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3">
        <v>1</v>
      </c>
      <c r="U119" s="93">
        <f t="shared" si="46"/>
        <v>8.94</v>
      </c>
      <c r="V119" s="92">
        <v>9.41</v>
      </c>
      <c r="W119" s="92">
        <v>7.91</v>
      </c>
      <c r="X119" s="92">
        <v>9.5</v>
      </c>
      <c r="Y119" s="92">
        <v>99</v>
      </c>
      <c r="Z119" s="92">
        <f t="shared" si="47"/>
        <v>0.85961538461538467</v>
      </c>
      <c r="AA119" s="95" t="s">
        <v>316</v>
      </c>
      <c r="AB119" s="97">
        <f t="shared" si="48"/>
        <v>1626.8221153846157</v>
      </c>
      <c r="AC119" s="88">
        <f t="shared" si="49"/>
        <v>101.69250000000001</v>
      </c>
      <c r="AD119" s="88">
        <f t="shared" si="49"/>
        <v>183.35596153846157</v>
      </c>
      <c r="AE119" s="88">
        <f t="shared" si="49"/>
        <v>80.202115384615382</v>
      </c>
      <c r="AF119" s="88">
        <f t="shared" si="49"/>
        <v>64.471153846153854</v>
      </c>
      <c r="AG119" s="88">
        <f t="shared" si="49"/>
        <v>178.8</v>
      </c>
      <c r="AH119" s="88">
        <f t="shared" si="49"/>
        <v>86.563269230769237</v>
      </c>
      <c r="AI119" s="88">
        <f t="shared" si="49"/>
        <v>76.84961538461539</v>
      </c>
      <c r="AJ119" s="88">
        <f t="shared" si="49"/>
        <v>103.15384615384616</v>
      </c>
      <c r="AK119" s="88">
        <f t="shared" si="49"/>
        <v>186.27865384615384</v>
      </c>
      <c r="AL119" s="88">
        <f t="shared" si="49"/>
        <v>101.4346153846154</v>
      </c>
      <c r="AM119" s="88">
        <f t="shared" si="49"/>
        <v>102.63807692307694</v>
      </c>
      <c r="AN119" s="88">
        <f t="shared" si="49"/>
        <v>48.138461538461542</v>
      </c>
      <c r="AO119" s="88">
        <f t="shared" si="49"/>
        <v>82.78096153846154</v>
      </c>
      <c r="AP119" s="88">
        <f t="shared" si="49"/>
        <v>84.844038461538474</v>
      </c>
      <c r="AQ119" s="88">
        <f t="shared" si="49"/>
        <v>88.282500000000013</v>
      </c>
      <c r="AR119" s="88">
        <f t="shared" si="49"/>
        <v>57.336346153846158</v>
      </c>
    </row>
    <row r="120" spans="1:44" s="106" customFormat="1" ht="14" hidden="1" outlineLevel="3" x14ac:dyDescent="0.35">
      <c r="A120" s="89" t="s">
        <v>127</v>
      </c>
      <c r="B120" s="90" t="s">
        <v>20</v>
      </c>
      <c r="C120" s="93">
        <f>30/104</f>
        <v>0.28846153846153844</v>
      </c>
      <c r="D120" s="92"/>
      <c r="E120" s="92"/>
      <c r="F120" s="92"/>
      <c r="G120" s="92"/>
      <c r="H120" s="92"/>
      <c r="I120" s="92">
        <v>30</v>
      </c>
      <c r="J120" s="92">
        <v>25</v>
      </c>
      <c r="K120" s="92"/>
      <c r="L120" s="92"/>
      <c r="M120" s="92"/>
      <c r="N120" s="92"/>
      <c r="O120" s="92"/>
      <c r="P120" s="92"/>
      <c r="Q120" s="92"/>
      <c r="R120" s="92"/>
      <c r="S120" s="92"/>
      <c r="T120" s="93">
        <v>1</v>
      </c>
      <c r="U120" s="93">
        <f t="shared" si="46"/>
        <v>82.300000000000011</v>
      </c>
      <c r="V120" s="92">
        <v>86.62</v>
      </c>
      <c r="W120" s="92">
        <v>72.790000000000006</v>
      </c>
      <c r="X120" s="92">
        <v>87.49</v>
      </c>
      <c r="Y120" s="92">
        <v>100</v>
      </c>
      <c r="Z120" s="92">
        <f t="shared" si="47"/>
        <v>23.740384615384617</v>
      </c>
      <c r="AA120" s="95" t="s">
        <v>318</v>
      </c>
      <c r="AB120" s="97">
        <f t="shared" si="48"/>
        <v>44928.677884615376</v>
      </c>
      <c r="AC120" s="88">
        <f t="shared" si="49"/>
        <v>2808.4875000000002</v>
      </c>
      <c r="AD120" s="88">
        <f t="shared" si="49"/>
        <v>5063.8240384615392</v>
      </c>
      <c r="AE120" s="88">
        <f t="shared" si="49"/>
        <v>2214.9778846153845</v>
      </c>
      <c r="AF120" s="88">
        <f t="shared" si="49"/>
        <v>1780.5288461538462</v>
      </c>
      <c r="AG120" s="88">
        <f t="shared" si="49"/>
        <v>4938</v>
      </c>
      <c r="AH120" s="88">
        <f t="shared" si="49"/>
        <v>2390.6567307692308</v>
      </c>
      <c r="AI120" s="88">
        <f t="shared" si="49"/>
        <v>2122.3903846153848</v>
      </c>
      <c r="AJ120" s="88">
        <f t="shared" si="49"/>
        <v>2848.8461538461538</v>
      </c>
      <c r="AK120" s="88">
        <f t="shared" si="49"/>
        <v>5144.5413461538465</v>
      </c>
      <c r="AL120" s="88">
        <f t="shared" si="49"/>
        <v>2801.3653846153848</v>
      </c>
      <c r="AM120" s="88">
        <f t="shared" si="49"/>
        <v>2834.6019230769234</v>
      </c>
      <c r="AN120" s="88">
        <f t="shared" si="49"/>
        <v>1329.4615384615386</v>
      </c>
      <c r="AO120" s="88">
        <f t="shared" si="49"/>
        <v>2286.1990384615387</v>
      </c>
      <c r="AP120" s="88">
        <f t="shared" si="49"/>
        <v>2343.1759615384617</v>
      </c>
      <c r="AQ120" s="88">
        <f t="shared" si="49"/>
        <v>2438.1375000000003</v>
      </c>
      <c r="AR120" s="88">
        <f t="shared" si="49"/>
        <v>1583.4836538461541</v>
      </c>
    </row>
    <row r="121" spans="1:44" s="106" customFormat="1" ht="14" hidden="1" outlineLevel="3" x14ac:dyDescent="0.35">
      <c r="A121" s="89" t="s">
        <v>128</v>
      </c>
      <c r="B121" s="90" t="s">
        <v>20</v>
      </c>
      <c r="C121" s="93">
        <f>30/104</f>
        <v>0.28846153846153844</v>
      </c>
      <c r="D121" s="92"/>
      <c r="E121" s="92"/>
      <c r="F121" s="92"/>
      <c r="G121" s="92"/>
      <c r="H121" s="92"/>
      <c r="I121" s="92">
        <v>30</v>
      </c>
      <c r="J121" s="92">
        <v>20</v>
      </c>
      <c r="K121" s="92"/>
      <c r="L121" s="92"/>
      <c r="M121" s="92"/>
      <c r="N121" s="92"/>
      <c r="O121" s="92">
        <v>5</v>
      </c>
      <c r="P121" s="92"/>
      <c r="Q121" s="92"/>
      <c r="R121" s="92"/>
      <c r="S121" s="92"/>
      <c r="T121" s="93">
        <v>1</v>
      </c>
      <c r="U121" s="93">
        <f t="shared" si="46"/>
        <v>9.3033333333333328</v>
      </c>
      <c r="V121" s="92">
        <v>8.98</v>
      </c>
      <c r="W121" s="92">
        <v>9.43</v>
      </c>
      <c r="X121" s="92">
        <v>9.5</v>
      </c>
      <c r="Y121" s="92">
        <v>101</v>
      </c>
      <c r="Z121" s="92">
        <f t="shared" si="47"/>
        <v>2.6836538461538457</v>
      </c>
      <c r="AA121" s="95" t="s">
        <v>318</v>
      </c>
      <c r="AB121" s="97">
        <f t="shared" si="48"/>
        <v>5078.8149038461534</v>
      </c>
      <c r="AC121" s="88">
        <f t="shared" si="49"/>
        <v>317.47624999999994</v>
      </c>
      <c r="AD121" s="88">
        <f t="shared" si="49"/>
        <v>572.42336538461529</v>
      </c>
      <c r="AE121" s="88">
        <f t="shared" si="49"/>
        <v>250.3849038461538</v>
      </c>
      <c r="AF121" s="88">
        <f t="shared" si="49"/>
        <v>201.27403846153842</v>
      </c>
      <c r="AG121" s="88">
        <f t="shared" si="49"/>
        <v>558.19999999999993</v>
      </c>
      <c r="AH121" s="88">
        <f t="shared" si="49"/>
        <v>270.24394230769229</v>
      </c>
      <c r="AI121" s="88">
        <f t="shared" si="49"/>
        <v>239.91865384615383</v>
      </c>
      <c r="AJ121" s="88">
        <f t="shared" si="49"/>
        <v>322.03846153846149</v>
      </c>
      <c r="AK121" s="88">
        <f t="shared" si="49"/>
        <v>581.54778846153829</v>
      </c>
      <c r="AL121" s="88">
        <f t="shared" si="49"/>
        <v>316.6711538461538</v>
      </c>
      <c r="AM121" s="88">
        <f t="shared" si="49"/>
        <v>320.42826923076922</v>
      </c>
      <c r="AN121" s="88">
        <f t="shared" si="49"/>
        <v>150.28461538461536</v>
      </c>
      <c r="AO121" s="88">
        <f t="shared" si="49"/>
        <v>258.43586538461534</v>
      </c>
      <c r="AP121" s="88">
        <f t="shared" si="49"/>
        <v>264.8766346153846</v>
      </c>
      <c r="AQ121" s="88">
        <f t="shared" si="49"/>
        <v>275.61124999999998</v>
      </c>
      <c r="AR121" s="88">
        <f t="shared" si="49"/>
        <v>178.99971153846153</v>
      </c>
    </row>
    <row r="122" spans="1:44" s="106" customFormat="1" ht="14" hidden="1" outlineLevel="3" x14ac:dyDescent="0.35">
      <c r="A122" s="89" t="s">
        <v>129</v>
      </c>
      <c r="B122" s="90" t="s">
        <v>20</v>
      </c>
      <c r="C122" s="93">
        <f>30/104</f>
        <v>0.28846153846153844</v>
      </c>
      <c r="D122" s="92"/>
      <c r="E122" s="92"/>
      <c r="F122" s="92"/>
      <c r="G122" s="92"/>
      <c r="H122" s="92"/>
      <c r="I122" s="92">
        <v>30</v>
      </c>
      <c r="J122" s="92"/>
      <c r="K122" s="92"/>
      <c r="L122" s="92"/>
      <c r="M122" s="92"/>
      <c r="N122" s="92"/>
      <c r="O122" s="92">
        <v>30</v>
      </c>
      <c r="P122" s="92"/>
      <c r="Q122" s="92"/>
      <c r="R122" s="92"/>
      <c r="S122" s="92"/>
      <c r="T122" s="93">
        <v>1</v>
      </c>
      <c r="U122" s="93">
        <f t="shared" si="46"/>
        <v>17.863333333333333</v>
      </c>
      <c r="V122" s="92">
        <v>18.8</v>
      </c>
      <c r="W122" s="92">
        <v>15.8</v>
      </c>
      <c r="X122" s="92">
        <v>18.989999999999998</v>
      </c>
      <c r="Y122" s="92">
        <v>102</v>
      </c>
      <c r="Z122" s="92">
        <f t="shared" si="47"/>
        <v>5.1528846153846146</v>
      </c>
      <c r="AA122" s="95" t="s">
        <v>318</v>
      </c>
      <c r="AB122" s="97">
        <f t="shared" si="48"/>
        <v>9751.8341346153829</v>
      </c>
      <c r="AC122" s="88">
        <f t="shared" si="49"/>
        <v>609.58624999999995</v>
      </c>
      <c r="AD122" s="88">
        <f t="shared" si="49"/>
        <v>1099.1102884615384</v>
      </c>
      <c r="AE122" s="88">
        <f t="shared" si="49"/>
        <v>480.76413461538453</v>
      </c>
      <c r="AF122" s="88">
        <f t="shared" si="49"/>
        <v>386.46634615384608</v>
      </c>
      <c r="AG122" s="88">
        <f t="shared" si="49"/>
        <v>1071.7999999999997</v>
      </c>
      <c r="AH122" s="88">
        <f t="shared" si="49"/>
        <v>518.89548076923074</v>
      </c>
      <c r="AI122" s="88">
        <f t="shared" si="49"/>
        <v>460.66788461538459</v>
      </c>
      <c r="AJ122" s="88">
        <f t="shared" si="49"/>
        <v>618.34615384615381</v>
      </c>
      <c r="AK122" s="88">
        <f t="shared" si="49"/>
        <v>1116.6300961538459</v>
      </c>
      <c r="AL122" s="88">
        <f t="shared" si="49"/>
        <v>608.04038461538448</v>
      </c>
      <c r="AM122" s="88">
        <f t="shared" si="49"/>
        <v>615.25442307692299</v>
      </c>
      <c r="AN122" s="88">
        <f t="shared" si="49"/>
        <v>288.56153846153842</v>
      </c>
      <c r="AO122" s="88">
        <f t="shared" si="49"/>
        <v>496.22278846153836</v>
      </c>
      <c r="AP122" s="88">
        <f t="shared" si="49"/>
        <v>508.58971153846147</v>
      </c>
      <c r="AQ122" s="88">
        <f t="shared" si="49"/>
        <v>529.20124999999996</v>
      </c>
      <c r="AR122" s="88">
        <f t="shared" si="49"/>
        <v>343.6974038461538</v>
      </c>
    </row>
    <row r="123" spans="1:44" s="106" customFormat="1" ht="14" hidden="1" outlineLevel="3" x14ac:dyDescent="0.35">
      <c r="A123" s="89" t="s">
        <v>130</v>
      </c>
      <c r="B123" s="90" t="s">
        <v>20</v>
      </c>
      <c r="C123" s="93">
        <f>10/104</f>
        <v>9.6153846153846159E-2</v>
      </c>
      <c r="D123" s="92"/>
      <c r="E123" s="92"/>
      <c r="F123" s="92"/>
      <c r="G123" s="92"/>
      <c r="H123" s="92"/>
      <c r="I123" s="92">
        <v>10</v>
      </c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3">
        <v>1</v>
      </c>
      <c r="U123" s="93">
        <f t="shared" si="46"/>
        <v>17.816666666666666</v>
      </c>
      <c r="V123" s="92">
        <v>18.75</v>
      </c>
      <c r="W123" s="92">
        <v>15.76</v>
      </c>
      <c r="X123" s="92">
        <v>18.940000000000001</v>
      </c>
      <c r="Y123" s="92">
        <v>103</v>
      </c>
      <c r="Z123" s="92">
        <f t="shared" si="47"/>
        <v>1.7131410256410258</v>
      </c>
      <c r="AA123" s="95" t="s">
        <v>316</v>
      </c>
      <c r="AB123" s="97">
        <f t="shared" si="48"/>
        <v>3242.119391025642</v>
      </c>
      <c r="AC123" s="88">
        <f t="shared" si="49"/>
        <v>202.66458333333335</v>
      </c>
      <c r="AD123" s="88">
        <f t="shared" si="49"/>
        <v>365.41298076923084</v>
      </c>
      <c r="AE123" s="88">
        <f t="shared" si="49"/>
        <v>159.83605769230769</v>
      </c>
      <c r="AF123" s="88">
        <f t="shared" si="49"/>
        <v>128.48557692307693</v>
      </c>
      <c r="AG123" s="88">
        <f t="shared" si="49"/>
        <v>356.33333333333337</v>
      </c>
      <c r="AH123" s="88">
        <f t="shared" si="49"/>
        <v>172.51330128205129</v>
      </c>
      <c r="AI123" s="88">
        <f t="shared" si="49"/>
        <v>153.15480769230771</v>
      </c>
      <c r="AJ123" s="88">
        <f t="shared" si="49"/>
        <v>205.57692307692309</v>
      </c>
      <c r="AK123" s="88">
        <f t="shared" si="49"/>
        <v>371.23766025641027</v>
      </c>
      <c r="AL123" s="88">
        <f t="shared" si="49"/>
        <v>202.15064102564105</v>
      </c>
      <c r="AM123" s="88">
        <f t="shared" si="49"/>
        <v>204.54903846153849</v>
      </c>
      <c r="AN123" s="88">
        <f t="shared" si="49"/>
        <v>95.935897435897445</v>
      </c>
      <c r="AO123" s="88">
        <f t="shared" si="49"/>
        <v>164.97548076923078</v>
      </c>
      <c r="AP123" s="88">
        <f t="shared" si="49"/>
        <v>169.08701923076924</v>
      </c>
      <c r="AQ123" s="88">
        <f t="shared" si="49"/>
        <v>175.93958333333336</v>
      </c>
      <c r="AR123" s="88">
        <f t="shared" si="49"/>
        <v>114.26650641025643</v>
      </c>
    </row>
    <row r="124" spans="1:44" s="106" customFormat="1" ht="14" hidden="1" outlineLevel="3" x14ac:dyDescent="0.35">
      <c r="A124" s="89" t="s">
        <v>131</v>
      </c>
      <c r="B124" s="90" t="s">
        <v>20</v>
      </c>
      <c r="C124" s="93">
        <f>10/104</f>
        <v>9.6153846153846159E-2</v>
      </c>
      <c r="D124" s="92"/>
      <c r="E124" s="92"/>
      <c r="F124" s="92"/>
      <c r="G124" s="92"/>
      <c r="H124" s="92"/>
      <c r="I124" s="92">
        <v>10</v>
      </c>
      <c r="J124" s="92"/>
      <c r="K124" s="92"/>
      <c r="L124" s="92"/>
      <c r="M124" s="92"/>
      <c r="N124" s="92"/>
      <c r="O124" s="92">
        <v>30</v>
      </c>
      <c r="P124" s="92"/>
      <c r="Q124" s="92"/>
      <c r="R124" s="92"/>
      <c r="S124" s="92"/>
      <c r="T124" s="93">
        <v>1</v>
      </c>
      <c r="U124" s="93">
        <f t="shared" si="46"/>
        <v>9.8133333333333326</v>
      </c>
      <c r="V124" s="92">
        <v>10.33</v>
      </c>
      <c r="W124" s="92">
        <v>8.68</v>
      </c>
      <c r="X124" s="92">
        <v>10.43</v>
      </c>
      <c r="Y124" s="92">
        <v>104</v>
      </c>
      <c r="Z124" s="92">
        <f t="shared" si="47"/>
        <v>0.94358974358974357</v>
      </c>
      <c r="AA124" s="95" t="s">
        <v>316</v>
      </c>
      <c r="AB124" s="97">
        <f t="shared" si="48"/>
        <v>1785.7435897435901</v>
      </c>
      <c r="AC124" s="88">
        <f t="shared" si="49"/>
        <v>111.62666666666667</v>
      </c>
      <c r="AD124" s="88">
        <f t="shared" si="49"/>
        <v>201.2676923076923</v>
      </c>
      <c r="AE124" s="88">
        <f t="shared" si="49"/>
        <v>88.036923076923074</v>
      </c>
      <c r="AF124" s="88">
        <f t="shared" si="49"/>
        <v>70.769230769230774</v>
      </c>
      <c r="AG124" s="88">
        <f t="shared" si="49"/>
        <v>196.26666666666665</v>
      </c>
      <c r="AH124" s="88">
        <f t="shared" si="49"/>
        <v>95.019487179487186</v>
      </c>
      <c r="AI124" s="88">
        <f t="shared" si="49"/>
        <v>84.356923076923081</v>
      </c>
      <c r="AJ124" s="88">
        <f t="shared" si="49"/>
        <v>113.23076923076923</v>
      </c>
      <c r="AK124" s="88">
        <f t="shared" si="49"/>
        <v>204.47589743589742</v>
      </c>
      <c r="AL124" s="88">
        <f t="shared" si="49"/>
        <v>111.34358974358975</v>
      </c>
      <c r="AM124" s="88">
        <f t="shared" si="49"/>
        <v>112.66461538461539</v>
      </c>
      <c r="AN124" s="88">
        <f t="shared" si="49"/>
        <v>52.841025641025638</v>
      </c>
      <c r="AO124" s="88">
        <f t="shared" si="49"/>
        <v>90.867692307692309</v>
      </c>
      <c r="AP124" s="88">
        <f t="shared" si="49"/>
        <v>93.132307692307691</v>
      </c>
      <c r="AQ124" s="88">
        <f t="shared" si="49"/>
        <v>96.906666666666666</v>
      </c>
      <c r="AR124" s="88">
        <f t="shared" si="49"/>
        <v>62.937435897435897</v>
      </c>
    </row>
    <row r="125" spans="1:44" s="106" customFormat="1" ht="14" hidden="1" outlineLevel="3" x14ac:dyDescent="0.35">
      <c r="A125" s="89" t="s">
        <v>132</v>
      </c>
      <c r="B125" s="90" t="s">
        <v>20</v>
      </c>
      <c r="C125" s="93">
        <f>20/104</f>
        <v>0.19230769230769232</v>
      </c>
      <c r="D125" s="92"/>
      <c r="E125" s="92"/>
      <c r="F125" s="92"/>
      <c r="G125" s="92"/>
      <c r="H125" s="92"/>
      <c r="I125" s="92">
        <v>20</v>
      </c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3">
        <v>1</v>
      </c>
      <c r="U125" s="93">
        <f t="shared" si="46"/>
        <v>73.7</v>
      </c>
      <c r="V125" s="92">
        <v>57</v>
      </c>
      <c r="W125" s="92">
        <v>84</v>
      </c>
      <c r="X125" s="92">
        <v>80.099999999999994</v>
      </c>
      <c r="Y125" s="92">
        <v>109</v>
      </c>
      <c r="Z125" s="92">
        <f t="shared" si="47"/>
        <v>14.173076923076925</v>
      </c>
      <c r="AA125" s="95" t="s">
        <v>317</v>
      </c>
      <c r="AB125" s="97">
        <f t="shared" si="48"/>
        <v>26822.548076923082</v>
      </c>
      <c r="AC125" s="88">
        <f t="shared" si="49"/>
        <v>1676.6750000000002</v>
      </c>
      <c r="AD125" s="88">
        <f t="shared" si="49"/>
        <v>3023.1173076923083</v>
      </c>
      <c r="AE125" s="88">
        <f t="shared" si="49"/>
        <v>1322.3480769230771</v>
      </c>
      <c r="AF125" s="88">
        <f t="shared" si="49"/>
        <v>1062.9807692307693</v>
      </c>
      <c r="AG125" s="88">
        <f t="shared" si="49"/>
        <v>2948.0000000000005</v>
      </c>
      <c r="AH125" s="88">
        <f t="shared" si="49"/>
        <v>1427.2288461538465</v>
      </c>
      <c r="AI125" s="88">
        <f t="shared" si="49"/>
        <v>1267.0730769230772</v>
      </c>
      <c r="AJ125" s="88">
        <f t="shared" si="49"/>
        <v>1700.7692307692309</v>
      </c>
      <c r="AK125" s="88">
        <f t="shared" si="49"/>
        <v>3071.3057692307693</v>
      </c>
      <c r="AL125" s="88">
        <f t="shared" si="49"/>
        <v>1672.4230769230771</v>
      </c>
      <c r="AM125" s="88">
        <f t="shared" si="49"/>
        <v>1692.2653846153848</v>
      </c>
      <c r="AN125" s="88">
        <f t="shared" si="49"/>
        <v>793.69230769230785</v>
      </c>
      <c r="AO125" s="88">
        <f t="shared" si="49"/>
        <v>1364.8673076923078</v>
      </c>
      <c r="AP125" s="88">
        <f t="shared" si="49"/>
        <v>1398.8826923076927</v>
      </c>
      <c r="AQ125" s="88">
        <f t="shared" si="49"/>
        <v>1455.5750000000003</v>
      </c>
      <c r="AR125" s="88">
        <f t="shared" si="49"/>
        <v>945.34423076923099</v>
      </c>
    </row>
    <row r="126" spans="1:44" s="106" customFormat="1" ht="14" hidden="1" outlineLevel="3" x14ac:dyDescent="0.35">
      <c r="A126" s="89" t="s">
        <v>133</v>
      </c>
      <c r="B126" s="90" t="s">
        <v>20</v>
      </c>
      <c r="C126" s="93">
        <f>20/104</f>
        <v>0.19230769230769232</v>
      </c>
      <c r="D126" s="92"/>
      <c r="E126" s="92"/>
      <c r="F126" s="92"/>
      <c r="G126" s="92"/>
      <c r="H126" s="92"/>
      <c r="I126" s="92">
        <v>20</v>
      </c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3">
        <v>1</v>
      </c>
      <c r="U126" s="93">
        <f t="shared" si="46"/>
        <v>98.716666666666654</v>
      </c>
      <c r="V126" s="92">
        <v>103.9</v>
      </c>
      <c r="W126" s="92">
        <v>87.31</v>
      </c>
      <c r="X126" s="92">
        <v>104.94</v>
      </c>
      <c r="Y126" s="92">
        <v>106</v>
      </c>
      <c r="Z126" s="92">
        <f t="shared" si="47"/>
        <v>18.983974358974358</v>
      </c>
      <c r="AA126" s="95" t="s">
        <v>317</v>
      </c>
      <c r="AB126" s="97">
        <f t="shared" si="48"/>
        <v>35927.171474358962</v>
      </c>
      <c r="AC126" s="88">
        <f t="shared" si="49"/>
        <v>2245.8041666666663</v>
      </c>
      <c r="AD126" s="88">
        <f t="shared" si="49"/>
        <v>4049.2817307692308</v>
      </c>
      <c r="AE126" s="88">
        <f t="shared" si="49"/>
        <v>1771.2048076923074</v>
      </c>
      <c r="AF126" s="88">
        <f t="shared" si="49"/>
        <v>1423.7980769230769</v>
      </c>
      <c r="AG126" s="88">
        <f t="shared" si="49"/>
        <v>3948.6666666666665</v>
      </c>
      <c r="AH126" s="88">
        <f t="shared" si="49"/>
        <v>1911.686217948718</v>
      </c>
      <c r="AI126" s="88">
        <f t="shared" si="49"/>
        <v>1697.1673076923078</v>
      </c>
      <c r="AJ126" s="88">
        <f t="shared" si="49"/>
        <v>2278.0769230769229</v>
      </c>
      <c r="AK126" s="88">
        <f t="shared" si="49"/>
        <v>4113.8272435897434</v>
      </c>
      <c r="AL126" s="88">
        <f t="shared" si="49"/>
        <v>2240.1089743589741</v>
      </c>
      <c r="AM126" s="88">
        <f t="shared" si="49"/>
        <v>2266.6865384615385</v>
      </c>
      <c r="AN126" s="88">
        <f t="shared" si="49"/>
        <v>1063.102564102564</v>
      </c>
      <c r="AO126" s="88">
        <f t="shared" si="49"/>
        <v>1828.1567307692305</v>
      </c>
      <c r="AP126" s="88">
        <f t="shared" si="49"/>
        <v>1873.7182692307692</v>
      </c>
      <c r="AQ126" s="88">
        <f t="shared" si="49"/>
        <v>1949.6541666666667</v>
      </c>
      <c r="AR126" s="88">
        <f t="shared" si="49"/>
        <v>1266.2310897435898</v>
      </c>
    </row>
    <row r="127" spans="1:44" s="106" customFormat="1" ht="14" hidden="1" outlineLevel="3" x14ac:dyDescent="0.35">
      <c r="A127" s="89" t="s">
        <v>134</v>
      </c>
      <c r="B127" s="90" t="s">
        <v>20</v>
      </c>
      <c r="C127" s="93">
        <f>50/104</f>
        <v>0.48076923076923078</v>
      </c>
      <c r="D127" s="92"/>
      <c r="E127" s="92"/>
      <c r="F127" s="92"/>
      <c r="G127" s="92"/>
      <c r="H127" s="92"/>
      <c r="I127" s="92">
        <v>50</v>
      </c>
      <c r="J127" s="92">
        <v>85</v>
      </c>
      <c r="K127" s="92"/>
      <c r="L127" s="92"/>
      <c r="M127" s="92"/>
      <c r="N127" s="92"/>
      <c r="O127" s="92">
        <v>18</v>
      </c>
      <c r="P127" s="92"/>
      <c r="Q127" s="92"/>
      <c r="R127" s="92"/>
      <c r="S127" s="92"/>
      <c r="T127" s="93">
        <v>1</v>
      </c>
      <c r="U127" s="93">
        <f t="shared" si="46"/>
        <v>9.3666666666666671</v>
      </c>
      <c r="V127" s="107">
        <v>9</v>
      </c>
      <c r="W127" s="107">
        <v>9.1</v>
      </c>
      <c r="X127" s="107">
        <v>10</v>
      </c>
      <c r="Y127" s="92">
        <v>107</v>
      </c>
      <c r="Z127" s="92">
        <f t="shared" si="47"/>
        <v>4.5032051282051286</v>
      </c>
      <c r="AA127" s="95" t="s">
        <v>319</v>
      </c>
      <c r="AB127" s="97">
        <f t="shared" si="48"/>
        <v>8522.3157051282051</v>
      </c>
      <c r="AC127" s="88">
        <f t="shared" si="49"/>
        <v>532.72916666666674</v>
      </c>
      <c r="AD127" s="88">
        <f t="shared" si="49"/>
        <v>960.53365384615404</v>
      </c>
      <c r="AE127" s="88">
        <f t="shared" si="49"/>
        <v>420.14903846153851</v>
      </c>
      <c r="AF127" s="88">
        <f t="shared" si="49"/>
        <v>337.74038461538464</v>
      </c>
      <c r="AG127" s="88">
        <f t="shared" si="49"/>
        <v>936.66666666666674</v>
      </c>
      <c r="AH127" s="88">
        <f t="shared" si="49"/>
        <v>453.47275641025647</v>
      </c>
      <c r="AI127" s="88">
        <f t="shared" si="49"/>
        <v>402.58653846153851</v>
      </c>
      <c r="AJ127" s="88">
        <f t="shared" si="49"/>
        <v>540.38461538461547</v>
      </c>
      <c r="AK127" s="88">
        <f t="shared" si="49"/>
        <v>975.84455128205127</v>
      </c>
      <c r="AL127" s="88">
        <f t="shared" si="49"/>
        <v>531.3782051282052</v>
      </c>
      <c r="AM127" s="88">
        <f t="shared" si="49"/>
        <v>537.68269230769238</v>
      </c>
      <c r="AN127" s="88">
        <f t="shared" si="49"/>
        <v>252.17948717948721</v>
      </c>
      <c r="AO127" s="88">
        <f t="shared" si="49"/>
        <v>433.65865384615387</v>
      </c>
      <c r="AP127" s="88">
        <f t="shared" si="49"/>
        <v>444.46634615384619</v>
      </c>
      <c r="AQ127" s="88">
        <f t="shared" si="49"/>
        <v>462.47916666666674</v>
      </c>
      <c r="AR127" s="88">
        <f t="shared" ref="AE127:AR132" si="50">$Z127*AR$2</f>
        <v>300.3637820512821</v>
      </c>
    </row>
    <row r="128" spans="1:44" s="106" customFormat="1" ht="14" hidden="1" outlineLevel="3" x14ac:dyDescent="0.35">
      <c r="A128" s="89" t="s">
        <v>135</v>
      </c>
      <c r="B128" s="90" t="s">
        <v>20</v>
      </c>
      <c r="C128" s="93">
        <f>20/104</f>
        <v>0.19230769230769232</v>
      </c>
      <c r="D128" s="92"/>
      <c r="E128" s="92"/>
      <c r="F128" s="92"/>
      <c r="G128" s="92"/>
      <c r="H128" s="92"/>
      <c r="I128" s="92">
        <v>20</v>
      </c>
      <c r="J128" s="92"/>
      <c r="K128" s="92"/>
      <c r="L128" s="92"/>
      <c r="M128" s="92"/>
      <c r="N128" s="92"/>
      <c r="O128" s="92">
        <v>5</v>
      </c>
      <c r="P128" s="92"/>
      <c r="Q128" s="92"/>
      <c r="R128" s="92"/>
      <c r="S128" s="92"/>
      <c r="T128" s="93">
        <v>1</v>
      </c>
      <c r="U128" s="93">
        <f t="shared" si="46"/>
        <v>41</v>
      </c>
      <c r="V128" s="107">
        <v>36</v>
      </c>
      <c r="W128" s="107">
        <v>42</v>
      </c>
      <c r="X128" s="107">
        <v>45</v>
      </c>
      <c r="Y128" s="92">
        <v>108</v>
      </c>
      <c r="Z128" s="92">
        <f t="shared" si="47"/>
        <v>7.884615384615385</v>
      </c>
      <c r="AA128" s="95" t="s">
        <v>317</v>
      </c>
      <c r="AB128" s="97">
        <f t="shared" si="48"/>
        <v>14921.634615384613</v>
      </c>
      <c r="AC128" s="88">
        <f t="shared" ref="AC128:AD132" si="51">$Z128*AC$2</f>
        <v>932.75</v>
      </c>
      <c r="AD128" s="88">
        <f t="shared" si="51"/>
        <v>1681.7884615384617</v>
      </c>
      <c r="AE128" s="88">
        <f t="shared" si="50"/>
        <v>735.63461538461536</v>
      </c>
      <c r="AF128" s="88">
        <f t="shared" si="50"/>
        <v>591.34615384615392</v>
      </c>
      <c r="AG128" s="88">
        <f t="shared" si="50"/>
        <v>1640</v>
      </c>
      <c r="AH128" s="88">
        <f t="shared" si="50"/>
        <v>793.98076923076928</v>
      </c>
      <c r="AI128" s="88">
        <f t="shared" si="50"/>
        <v>704.88461538461547</v>
      </c>
      <c r="AJ128" s="88">
        <f t="shared" si="50"/>
        <v>946.15384615384619</v>
      </c>
      <c r="AK128" s="88">
        <f t="shared" si="50"/>
        <v>1708.5961538461538</v>
      </c>
      <c r="AL128" s="88">
        <f t="shared" si="50"/>
        <v>930.38461538461547</v>
      </c>
      <c r="AM128" s="88">
        <f t="shared" si="50"/>
        <v>941.42307692307702</v>
      </c>
      <c r="AN128" s="88">
        <f t="shared" si="50"/>
        <v>441.53846153846155</v>
      </c>
      <c r="AO128" s="88">
        <f t="shared" si="50"/>
        <v>759.28846153846155</v>
      </c>
      <c r="AP128" s="88">
        <f t="shared" si="50"/>
        <v>778.21153846153857</v>
      </c>
      <c r="AQ128" s="88">
        <f t="shared" si="50"/>
        <v>809.75000000000011</v>
      </c>
      <c r="AR128" s="88">
        <f t="shared" si="50"/>
        <v>525.90384615384619</v>
      </c>
    </row>
    <row r="129" spans="1:44" s="106" customFormat="1" ht="14" hidden="1" outlineLevel="3" x14ac:dyDescent="0.35">
      <c r="A129" s="89" t="s">
        <v>132</v>
      </c>
      <c r="B129" s="90" t="s">
        <v>107</v>
      </c>
      <c r="C129" s="93">
        <f>6/104</f>
        <v>5.7692307692307696E-2</v>
      </c>
      <c r="D129" s="92"/>
      <c r="E129" s="92">
        <v>6</v>
      </c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3">
        <v>1</v>
      </c>
      <c r="U129" s="93">
        <f t="shared" si="46"/>
        <v>29.123333333333335</v>
      </c>
      <c r="V129" s="92">
        <v>30.65</v>
      </c>
      <c r="W129" s="92">
        <v>25.76</v>
      </c>
      <c r="X129" s="92">
        <v>30.96</v>
      </c>
      <c r="Y129" s="92">
        <v>105</v>
      </c>
      <c r="Z129" s="92">
        <f t="shared" si="47"/>
        <v>1.6801923076923078</v>
      </c>
      <c r="AA129" s="95" t="s">
        <v>320</v>
      </c>
      <c r="AB129" s="97">
        <f t="shared" si="48"/>
        <v>3179.7639423076921</v>
      </c>
      <c r="AC129" s="88">
        <f t="shared" si="51"/>
        <v>198.76675</v>
      </c>
      <c r="AD129" s="88">
        <f t="shared" si="51"/>
        <v>358.38501923076927</v>
      </c>
      <c r="AE129" s="88">
        <f t="shared" si="50"/>
        <v>156.76194230769232</v>
      </c>
      <c r="AF129" s="88">
        <f t="shared" si="50"/>
        <v>126.01442307692308</v>
      </c>
      <c r="AG129" s="88">
        <f t="shared" si="50"/>
        <v>349.48</v>
      </c>
      <c r="AH129" s="88">
        <f t="shared" si="50"/>
        <v>169.1953653846154</v>
      </c>
      <c r="AI129" s="88">
        <f t="shared" si="50"/>
        <v>150.20919230769232</v>
      </c>
      <c r="AJ129" s="88">
        <f t="shared" si="50"/>
        <v>201.62307692307692</v>
      </c>
      <c r="AK129" s="88">
        <f t="shared" si="50"/>
        <v>364.09767307692306</v>
      </c>
      <c r="AL129" s="88">
        <f t="shared" si="50"/>
        <v>198.2626923076923</v>
      </c>
      <c r="AM129" s="88">
        <f t="shared" si="50"/>
        <v>200.61496153846156</v>
      </c>
      <c r="AN129" s="88">
        <f t="shared" si="50"/>
        <v>94.09076923076924</v>
      </c>
      <c r="AO129" s="88">
        <f t="shared" si="50"/>
        <v>161.80251923076924</v>
      </c>
      <c r="AP129" s="88">
        <f t="shared" si="50"/>
        <v>165.83498076923078</v>
      </c>
      <c r="AQ129" s="88">
        <f t="shared" si="50"/>
        <v>172.55575000000002</v>
      </c>
      <c r="AR129" s="88">
        <f t="shared" si="50"/>
        <v>112.06882692307693</v>
      </c>
    </row>
    <row r="130" spans="1:44" s="106" customFormat="1" ht="14" hidden="1" outlineLevel="3" x14ac:dyDescent="0.35">
      <c r="A130" s="89" t="s">
        <v>136</v>
      </c>
      <c r="B130" s="90" t="s">
        <v>20</v>
      </c>
      <c r="C130" s="93">
        <f>5/104</f>
        <v>4.807692307692308E-2</v>
      </c>
      <c r="D130" s="92"/>
      <c r="E130" s="92">
        <v>5</v>
      </c>
      <c r="F130" s="92"/>
      <c r="G130" s="92"/>
      <c r="H130" s="92"/>
      <c r="I130" s="92">
        <v>10</v>
      </c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3">
        <v>1</v>
      </c>
      <c r="U130" s="93">
        <f t="shared" si="46"/>
        <v>31.876666666666665</v>
      </c>
      <c r="V130" s="92">
        <v>33.549999999999997</v>
      </c>
      <c r="W130" s="92">
        <v>28.19</v>
      </c>
      <c r="X130" s="92">
        <v>33.89</v>
      </c>
      <c r="Y130" s="92">
        <v>110</v>
      </c>
      <c r="Z130" s="92">
        <f t="shared" si="47"/>
        <v>1.5325320512820513</v>
      </c>
      <c r="AA130" s="95" t="s">
        <v>321</v>
      </c>
      <c r="AB130" s="97">
        <f t="shared" si="48"/>
        <v>2900.3169070512818</v>
      </c>
      <c r="AC130" s="88">
        <f t="shared" si="51"/>
        <v>181.29854166666667</v>
      </c>
      <c r="AD130" s="88">
        <f t="shared" si="51"/>
        <v>326.88908653846153</v>
      </c>
      <c r="AE130" s="88">
        <f t="shared" si="50"/>
        <v>142.98524038461537</v>
      </c>
      <c r="AF130" s="88">
        <f t="shared" si="50"/>
        <v>114.93990384615384</v>
      </c>
      <c r="AG130" s="88">
        <f t="shared" si="50"/>
        <v>318.76666666666665</v>
      </c>
      <c r="AH130" s="88">
        <f t="shared" si="50"/>
        <v>154.32597756410257</v>
      </c>
      <c r="AI130" s="88">
        <f t="shared" si="50"/>
        <v>137.00836538461539</v>
      </c>
      <c r="AJ130" s="88">
        <f t="shared" si="50"/>
        <v>183.90384615384616</v>
      </c>
      <c r="AK130" s="88">
        <f t="shared" si="50"/>
        <v>332.09969551282052</v>
      </c>
      <c r="AL130" s="88">
        <f t="shared" si="50"/>
        <v>180.83878205128204</v>
      </c>
      <c r="AM130" s="88">
        <f t="shared" si="50"/>
        <v>182.98432692307694</v>
      </c>
      <c r="AN130" s="88">
        <f t="shared" si="50"/>
        <v>85.821794871794879</v>
      </c>
      <c r="AO130" s="88">
        <f t="shared" si="50"/>
        <v>147.58283653846152</v>
      </c>
      <c r="AP130" s="88">
        <f t="shared" si="50"/>
        <v>151.26091346153848</v>
      </c>
      <c r="AQ130" s="88">
        <f t="shared" si="50"/>
        <v>157.39104166666667</v>
      </c>
      <c r="AR130" s="88">
        <f t="shared" si="50"/>
        <v>102.21988782051282</v>
      </c>
    </row>
    <row r="131" spans="1:44" s="106" customFormat="1" ht="14" hidden="1" outlineLevel="3" x14ac:dyDescent="0.35">
      <c r="A131" s="89" t="s">
        <v>137</v>
      </c>
      <c r="B131" s="90" t="s">
        <v>107</v>
      </c>
      <c r="C131" s="93">
        <f>12/104</f>
        <v>0.11538461538461539</v>
      </c>
      <c r="D131" s="92"/>
      <c r="E131" s="92">
        <v>12</v>
      </c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3">
        <v>1</v>
      </c>
      <c r="U131" s="93">
        <f t="shared" si="46"/>
        <v>67.533333333333331</v>
      </c>
      <c r="V131" s="92">
        <v>85</v>
      </c>
      <c r="W131" s="92">
        <v>42</v>
      </c>
      <c r="X131" s="92">
        <v>75.599999999999994</v>
      </c>
      <c r="Y131" s="92">
        <v>111</v>
      </c>
      <c r="Z131" s="92">
        <f t="shared" si="47"/>
        <v>7.7923076923076922</v>
      </c>
      <c r="AA131" s="95" t="s">
        <v>322</v>
      </c>
      <c r="AB131" s="97">
        <f t="shared" si="48"/>
        <v>14746.942307692309</v>
      </c>
      <c r="AC131" s="88">
        <f t="shared" si="51"/>
        <v>921.82999999999993</v>
      </c>
      <c r="AD131" s="88">
        <f t="shared" si="51"/>
        <v>1662.0992307692309</v>
      </c>
      <c r="AE131" s="88">
        <f t="shared" si="50"/>
        <v>727.02230769230766</v>
      </c>
      <c r="AF131" s="88">
        <f t="shared" si="50"/>
        <v>584.42307692307691</v>
      </c>
      <c r="AG131" s="88">
        <f t="shared" si="50"/>
        <v>1620.8</v>
      </c>
      <c r="AH131" s="88">
        <f t="shared" si="50"/>
        <v>784.68538461538458</v>
      </c>
      <c r="AI131" s="88">
        <f t="shared" si="50"/>
        <v>696.63230769230768</v>
      </c>
      <c r="AJ131" s="88">
        <f t="shared" si="50"/>
        <v>935.07692307692309</v>
      </c>
      <c r="AK131" s="88">
        <f t="shared" si="50"/>
        <v>1688.5930769230768</v>
      </c>
      <c r="AL131" s="88">
        <f t="shared" si="50"/>
        <v>919.49230769230769</v>
      </c>
      <c r="AM131" s="88">
        <f t="shared" si="50"/>
        <v>930.40153846153851</v>
      </c>
      <c r="AN131" s="88">
        <f t="shared" si="50"/>
        <v>436.36923076923074</v>
      </c>
      <c r="AO131" s="88">
        <f t="shared" si="50"/>
        <v>750.39923076923071</v>
      </c>
      <c r="AP131" s="88">
        <f t="shared" si="50"/>
        <v>769.10076923076929</v>
      </c>
      <c r="AQ131" s="88">
        <f t="shared" si="50"/>
        <v>800.27</v>
      </c>
      <c r="AR131" s="88">
        <f t="shared" si="50"/>
        <v>519.74692307692305</v>
      </c>
    </row>
    <row r="132" spans="1:44" s="106" customFormat="1" ht="14" hidden="1" outlineLevel="3" x14ac:dyDescent="0.35">
      <c r="A132" s="89" t="s">
        <v>138</v>
      </c>
      <c r="B132" s="90" t="s">
        <v>107</v>
      </c>
      <c r="C132" s="93">
        <f>6/104</f>
        <v>5.7692307692307696E-2</v>
      </c>
      <c r="D132" s="92"/>
      <c r="E132" s="92">
        <v>6</v>
      </c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3">
        <v>1</v>
      </c>
      <c r="U132" s="93">
        <f t="shared" si="46"/>
        <v>39</v>
      </c>
      <c r="V132" s="92">
        <v>39</v>
      </c>
      <c r="W132" s="92"/>
      <c r="X132" s="92"/>
      <c r="Y132" s="92">
        <v>112</v>
      </c>
      <c r="Z132" s="92">
        <f t="shared" si="47"/>
        <v>2.25</v>
      </c>
      <c r="AA132" s="95" t="s">
        <v>320</v>
      </c>
      <c r="AB132" s="97">
        <f t="shared" si="48"/>
        <v>4258.125</v>
      </c>
      <c r="AC132" s="88">
        <f t="shared" si="51"/>
        <v>266.17500000000001</v>
      </c>
      <c r="AD132" s="88">
        <f t="shared" si="51"/>
        <v>479.92500000000001</v>
      </c>
      <c r="AE132" s="88">
        <f t="shared" si="50"/>
        <v>209.92499999999998</v>
      </c>
      <c r="AF132" s="88">
        <f t="shared" si="50"/>
        <v>168.75</v>
      </c>
      <c r="AG132" s="88">
        <f t="shared" si="50"/>
        <v>468</v>
      </c>
      <c r="AH132" s="88">
        <f t="shared" si="50"/>
        <v>226.57500000000002</v>
      </c>
      <c r="AI132" s="88">
        <f t="shared" si="50"/>
        <v>201.15</v>
      </c>
      <c r="AJ132" s="88">
        <f t="shared" si="50"/>
        <v>270</v>
      </c>
      <c r="AK132" s="88">
        <f t="shared" si="50"/>
        <v>487.57499999999999</v>
      </c>
      <c r="AL132" s="88">
        <f t="shared" si="50"/>
        <v>265.5</v>
      </c>
      <c r="AM132" s="88">
        <f t="shared" si="50"/>
        <v>268.65000000000003</v>
      </c>
      <c r="AN132" s="88">
        <f t="shared" si="50"/>
        <v>126</v>
      </c>
      <c r="AO132" s="88">
        <f t="shared" si="50"/>
        <v>216.67499999999998</v>
      </c>
      <c r="AP132" s="88">
        <f t="shared" si="50"/>
        <v>222.07500000000002</v>
      </c>
      <c r="AQ132" s="88">
        <f t="shared" si="50"/>
        <v>231.07500000000002</v>
      </c>
      <c r="AR132" s="88">
        <f t="shared" si="50"/>
        <v>150.07500000000002</v>
      </c>
    </row>
    <row r="133" spans="1:44" s="103" customFormat="1" ht="13" outlineLevel="2" collapsed="1" x14ac:dyDescent="0.35">
      <c r="A133" s="101" t="s">
        <v>303</v>
      </c>
      <c r="B133" s="102" t="s">
        <v>3</v>
      </c>
      <c r="C133" s="102" t="s">
        <v>3</v>
      </c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102" t="s">
        <v>3</v>
      </c>
      <c r="U133" s="102" t="s">
        <v>3</v>
      </c>
      <c r="V133" s="102" t="s">
        <v>3</v>
      </c>
      <c r="W133" s="102" t="s">
        <v>3</v>
      </c>
      <c r="X133" s="102" t="s">
        <v>3</v>
      </c>
      <c r="Y133" s="102" t="s">
        <v>3</v>
      </c>
      <c r="Z133" s="102" t="s">
        <v>3</v>
      </c>
      <c r="AA133" s="102" t="s">
        <v>3</v>
      </c>
      <c r="AB133" s="92">
        <f>SUM(AB134:AB172)</f>
        <v>210780.10524009287</v>
      </c>
      <c r="AC133" s="92">
        <f t="shared" ref="AC133:AR133" si="52">SUM(AC134:AC172)</f>
        <v>13175.844887663399</v>
      </c>
      <c r="AD133" s="92">
        <f t="shared" si="52"/>
        <v>23756.61635281998</v>
      </c>
      <c r="AE133" s="92">
        <f t="shared" si="52"/>
        <v>10391.431344201141</v>
      </c>
      <c r="AF133" s="92">
        <f t="shared" si="52"/>
        <v>8353.2406303867665</v>
      </c>
      <c r="AG133" s="92">
        <f t="shared" si="52"/>
        <v>23166.320681605976</v>
      </c>
      <c r="AH133" s="92">
        <f t="shared" si="52"/>
        <v>11215.617753065972</v>
      </c>
      <c r="AI133" s="92">
        <f t="shared" si="52"/>
        <v>9957.0628314210353</v>
      </c>
      <c r="AJ133" s="92">
        <f t="shared" si="52"/>
        <v>13365.18500861883</v>
      </c>
      <c r="AK133" s="92">
        <f t="shared" si="52"/>
        <v>24135.296594730826</v>
      </c>
      <c r="AL133" s="92">
        <f t="shared" si="52"/>
        <v>13142.431925141853</v>
      </c>
      <c r="AM133" s="92">
        <f t="shared" si="52"/>
        <v>13298.35908357574</v>
      </c>
      <c r="AN133" s="92">
        <f t="shared" si="52"/>
        <v>6237.0863373554566</v>
      </c>
      <c r="AO133" s="92">
        <f t="shared" si="52"/>
        <v>10725.560969416611</v>
      </c>
      <c r="AP133" s="92">
        <f t="shared" si="52"/>
        <v>10992.864669588989</v>
      </c>
      <c r="AQ133" s="92">
        <f t="shared" si="52"/>
        <v>11438.370836542952</v>
      </c>
      <c r="AR133" s="92">
        <f t="shared" si="52"/>
        <v>7428.8153339573009</v>
      </c>
    </row>
    <row r="134" spans="1:44" s="106" customFormat="1" ht="14" hidden="1" outlineLevel="3" x14ac:dyDescent="0.35">
      <c r="A134" s="89" t="s">
        <v>153</v>
      </c>
      <c r="B134" s="90" t="s">
        <v>107</v>
      </c>
      <c r="C134" s="93">
        <f>5/96</f>
        <v>5.2083333333333336E-2</v>
      </c>
      <c r="D134" s="92"/>
      <c r="E134" s="92">
        <v>5</v>
      </c>
      <c r="F134" s="92">
        <v>5</v>
      </c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3">
        <v>1</v>
      </c>
      <c r="U134" s="93">
        <f t="shared" si="46"/>
        <v>12.966666666666667</v>
      </c>
      <c r="V134" s="92">
        <v>14</v>
      </c>
      <c r="W134" s="92">
        <v>13.5</v>
      </c>
      <c r="X134" s="92">
        <v>11.4</v>
      </c>
      <c r="Y134" s="92">
        <v>113</v>
      </c>
      <c r="Z134" s="92">
        <f t="shared" ref="Z134:Z172" si="53">C134/$T134*$U134</f>
        <v>0.67534722222222221</v>
      </c>
      <c r="AA134" s="95" t="s">
        <v>323</v>
      </c>
      <c r="AB134" s="97">
        <f t="shared" ref="AB134:AB172" si="54">SUM(AC134:AR134)</f>
        <v>1278.0946180555554</v>
      </c>
      <c r="AC134" s="88">
        <f t="shared" ref="AC134:AR149" si="55">$Z134*AC$2</f>
        <v>79.893576388888889</v>
      </c>
      <c r="AD134" s="88">
        <f t="shared" si="55"/>
        <v>144.05156250000002</v>
      </c>
      <c r="AE134" s="88">
        <f t="shared" si="55"/>
        <v>63.009895833333331</v>
      </c>
      <c r="AF134" s="88">
        <f t="shared" si="55"/>
        <v>50.651041666666664</v>
      </c>
      <c r="AG134" s="88">
        <f t="shared" si="55"/>
        <v>140.47222222222223</v>
      </c>
      <c r="AH134" s="88">
        <f t="shared" si="55"/>
        <v>68.007465277777783</v>
      </c>
      <c r="AI134" s="88">
        <f t="shared" si="55"/>
        <v>60.376041666666673</v>
      </c>
      <c r="AJ134" s="88">
        <f t="shared" si="55"/>
        <v>81.041666666666671</v>
      </c>
      <c r="AK134" s="88">
        <f t="shared" si="55"/>
        <v>146.34774305555555</v>
      </c>
      <c r="AL134" s="88">
        <f t="shared" si="55"/>
        <v>79.690972222222214</v>
      </c>
      <c r="AM134" s="88">
        <f t="shared" si="55"/>
        <v>80.636458333333337</v>
      </c>
      <c r="AN134" s="88">
        <f t="shared" si="55"/>
        <v>37.819444444444443</v>
      </c>
      <c r="AO134" s="88">
        <f t="shared" si="55"/>
        <v>65.035937500000003</v>
      </c>
      <c r="AP134" s="88">
        <f t="shared" si="55"/>
        <v>66.65677083333334</v>
      </c>
      <c r="AQ134" s="88">
        <f t="shared" si="55"/>
        <v>69.358159722222226</v>
      </c>
      <c r="AR134" s="88">
        <f t="shared" si="55"/>
        <v>45.045659722222226</v>
      </c>
    </row>
    <row r="135" spans="1:44" s="106" customFormat="1" ht="14" hidden="1" outlineLevel="3" x14ac:dyDescent="0.35">
      <c r="A135" s="89" t="s">
        <v>154</v>
      </c>
      <c r="B135" s="90" t="s">
        <v>107</v>
      </c>
      <c r="C135" s="93">
        <f>5/96</f>
        <v>5.2083333333333336E-2</v>
      </c>
      <c r="D135" s="92"/>
      <c r="E135" s="92">
        <v>5</v>
      </c>
      <c r="F135" s="92">
        <v>5</v>
      </c>
      <c r="G135" s="92"/>
      <c r="H135" s="92"/>
      <c r="I135" s="92">
        <v>2</v>
      </c>
      <c r="J135" s="92"/>
      <c r="K135" s="92"/>
      <c r="L135" s="92"/>
      <c r="M135" s="92"/>
      <c r="N135" s="92"/>
      <c r="O135" s="92"/>
      <c r="P135" s="92"/>
      <c r="Q135" s="92"/>
      <c r="R135" s="92"/>
      <c r="S135" s="92">
        <v>2</v>
      </c>
      <c r="T135" s="93">
        <v>1</v>
      </c>
      <c r="U135" s="93">
        <f t="shared" si="46"/>
        <v>4.3999999999999995</v>
      </c>
      <c r="V135" s="111">
        <v>3.5</v>
      </c>
      <c r="W135" s="111">
        <v>6.7</v>
      </c>
      <c r="X135" s="111">
        <v>3</v>
      </c>
      <c r="Y135" s="92">
        <v>114</v>
      </c>
      <c r="Z135" s="92">
        <f t="shared" si="53"/>
        <v>0.22916666666666666</v>
      </c>
      <c r="AA135" s="95" t="s">
        <v>323</v>
      </c>
      <c r="AB135" s="97">
        <f t="shared" si="54"/>
        <v>433.69791666666669</v>
      </c>
      <c r="AC135" s="88">
        <f t="shared" si="55"/>
        <v>27.110416666666666</v>
      </c>
      <c r="AD135" s="88">
        <f t="shared" si="55"/>
        <v>48.881250000000001</v>
      </c>
      <c r="AE135" s="88">
        <f t="shared" si="55"/>
        <v>21.381249999999998</v>
      </c>
      <c r="AF135" s="88">
        <f t="shared" si="55"/>
        <v>17.1875</v>
      </c>
      <c r="AG135" s="88">
        <f t="shared" si="55"/>
        <v>47.666666666666664</v>
      </c>
      <c r="AH135" s="88">
        <f t="shared" si="55"/>
        <v>23.077083333333334</v>
      </c>
      <c r="AI135" s="88">
        <f t="shared" si="55"/>
        <v>20.487500000000001</v>
      </c>
      <c r="AJ135" s="88">
        <f t="shared" si="55"/>
        <v>27.5</v>
      </c>
      <c r="AK135" s="88">
        <f t="shared" si="55"/>
        <v>49.660416666666663</v>
      </c>
      <c r="AL135" s="88">
        <f t="shared" si="55"/>
        <v>27.041666666666664</v>
      </c>
      <c r="AM135" s="88">
        <f t="shared" si="55"/>
        <v>27.362500000000001</v>
      </c>
      <c r="AN135" s="88">
        <f t="shared" si="55"/>
        <v>12.833333333333332</v>
      </c>
      <c r="AO135" s="88">
        <f t="shared" si="55"/>
        <v>22.068749999999998</v>
      </c>
      <c r="AP135" s="88">
        <f t="shared" si="55"/>
        <v>22.618749999999999</v>
      </c>
      <c r="AQ135" s="88">
        <f t="shared" si="55"/>
        <v>23.535416666666666</v>
      </c>
      <c r="AR135" s="88">
        <f t="shared" si="55"/>
        <v>15.285416666666666</v>
      </c>
    </row>
    <row r="136" spans="1:44" s="106" customFormat="1" ht="14" hidden="1" outlineLevel="3" x14ac:dyDescent="0.35">
      <c r="A136" s="89" t="s">
        <v>155</v>
      </c>
      <c r="B136" s="90" t="s">
        <v>107</v>
      </c>
      <c r="C136" s="93">
        <f>5/104</f>
        <v>4.807692307692308E-2</v>
      </c>
      <c r="D136" s="92"/>
      <c r="E136" s="92"/>
      <c r="F136" s="92"/>
      <c r="G136" s="92"/>
      <c r="H136" s="92"/>
      <c r="I136" s="92">
        <v>5</v>
      </c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3">
        <v>1</v>
      </c>
      <c r="U136" s="93">
        <f t="shared" si="46"/>
        <v>3.6666666666666665</v>
      </c>
      <c r="V136" s="92">
        <v>3</v>
      </c>
      <c r="W136" s="92">
        <v>3</v>
      </c>
      <c r="X136" s="92">
        <v>5</v>
      </c>
      <c r="Y136" s="92">
        <v>115</v>
      </c>
      <c r="Z136" s="92">
        <f t="shared" si="53"/>
        <v>0.17628205128205129</v>
      </c>
      <c r="AA136" s="95" t="s">
        <v>320</v>
      </c>
      <c r="AB136" s="97">
        <f t="shared" si="54"/>
        <v>333.61378205128204</v>
      </c>
      <c r="AC136" s="88">
        <f t="shared" si="55"/>
        <v>20.854166666666668</v>
      </c>
      <c r="AD136" s="88">
        <f t="shared" si="55"/>
        <v>37.60096153846154</v>
      </c>
      <c r="AE136" s="88">
        <f t="shared" si="55"/>
        <v>16.447115384615387</v>
      </c>
      <c r="AF136" s="88">
        <f t="shared" si="55"/>
        <v>13.221153846153847</v>
      </c>
      <c r="AG136" s="88">
        <f t="shared" si="55"/>
        <v>36.666666666666671</v>
      </c>
      <c r="AH136" s="88">
        <f t="shared" si="55"/>
        <v>17.751602564102566</v>
      </c>
      <c r="AI136" s="88">
        <f t="shared" si="55"/>
        <v>15.759615384615387</v>
      </c>
      <c r="AJ136" s="88">
        <f t="shared" si="55"/>
        <v>21.153846153846157</v>
      </c>
      <c r="AK136" s="88">
        <f t="shared" si="55"/>
        <v>38.200320512820511</v>
      </c>
      <c r="AL136" s="88">
        <f t="shared" si="55"/>
        <v>20.801282051282051</v>
      </c>
      <c r="AM136" s="88">
        <f t="shared" si="55"/>
        <v>21.048076923076927</v>
      </c>
      <c r="AN136" s="88">
        <f t="shared" si="55"/>
        <v>9.8717948717948723</v>
      </c>
      <c r="AO136" s="88">
        <f t="shared" si="55"/>
        <v>16.97596153846154</v>
      </c>
      <c r="AP136" s="88">
        <f t="shared" si="55"/>
        <v>17.399038461538463</v>
      </c>
      <c r="AQ136" s="88">
        <f t="shared" si="55"/>
        <v>18.104166666666668</v>
      </c>
      <c r="AR136" s="88">
        <f t="shared" si="55"/>
        <v>11.758012820512821</v>
      </c>
    </row>
    <row r="137" spans="1:44" s="106" customFormat="1" ht="14" hidden="1" outlineLevel="3" x14ac:dyDescent="0.35">
      <c r="A137" s="89" t="s">
        <v>156</v>
      </c>
      <c r="B137" s="90" t="s">
        <v>107</v>
      </c>
      <c r="C137" s="93">
        <f>150/96</f>
        <v>1.5625</v>
      </c>
      <c r="D137" s="92">
        <v>360</v>
      </c>
      <c r="E137" s="92">
        <v>0</v>
      </c>
      <c r="F137" s="92">
        <v>150</v>
      </c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>
        <v>3.2</v>
      </c>
      <c r="T137" s="93">
        <v>1</v>
      </c>
      <c r="U137" s="93">
        <f t="shared" si="46"/>
        <v>3.9666666666666668</v>
      </c>
      <c r="V137" s="107">
        <v>3.4</v>
      </c>
      <c r="W137" s="107">
        <v>5</v>
      </c>
      <c r="X137" s="107">
        <v>3.5</v>
      </c>
      <c r="Y137" s="92">
        <v>116</v>
      </c>
      <c r="Z137" s="92">
        <f t="shared" si="53"/>
        <v>6.197916666666667</v>
      </c>
      <c r="AA137" s="95" t="s">
        <v>323</v>
      </c>
      <c r="AB137" s="97">
        <f t="shared" si="54"/>
        <v>11729.557291666666</v>
      </c>
      <c r="AC137" s="88">
        <f t="shared" si="55"/>
        <v>733.21354166666663</v>
      </c>
      <c r="AD137" s="88">
        <f t="shared" si="55"/>
        <v>1322.0156250000002</v>
      </c>
      <c r="AE137" s="88">
        <f t="shared" si="55"/>
        <v>578.265625</v>
      </c>
      <c r="AF137" s="88">
        <f t="shared" si="55"/>
        <v>464.84375</v>
      </c>
      <c r="AG137" s="88">
        <f t="shared" si="55"/>
        <v>1289.1666666666667</v>
      </c>
      <c r="AH137" s="88">
        <f t="shared" si="55"/>
        <v>624.13020833333337</v>
      </c>
      <c r="AI137" s="88">
        <f t="shared" si="55"/>
        <v>554.09375000000011</v>
      </c>
      <c r="AJ137" s="88">
        <f t="shared" si="55"/>
        <v>743.75</v>
      </c>
      <c r="AK137" s="88">
        <f t="shared" si="55"/>
        <v>1343.0885416666667</v>
      </c>
      <c r="AL137" s="88">
        <f t="shared" si="55"/>
        <v>731.35416666666674</v>
      </c>
      <c r="AM137" s="88">
        <f t="shared" si="55"/>
        <v>740.03125000000011</v>
      </c>
      <c r="AN137" s="88">
        <f t="shared" si="55"/>
        <v>347.08333333333337</v>
      </c>
      <c r="AO137" s="88">
        <f t="shared" si="55"/>
        <v>596.859375</v>
      </c>
      <c r="AP137" s="88">
        <f t="shared" si="55"/>
        <v>611.734375</v>
      </c>
      <c r="AQ137" s="88">
        <f t="shared" si="55"/>
        <v>636.52604166666674</v>
      </c>
      <c r="AR137" s="88">
        <f t="shared" si="55"/>
        <v>413.40104166666669</v>
      </c>
    </row>
    <row r="138" spans="1:44" s="106" customFormat="1" ht="26" hidden="1" outlineLevel="3" x14ac:dyDescent="0.35">
      <c r="A138" s="89" t="s">
        <v>157</v>
      </c>
      <c r="B138" s="90" t="s">
        <v>107</v>
      </c>
      <c r="C138" s="93">
        <f>50/96</f>
        <v>0.52083333333333337</v>
      </c>
      <c r="D138" s="92"/>
      <c r="E138" s="92">
        <v>200</v>
      </c>
      <c r="F138" s="92">
        <v>50</v>
      </c>
      <c r="G138" s="92"/>
      <c r="H138" s="92"/>
      <c r="I138" s="92">
        <v>200</v>
      </c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3">
        <v>1</v>
      </c>
      <c r="U138" s="93">
        <f t="shared" si="46"/>
        <v>25.666666666666668</v>
      </c>
      <c r="V138" s="107">
        <v>27</v>
      </c>
      <c r="W138" s="107">
        <v>24</v>
      </c>
      <c r="X138" s="107">
        <v>26</v>
      </c>
      <c r="Y138" s="92">
        <v>117</v>
      </c>
      <c r="Z138" s="92">
        <f t="shared" si="53"/>
        <v>13.368055555555557</v>
      </c>
      <c r="AA138" s="95" t="s">
        <v>323</v>
      </c>
      <c r="AB138" s="97">
        <f t="shared" si="54"/>
        <v>25299.045138888887</v>
      </c>
      <c r="AC138" s="88">
        <f t="shared" si="55"/>
        <v>1581.4409722222224</v>
      </c>
      <c r="AD138" s="88">
        <f t="shared" si="55"/>
        <v>2851.4062500000005</v>
      </c>
      <c r="AE138" s="88">
        <f t="shared" si="55"/>
        <v>1247.2395833333335</v>
      </c>
      <c r="AF138" s="88">
        <f t="shared" si="55"/>
        <v>1002.6041666666667</v>
      </c>
      <c r="AG138" s="88">
        <f t="shared" si="55"/>
        <v>2780.5555555555557</v>
      </c>
      <c r="AH138" s="88">
        <f t="shared" si="55"/>
        <v>1346.1631944444446</v>
      </c>
      <c r="AI138" s="88">
        <f t="shared" si="55"/>
        <v>1195.104166666667</v>
      </c>
      <c r="AJ138" s="88">
        <f t="shared" si="55"/>
        <v>1604.166666666667</v>
      </c>
      <c r="AK138" s="88">
        <f t="shared" si="55"/>
        <v>2896.8576388888891</v>
      </c>
      <c r="AL138" s="88">
        <f t="shared" si="55"/>
        <v>1577.4305555555557</v>
      </c>
      <c r="AM138" s="88">
        <f t="shared" si="55"/>
        <v>1596.1458333333335</v>
      </c>
      <c r="AN138" s="88">
        <f t="shared" si="55"/>
        <v>748.6111111111112</v>
      </c>
      <c r="AO138" s="88">
        <f t="shared" si="55"/>
        <v>1287.3437500000002</v>
      </c>
      <c r="AP138" s="88">
        <f t="shared" si="55"/>
        <v>1319.4270833333335</v>
      </c>
      <c r="AQ138" s="88">
        <f t="shared" si="55"/>
        <v>1372.8993055555557</v>
      </c>
      <c r="AR138" s="88">
        <f t="shared" si="55"/>
        <v>891.64930555555566</v>
      </c>
    </row>
    <row r="139" spans="1:44" s="106" customFormat="1" ht="14" hidden="1" outlineLevel="3" x14ac:dyDescent="0.35">
      <c r="A139" s="89" t="s">
        <v>158</v>
      </c>
      <c r="B139" s="90" t="s">
        <v>107</v>
      </c>
      <c r="C139" s="93">
        <f>2/70</f>
        <v>2.8571428571428571E-2</v>
      </c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>
        <v>2</v>
      </c>
      <c r="T139" s="93">
        <v>1</v>
      </c>
      <c r="U139" s="93">
        <f t="shared" si="46"/>
        <v>21.333333333333332</v>
      </c>
      <c r="V139" s="107">
        <v>21</v>
      </c>
      <c r="W139" s="107">
        <v>22</v>
      </c>
      <c r="X139" s="107">
        <v>21</v>
      </c>
      <c r="Y139" s="92">
        <v>118</v>
      </c>
      <c r="Z139" s="92">
        <f t="shared" si="53"/>
        <v>0.60952380952380947</v>
      </c>
      <c r="AA139" s="95" t="s">
        <v>324</v>
      </c>
      <c r="AB139" s="97">
        <f t="shared" si="54"/>
        <v>1153.5238095238094</v>
      </c>
      <c r="AC139" s="88">
        <f t="shared" si="55"/>
        <v>72.106666666666655</v>
      </c>
      <c r="AD139" s="88">
        <f t="shared" si="55"/>
        <v>130.01142857142855</v>
      </c>
      <c r="AE139" s="88">
        <f t="shared" si="55"/>
        <v>56.868571428571421</v>
      </c>
      <c r="AF139" s="88">
        <f t="shared" si="55"/>
        <v>45.714285714285708</v>
      </c>
      <c r="AG139" s="88">
        <f t="shared" si="55"/>
        <v>126.78095238095237</v>
      </c>
      <c r="AH139" s="88">
        <f t="shared" si="55"/>
        <v>61.379047619047618</v>
      </c>
      <c r="AI139" s="88">
        <f t="shared" si="55"/>
        <v>54.491428571428571</v>
      </c>
      <c r="AJ139" s="88">
        <f t="shared" si="55"/>
        <v>73.142857142857139</v>
      </c>
      <c r="AK139" s="88">
        <f t="shared" si="55"/>
        <v>132.08380952380949</v>
      </c>
      <c r="AL139" s="88">
        <f t="shared" si="55"/>
        <v>71.923809523809524</v>
      </c>
      <c r="AM139" s="88">
        <f t="shared" si="55"/>
        <v>72.777142857142849</v>
      </c>
      <c r="AN139" s="88">
        <f t="shared" si="55"/>
        <v>34.133333333333333</v>
      </c>
      <c r="AO139" s="88">
        <f t="shared" si="55"/>
        <v>58.69714285714285</v>
      </c>
      <c r="AP139" s="88">
        <f t="shared" si="55"/>
        <v>60.16</v>
      </c>
      <c r="AQ139" s="88">
        <f t="shared" si="55"/>
        <v>62.598095238095233</v>
      </c>
      <c r="AR139" s="88">
        <f t="shared" si="55"/>
        <v>40.65523809523809</v>
      </c>
    </row>
    <row r="140" spans="1:44" s="106" customFormat="1" ht="14" hidden="1" outlineLevel="3" x14ac:dyDescent="0.35">
      <c r="A140" s="89" t="s">
        <v>159</v>
      </c>
      <c r="B140" s="90" t="s">
        <v>107</v>
      </c>
      <c r="C140" s="93">
        <f>1/70</f>
        <v>1.4285714285714285E-2</v>
      </c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>
        <v>1</v>
      </c>
      <c r="T140" s="93">
        <v>1</v>
      </c>
      <c r="U140" s="93">
        <f t="shared" si="46"/>
        <v>349</v>
      </c>
      <c r="V140" s="107">
        <v>345</v>
      </c>
      <c r="W140" s="107">
        <v>352</v>
      </c>
      <c r="X140" s="107">
        <v>350</v>
      </c>
      <c r="Y140" s="92">
        <v>119</v>
      </c>
      <c r="Z140" s="92">
        <f t="shared" si="53"/>
        <v>4.9857142857142858</v>
      </c>
      <c r="AA140" s="95" t="s">
        <v>324</v>
      </c>
      <c r="AB140" s="97">
        <f t="shared" si="54"/>
        <v>9435.4642857142862</v>
      </c>
      <c r="AC140" s="88">
        <f t="shared" si="55"/>
        <v>589.80999999999995</v>
      </c>
      <c r="AD140" s="88">
        <f t="shared" si="55"/>
        <v>1063.4528571428573</v>
      </c>
      <c r="AE140" s="88">
        <f t="shared" si="55"/>
        <v>465.16714285714284</v>
      </c>
      <c r="AF140" s="88">
        <f t="shared" si="55"/>
        <v>373.92857142857144</v>
      </c>
      <c r="AG140" s="88">
        <f t="shared" si="55"/>
        <v>1037.0285714285715</v>
      </c>
      <c r="AH140" s="88">
        <f t="shared" si="55"/>
        <v>502.06142857142856</v>
      </c>
      <c r="AI140" s="88">
        <f t="shared" si="55"/>
        <v>445.72285714285715</v>
      </c>
      <c r="AJ140" s="88">
        <f t="shared" si="55"/>
        <v>598.28571428571433</v>
      </c>
      <c r="AK140" s="88">
        <f t="shared" si="55"/>
        <v>1080.4042857142856</v>
      </c>
      <c r="AL140" s="88">
        <f t="shared" si="55"/>
        <v>588.31428571428569</v>
      </c>
      <c r="AM140" s="88">
        <f t="shared" si="55"/>
        <v>595.29428571428571</v>
      </c>
      <c r="AN140" s="88">
        <f t="shared" si="55"/>
        <v>279.2</v>
      </c>
      <c r="AO140" s="88">
        <f t="shared" si="55"/>
        <v>480.12428571428569</v>
      </c>
      <c r="AP140" s="88">
        <f t="shared" si="55"/>
        <v>492.09000000000003</v>
      </c>
      <c r="AQ140" s="88">
        <f t="shared" si="55"/>
        <v>512.03285714285721</v>
      </c>
      <c r="AR140" s="88">
        <f t="shared" si="55"/>
        <v>332.54714285714289</v>
      </c>
    </row>
    <row r="141" spans="1:44" s="106" customFormat="1" ht="14" hidden="1" outlineLevel="3" x14ac:dyDescent="0.35">
      <c r="A141" s="89" t="s">
        <v>160</v>
      </c>
      <c r="B141" s="90" t="s">
        <v>107</v>
      </c>
      <c r="C141" s="93">
        <f>1/70</f>
        <v>1.4285714285714285E-2</v>
      </c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>
        <v>1</v>
      </c>
      <c r="T141" s="93">
        <v>1</v>
      </c>
      <c r="U141" s="93">
        <f t="shared" si="46"/>
        <v>98.333333333333329</v>
      </c>
      <c r="V141" s="107">
        <v>95</v>
      </c>
      <c r="W141" s="107">
        <v>105</v>
      </c>
      <c r="X141" s="107">
        <v>95</v>
      </c>
      <c r="Y141" s="92">
        <v>120</v>
      </c>
      <c r="Z141" s="92">
        <f t="shared" si="53"/>
        <v>1.4047619047619047</v>
      </c>
      <c r="AA141" s="95" t="s">
        <v>324</v>
      </c>
      <c r="AB141" s="97">
        <f t="shared" si="54"/>
        <v>2658.5119047619046</v>
      </c>
      <c r="AC141" s="88">
        <f t="shared" si="55"/>
        <v>166.18333333333331</v>
      </c>
      <c r="AD141" s="88">
        <f t="shared" si="55"/>
        <v>299.6357142857143</v>
      </c>
      <c r="AE141" s="88">
        <f t="shared" si="55"/>
        <v>131.06428571428569</v>
      </c>
      <c r="AF141" s="88">
        <f t="shared" si="55"/>
        <v>105.35714285714285</v>
      </c>
      <c r="AG141" s="88">
        <f t="shared" si="55"/>
        <v>292.19047619047615</v>
      </c>
      <c r="AH141" s="88">
        <f t="shared" si="55"/>
        <v>141.4595238095238</v>
      </c>
      <c r="AI141" s="88">
        <f t="shared" si="55"/>
        <v>125.58571428571429</v>
      </c>
      <c r="AJ141" s="88">
        <f t="shared" si="55"/>
        <v>168.57142857142856</v>
      </c>
      <c r="AK141" s="88">
        <f t="shared" si="55"/>
        <v>304.41190476190474</v>
      </c>
      <c r="AL141" s="88">
        <f t="shared" si="55"/>
        <v>165.76190476190476</v>
      </c>
      <c r="AM141" s="88">
        <f t="shared" si="55"/>
        <v>167.72857142857143</v>
      </c>
      <c r="AN141" s="88">
        <f t="shared" si="55"/>
        <v>78.666666666666657</v>
      </c>
      <c r="AO141" s="88">
        <f t="shared" si="55"/>
        <v>135.27857142857141</v>
      </c>
      <c r="AP141" s="88">
        <f t="shared" si="55"/>
        <v>138.65</v>
      </c>
      <c r="AQ141" s="88">
        <f t="shared" si="55"/>
        <v>144.26904761904763</v>
      </c>
      <c r="AR141" s="88">
        <f t="shared" si="55"/>
        <v>93.697619047619042</v>
      </c>
    </row>
    <row r="142" spans="1:44" s="106" customFormat="1" ht="14" hidden="1" outlineLevel="3" x14ac:dyDescent="0.35">
      <c r="A142" s="89" t="s">
        <v>161</v>
      </c>
      <c r="B142" s="90" t="s">
        <v>107</v>
      </c>
      <c r="C142" s="93">
        <f>2/70</f>
        <v>2.8571428571428571E-2</v>
      </c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>
        <v>2</v>
      </c>
      <c r="T142" s="93">
        <v>1</v>
      </c>
      <c r="U142" s="93">
        <f t="shared" si="46"/>
        <v>70</v>
      </c>
      <c r="V142" s="107">
        <v>70</v>
      </c>
      <c r="W142" s="107">
        <v>70</v>
      </c>
      <c r="X142" s="107">
        <v>70</v>
      </c>
      <c r="Y142" s="92">
        <v>121</v>
      </c>
      <c r="Z142" s="92">
        <f t="shared" si="53"/>
        <v>2</v>
      </c>
      <c r="AA142" s="95" t="s">
        <v>324</v>
      </c>
      <c r="AB142" s="97">
        <f t="shared" si="54"/>
        <v>3785.0000000000005</v>
      </c>
      <c r="AC142" s="88">
        <f t="shared" si="55"/>
        <v>236.6</v>
      </c>
      <c r="AD142" s="88">
        <f t="shared" si="55"/>
        <v>426.6</v>
      </c>
      <c r="AE142" s="88">
        <f t="shared" si="55"/>
        <v>186.6</v>
      </c>
      <c r="AF142" s="88">
        <f t="shared" si="55"/>
        <v>150</v>
      </c>
      <c r="AG142" s="88">
        <f t="shared" si="55"/>
        <v>416</v>
      </c>
      <c r="AH142" s="88">
        <f t="shared" si="55"/>
        <v>201.4</v>
      </c>
      <c r="AI142" s="88">
        <f t="shared" si="55"/>
        <v>178.8</v>
      </c>
      <c r="AJ142" s="88">
        <f t="shared" si="55"/>
        <v>240</v>
      </c>
      <c r="AK142" s="88">
        <f t="shared" si="55"/>
        <v>433.4</v>
      </c>
      <c r="AL142" s="88">
        <f t="shared" si="55"/>
        <v>236</v>
      </c>
      <c r="AM142" s="88">
        <f t="shared" si="55"/>
        <v>238.8</v>
      </c>
      <c r="AN142" s="88">
        <f t="shared" si="55"/>
        <v>112</v>
      </c>
      <c r="AO142" s="88">
        <f t="shared" si="55"/>
        <v>192.6</v>
      </c>
      <c r="AP142" s="88">
        <f t="shared" si="55"/>
        <v>197.4</v>
      </c>
      <c r="AQ142" s="88">
        <f t="shared" si="55"/>
        <v>205.4</v>
      </c>
      <c r="AR142" s="88">
        <f t="shared" si="55"/>
        <v>133.4</v>
      </c>
    </row>
    <row r="143" spans="1:44" s="106" customFormat="1" ht="14" hidden="1" outlineLevel="3" x14ac:dyDescent="0.35">
      <c r="A143" s="89" t="s">
        <v>162</v>
      </c>
      <c r="B143" s="90" t="s">
        <v>107</v>
      </c>
      <c r="C143" s="93">
        <f>3/104</f>
        <v>2.8846153846153848E-2</v>
      </c>
      <c r="D143" s="92"/>
      <c r="E143" s="92"/>
      <c r="F143" s="92"/>
      <c r="G143" s="92"/>
      <c r="H143" s="92"/>
      <c r="I143" s="92">
        <v>100</v>
      </c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3">
        <v>1</v>
      </c>
      <c r="U143" s="93">
        <f t="shared" si="46"/>
        <v>277.66666666666669</v>
      </c>
      <c r="V143" s="92">
        <v>300</v>
      </c>
      <c r="W143" s="92">
        <v>183</v>
      </c>
      <c r="X143" s="92">
        <f>100*3.5</f>
        <v>350</v>
      </c>
      <c r="Y143" s="92">
        <v>122</v>
      </c>
      <c r="Z143" s="92">
        <f t="shared" si="53"/>
        <v>8.009615384615385</v>
      </c>
      <c r="AA143" s="95" t="s">
        <v>320</v>
      </c>
      <c r="AB143" s="97">
        <f t="shared" si="54"/>
        <v>15158.197115384615</v>
      </c>
      <c r="AC143" s="88">
        <f t="shared" si="55"/>
        <v>947.53750000000002</v>
      </c>
      <c r="AD143" s="88">
        <f t="shared" si="55"/>
        <v>1708.4509615384618</v>
      </c>
      <c r="AE143" s="88">
        <f t="shared" si="55"/>
        <v>747.29711538461538</v>
      </c>
      <c r="AF143" s="88">
        <f t="shared" si="55"/>
        <v>600.72115384615392</v>
      </c>
      <c r="AG143" s="88">
        <f t="shared" si="55"/>
        <v>1666</v>
      </c>
      <c r="AH143" s="88">
        <f t="shared" si="55"/>
        <v>806.56826923076926</v>
      </c>
      <c r="AI143" s="88">
        <f t="shared" si="55"/>
        <v>716.05961538461543</v>
      </c>
      <c r="AJ143" s="88">
        <f t="shared" si="55"/>
        <v>961.15384615384619</v>
      </c>
      <c r="AK143" s="88">
        <f t="shared" si="55"/>
        <v>1735.6836538461539</v>
      </c>
      <c r="AL143" s="88">
        <f t="shared" si="55"/>
        <v>945.13461538461547</v>
      </c>
      <c r="AM143" s="88">
        <f t="shared" si="55"/>
        <v>956.34807692307697</v>
      </c>
      <c r="AN143" s="88">
        <f t="shared" si="55"/>
        <v>448.53846153846155</v>
      </c>
      <c r="AO143" s="88">
        <f t="shared" si="55"/>
        <v>771.32596153846157</v>
      </c>
      <c r="AP143" s="88">
        <f t="shared" si="55"/>
        <v>790.54903846153854</v>
      </c>
      <c r="AQ143" s="88">
        <f t="shared" si="55"/>
        <v>822.58750000000009</v>
      </c>
      <c r="AR143" s="88">
        <f t="shared" si="55"/>
        <v>534.24134615384617</v>
      </c>
    </row>
    <row r="144" spans="1:44" s="106" customFormat="1" ht="14" hidden="1" outlineLevel="3" x14ac:dyDescent="0.35">
      <c r="A144" s="89" t="s">
        <v>163</v>
      </c>
      <c r="B144" s="90" t="s">
        <v>107</v>
      </c>
      <c r="C144" s="93">
        <f>50/104</f>
        <v>0.48076923076923078</v>
      </c>
      <c r="D144" s="92">
        <v>100</v>
      </c>
      <c r="E144" s="92">
        <v>50</v>
      </c>
      <c r="F144" s="92">
        <v>50</v>
      </c>
      <c r="G144" s="92"/>
      <c r="H144" s="92"/>
      <c r="I144" s="92">
        <v>50</v>
      </c>
      <c r="J144" s="92"/>
      <c r="K144" s="92"/>
      <c r="L144" s="92"/>
      <c r="M144" s="92"/>
      <c r="N144" s="92"/>
      <c r="O144" s="92"/>
      <c r="P144" s="92"/>
      <c r="Q144" s="92"/>
      <c r="R144" s="92"/>
      <c r="S144" s="92">
        <v>30</v>
      </c>
      <c r="T144" s="93">
        <v>1</v>
      </c>
      <c r="U144" s="93">
        <f t="shared" si="46"/>
        <v>44</v>
      </c>
      <c r="V144" s="92">
        <v>39</v>
      </c>
      <c r="W144" s="92">
        <v>35</v>
      </c>
      <c r="X144" s="92">
        <v>58</v>
      </c>
      <c r="Y144" s="92">
        <v>123</v>
      </c>
      <c r="Z144" s="92">
        <f t="shared" si="53"/>
        <v>21.153846153846153</v>
      </c>
      <c r="AA144" s="95" t="s">
        <v>320</v>
      </c>
      <c r="AB144" s="97">
        <f t="shared" si="54"/>
        <v>40033.653846153851</v>
      </c>
      <c r="AC144" s="88">
        <f t="shared" si="55"/>
        <v>2502.5</v>
      </c>
      <c r="AD144" s="88">
        <f t="shared" si="55"/>
        <v>4512.1153846153848</v>
      </c>
      <c r="AE144" s="88">
        <f t="shared" si="55"/>
        <v>1973.653846153846</v>
      </c>
      <c r="AF144" s="88">
        <f t="shared" si="55"/>
        <v>1586.5384615384614</v>
      </c>
      <c r="AG144" s="88">
        <f t="shared" si="55"/>
        <v>4400</v>
      </c>
      <c r="AH144" s="88">
        <f t="shared" si="55"/>
        <v>2130.1923076923076</v>
      </c>
      <c r="AI144" s="88">
        <f t="shared" si="55"/>
        <v>1891.1538461538462</v>
      </c>
      <c r="AJ144" s="88">
        <f t="shared" si="55"/>
        <v>2538.4615384615386</v>
      </c>
      <c r="AK144" s="88">
        <f t="shared" si="55"/>
        <v>4584.038461538461</v>
      </c>
      <c r="AL144" s="88">
        <f t="shared" si="55"/>
        <v>2496.1538461538462</v>
      </c>
      <c r="AM144" s="88">
        <f t="shared" si="55"/>
        <v>2525.7692307692309</v>
      </c>
      <c r="AN144" s="88">
        <f t="shared" si="55"/>
        <v>1184.6153846153845</v>
      </c>
      <c r="AO144" s="88">
        <f t="shared" si="55"/>
        <v>2037.1153846153845</v>
      </c>
      <c r="AP144" s="88">
        <f t="shared" si="55"/>
        <v>2087.8846153846152</v>
      </c>
      <c r="AQ144" s="88">
        <f t="shared" si="55"/>
        <v>2172.5</v>
      </c>
      <c r="AR144" s="88">
        <f t="shared" si="55"/>
        <v>1410.9615384615386</v>
      </c>
    </row>
    <row r="145" spans="1:44" s="106" customFormat="1" ht="14" hidden="1" outlineLevel="3" x14ac:dyDescent="0.35">
      <c r="A145" s="89" t="s">
        <v>164</v>
      </c>
      <c r="B145" s="90" t="s">
        <v>107</v>
      </c>
      <c r="C145" s="93">
        <f>2/96</f>
        <v>2.0833333333333332E-2</v>
      </c>
      <c r="D145" s="92"/>
      <c r="E145" s="92">
        <v>2</v>
      </c>
      <c r="F145" s="92">
        <v>2</v>
      </c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>
        <v>1</v>
      </c>
      <c r="T145" s="93">
        <v>1</v>
      </c>
      <c r="U145" s="93">
        <f t="shared" si="46"/>
        <v>35</v>
      </c>
      <c r="V145" s="107">
        <v>35</v>
      </c>
      <c r="W145" s="107">
        <v>35</v>
      </c>
      <c r="X145" s="107">
        <v>35</v>
      </c>
      <c r="Y145" s="92">
        <v>124</v>
      </c>
      <c r="Z145" s="92">
        <f t="shared" si="53"/>
        <v>0.72916666666666663</v>
      </c>
      <c r="AA145" s="95" t="s">
        <v>323</v>
      </c>
      <c r="AB145" s="97">
        <f t="shared" si="54"/>
        <v>1379.9479166666667</v>
      </c>
      <c r="AC145" s="88">
        <f t="shared" si="55"/>
        <v>86.260416666666657</v>
      </c>
      <c r="AD145" s="88">
        <f t="shared" si="55"/>
        <v>155.53125</v>
      </c>
      <c r="AE145" s="88">
        <f t="shared" si="55"/>
        <v>68.03125</v>
      </c>
      <c r="AF145" s="88">
        <f t="shared" si="55"/>
        <v>54.6875</v>
      </c>
      <c r="AG145" s="88">
        <f t="shared" si="55"/>
        <v>151.66666666666666</v>
      </c>
      <c r="AH145" s="88">
        <f t="shared" si="55"/>
        <v>73.427083333333329</v>
      </c>
      <c r="AI145" s="88">
        <f t="shared" si="55"/>
        <v>65.1875</v>
      </c>
      <c r="AJ145" s="88">
        <f t="shared" si="55"/>
        <v>87.5</v>
      </c>
      <c r="AK145" s="88">
        <f t="shared" si="55"/>
        <v>158.01041666666666</v>
      </c>
      <c r="AL145" s="88">
        <f t="shared" si="55"/>
        <v>86.041666666666657</v>
      </c>
      <c r="AM145" s="88">
        <f t="shared" si="55"/>
        <v>87.0625</v>
      </c>
      <c r="AN145" s="88">
        <f t="shared" si="55"/>
        <v>40.833333333333329</v>
      </c>
      <c r="AO145" s="88">
        <f t="shared" si="55"/>
        <v>70.21875</v>
      </c>
      <c r="AP145" s="88">
        <f t="shared" si="55"/>
        <v>71.96875</v>
      </c>
      <c r="AQ145" s="88">
        <f t="shared" si="55"/>
        <v>74.885416666666671</v>
      </c>
      <c r="AR145" s="88">
        <f t="shared" si="55"/>
        <v>48.635416666666664</v>
      </c>
    </row>
    <row r="146" spans="1:44" s="106" customFormat="1" ht="14" hidden="1" outlineLevel="3" x14ac:dyDescent="0.35">
      <c r="A146" s="89" t="s">
        <v>165</v>
      </c>
      <c r="B146" s="90" t="s">
        <v>107</v>
      </c>
      <c r="C146" s="93">
        <f>5/104</f>
        <v>4.807692307692308E-2</v>
      </c>
      <c r="D146" s="92"/>
      <c r="E146" s="92"/>
      <c r="F146" s="92"/>
      <c r="G146" s="92"/>
      <c r="H146" s="92"/>
      <c r="I146" s="92">
        <v>5</v>
      </c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3">
        <v>1</v>
      </c>
      <c r="U146" s="93">
        <f t="shared" si="46"/>
        <v>46.833333333333336</v>
      </c>
      <c r="V146" s="92">
        <v>35</v>
      </c>
      <c r="W146" s="92">
        <v>73</v>
      </c>
      <c r="X146" s="92">
        <v>32.5</v>
      </c>
      <c r="Y146" s="92">
        <v>125</v>
      </c>
      <c r="Z146" s="92">
        <f t="shared" si="53"/>
        <v>2.2516025641025643</v>
      </c>
      <c r="AA146" s="95" t="s">
        <v>320</v>
      </c>
      <c r="AB146" s="97">
        <f t="shared" si="54"/>
        <v>4261.1578525641025</v>
      </c>
      <c r="AC146" s="88">
        <f t="shared" si="55"/>
        <v>266.36458333333337</v>
      </c>
      <c r="AD146" s="88">
        <f t="shared" si="55"/>
        <v>480.26682692307702</v>
      </c>
      <c r="AE146" s="88">
        <f t="shared" si="55"/>
        <v>210.07451923076925</v>
      </c>
      <c r="AF146" s="88">
        <f t="shared" si="55"/>
        <v>168.87019230769232</v>
      </c>
      <c r="AG146" s="88">
        <f t="shared" si="55"/>
        <v>468.33333333333337</v>
      </c>
      <c r="AH146" s="88">
        <f t="shared" si="55"/>
        <v>226.73637820512823</v>
      </c>
      <c r="AI146" s="88">
        <f t="shared" si="55"/>
        <v>201.29326923076925</v>
      </c>
      <c r="AJ146" s="88">
        <f t="shared" si="55"/>
        <v>270.19230769230774</v>
      </c>
      <c r="AK146" s="88">
        <f t="shared" si="55"/>
        <v>487.92227564102564</v>
      </c>
      <c r="AL146" s="88">
        <f t="shared" si="55"/>
        <v>265.6891025641026</v>
      </c>
      <c r="AM146" s="88">
        <f t="shared" si="55"/>
        <v>268.84134615384619</v>
      </c>
      <c r="AN146" s="88">
        <f t="shared" si="55"/>
        <v>126.08974358974361</v>
      </c>
      <c r="AO146" s="88">
        <f t="shared" si="55"/>
        <v>216.82932692307693</v>
      </c>
      <c r="AP146" s="88">
        <f t="shared" si="55"/>
        <v>222.23317307692309</v>
      </c>
      <c r="AQ146" s="88">
        <f t="shared" si="55"/>
        <v>231.23958333333337</v>
      </c>
      <c r="AR146" s="88">
        <f t="shared" si="55"/>
        <v>150.18189102564105</v>
      </c>
    </row>
    <row r="147" spans="1:44" s="106" customFormat="1" ht="14" hidden="1" outlineLevel="3" x14ac:dyDescent="0.35">
      <c r="A147" s="89" t="s">
        <v>166</v>
      </c>
      <c r="B147" s="90" t="s">
        <v>107</v>
      </c>
      <c r="C147" s="93">
        <f>2/96</f>
        <v>2.0833333333333332E-2</v>
      </c>
      <c r="D147" s="92"/>
      <c r="E147" s="92">
        <v>2</v>
      </c>
      <c r="F147" s="92">
        <v>2</v>
      </c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3">
        <v>1</v>
      </c>
      <c r="U147" s="93">
        <f t="shared" si="46"/>
        <v>34.766666666666666</v>
      </c>
      <c r="V147" s="92">
        <v>36</v>
      </c>
      <c r="W147" s="92">
        <v>33</v>
      </c>
      <c r="X147" s="92">
        <v>35.299999999999997</v>
      </c>
      <c r="Y147" s="92">
        <v>126</v>
      </c>
      <c r="Z147" s="92">
        <f t="shared" si="53"/>
        <v>0.72430555555555554</v>
      </c>
      <c r="AA147" s="95" t="s">
        <v>323</v>
      </c>
      <c r="AB147" s="97">
        <f t="shared" si="54"/>
        <v>1370.7482638888887</v>
      </c>
      <c r="AC147" s="88">
        <f t="shared" si="55"/>
        <v>85.685347222222219</v>
      </c>
      <c r="AD147" s="88">
        <f t="shared" si="55"/>
        <v>154.49437499999999</v>
      </c>
      <c r="AE147" s="88">
        <f t="shared" si="55"/>
        <v>67.577708333333334</v>
      </c>
      <c r="AF147" s="88">
        <f t="shared" si="55"/>
        <v>54.322916666666664</v>
      </c>
      <c r="AG147" s="88">
        <f t="shared" si="55"/>
        <v>150.65555555555557</v>
      </c>
      <c r="AH147" s="88">
        <f t="shared" si="55"/>
        <v>72.937569444444449</v>
      </c>
      <c r="AI147" s="88">
        <f t="shared" si="55"/>
        <v>64.752916666666664</v>
      </c>
      <c r="AJ147" s="88">
        <f t="shared" si="55"/>
        <v>86.916666666666657</v>
      </c>
      <c r="AK147" s="88">
        <f t="shared" si="55"/>
        <v>156.95701388888887</v>
      </c>
      <c r="AL147" s="88">
        <f t="shared" si="55"/>
        <v>85.468055555555551</v>
      </c>
      <c r="AM147" s="88">
        <f t="shared" si="55"/>
        <v>86.482083333333335</v>
      </c>
      <c r="AN147" s="88">
        <f t="shared" si="55"/>
        <v>40.56111111111111</v>
      </c>
      <c r="AO147" s="88">
        <f t="shared" si="55"/>
        <v>69.750624999999999</v>
      </c>
      <c r="AP147" s="88">
        <f t="shared" si="55"/>
        <v>71.488958333333329</v>
      </c>
      <c r="AQ147" s="88">
        <f t="shared" si="55"/>
        <v>74.386180555555555</v>
      </c>
      <c r="AR147" s="88">
        <f t="shared" si="55"/>
        <v>48.311180555555559</v>
      </c>
    </row>
    <row r="148" spans="1:44" s="106" customFormat="1" ht="14" hidden="1" outlineLevel="3" x14ac:dyDescent="0.35">
      <c r="A148" s="89" t="s">
        <v>167</v>
      </c>
      <c r="B148" s="90" t="s">
        <v>107</v>
      </c>
      <c r="C148" s="93">
        <f>1/104</f>
        <v>9.6153846153846159E-3</v>
      </c>
      <c r="D148" s="92"/>
      <c r="E148" s="92"/>
      <c r="F148" s="92"/>
      <c r="G148" s="92"/>
      <c r="H148" s="92"/>
      <c r="I148" s="92">
        <v>1</v>
      </c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3">
        <v>1</v>
      </c>
      <c r="U148" s="93">
        <f t="shared" si="46"/>
        <v>220</v>
      </c>
      <c r="V148" s="92">
        <v>242</v>
      </c>
      <c r="W148" s="92">
        <v>158</v>
      </c>
      <c r="X148" s="92">
        <v>260</v>
      </c>
      <c r="Y148" s="92">
        <v>127</v>
      </c>
      <c r="Z148" s="92">
        <f t="shared" si="53"/>
        <v>2.1153846153846154</v>
      </c>
      <c r="AA148" s="95" t="s">
        <v>320</v>
      </c>
      <c r="AB148" s="97">
        <f t="shared" si="54"/>
        <v>4003.3653846153848</v>
      </c>
      <c r="AC148" s="88">
        <f t="shared" si="55"/>
        <v>250.25</v>
      </c>
      <c r="AD148" s="88">
        <f t="shared" si="55"/>
        <v>451.21153846153851</v>
      </c>
      <c r="AE148" s="88">
        <f t="shared" si="55"/>
        <v>197.36538461538461</v>
      </c>
      <c r="AF148" s="88">
        <f t="shared" si="55"/>
        <v>158.65384615384616</v>
      </c>
      <c r="AG148" s="88">
        <f t="shared" si="55"/>
        <v>440</v>
      </c>
      <c r="AH148" s="88">
        <f t="shared" si="55"/>
        <v>213.01923076923077</v>
      </c>
      <c r="AI148" s="88">
        <f t="shared" si="55"/>
        <v>189.11538461538464</v>
      </c>
      <c r="AJ148" s="88">
        <f t="shared" si="55"/>
        <v>253.84615384615384</v>
      </c>
      <c r="AK148" s="88">
        <f t="shared" si="55"/>
        <v>458.40384615384613</v>
      </c>
      <c r="AL148" s="88">
        <f t="shared" si="55"/>
        <v>249.61538461538461</v>
      </c>
      <c r="AM148" s="88">
        <f t="shared" si="55"/>
        <v>252.57692307692309</v>
      </c>
      <c r="AN148" s="88">
        <f t="shared" si="55"/>
        <v>118.46153846153847</v>
      </c>
      <c r="AO148" s="88">
        <f t="shared" si="55"/>
        <v>203.71153846153845</v>
      </c>
      <c r="AP148" s="88">
        <f t="shared" si="55"/>
        <v>208.78846153846155</v>
      </c>
      <c r="AQ148" s="88">
        <f t="shared" si="55"/>
        <v>217.25</v>
      </c>
      <c r="AR148" s="88">
        <f t="shared" si="55"/>
        <v>141.09615384615387</v>
      </c>
    </row>
    <row r="149" spans="1:44" s="106" customFormat="1" ht="14" hidden="1" outlineLevel="3" x14ac:dyDescent="0.35">
      <c r="A149" s="89" t="s">
        <v>168</v>
      </c>
      <c r="B149" s="90" t="s">
        <v>107</v>
      </c>
      <c r="C149" s="93">
        <f>1/104</f>
        <v>9.6153846153846159E-3</v>
      </c>
      <c r="D149" s="92"/>
      <c r="E149" s="92">
        <v>2</v>
      </c>
      <c r="F149" s="92">
        <v>2</v>
      </c>
      <c r="G149" s="92"/>
      <c r="H149" s="92"/>
      <c r="I149" s="92">
        <v>1</v>
      </c>
      <c r="J149" s="92"/>
      <c r="K149" s="92"/>
      <c r="L149" s="92"/>
      <c r="M149" s="92"/>
      <c r="N149" s="92"/>
      <c r="O149" s="92"/>
      <c r="P149" s="92"/>
      <c r="Q149" s="92"/>
      <c r="R149" s="92"/>
      <c r="S149" s="92">
        <v>2</v>
      </c>
      <c r="T149" s="93">
        <v>1</v>
      </c>
      <c r="U149" s="93">
        <f t="shared" si="46"/>
        <v>81.3</v>
      </c>
      <c r="V149" s="92">
        <v>76</v>
      </c>
      <c r="W149" s="92">
        <v>86</v>
      </c>
      <c r="X149" s="92">
        <v>81.900000000000006</v>
      </c>
      <c r="Y149" s="92">
        <v>128</v>
      </c>
      <c r="Z149" s="92">
        <f t="shared" si="53"/>
        <v>0.78173076923076923</v>
      </c>
      <c r="AA149" s="95" t="s">
        <v>320</v>
      </c>
      <c r="AB149" s="97">
        <f t="shared" si="54"/>
        <v>1479.4254807692309</v>
      </c>
      <c r="AC149" s="88">
        <f t="shared" si="55"/>
        <v>92.478749999999991</v>
      </c>
      <c r="AD149" s="88">
        <f t="shared" si="55"/>
        <v>166.74317307692309</v>
      </c>
      <c r="AE149" s="88">
        <f t="shared" si="55"/>
        <v>72.935480769230765</v>
      </c>
      <c r="AF149" s="88">
        <f t="shared" si="55"/>
        <v>58.629807692307693</v>
      </c>
      <c r="AG149" s="88">
        <f t="shared" si="55"/>
        <v>162.6</v>
      </c>
      <c r="AH149" s="88">
        <f t="shared" si="55"/>
        <v>78.720288461538459</v>
      </c>
      <c r="AI149" s="88">
        <f t="shared" si="55"/>
        <v>69.88673076923078</v>
      </c>
      <c r="AJ149" s="88">
        <f t="shared" si="55"/>
        <v>93.807692307692307</v>
      </c>
      <c r="AK149" s="88">
        <f t="shared" si="55"/>
        <v>169.40105769230769</v>
      </c>
      <c r="AL149" s="88">
        <f t="shared" si="55"/>
        <v>92.244230769230768</v>
      </c>
      <c r="AM149" s="88">
        <f t="shared" si="55"/>
        <v>93.338653846153846</v>
      </c>
      <c r="AN149" s="88">
        <f t="shared" si="55"/>
        <v>43.776923076923076</v>
      </c>
      <c r="AO149" s="88">
        <f t="shared" si="55"/>
        <v>75.28067307692308</v>
      </c>
      <c r="AP149" s="88">
        <f t="shared" si="55"/>
        <v>77.15682692307692</v>
      </c>
      <c r="AQ149" s="88">
        <f t="shared" si="55"/>
        <v>80.283749999999998</v>
      </c>
      <c r="AR149" s="88">
        <f t="shared" ref="AE149:AR168" si="56">$Z149*AR$2</f>
        <v>52.141442307692309</v>
      </c>
    </row>
    <row r="150" spans="1:44" s="106" customFormat="1" ht="14" hidden="1" outlineLevel="3" x14ac:dyDescent="0.35">
      <c r="A150" s="89" t="s">
        <v>169</v>
      </c>
      <c r="B150" s="90" t="s">
        <v>107</v>
      </c>
      <c r="C150" s="93">
        <f>1/96</f>
        <v>1.0416666666666666E-2</v>
      </c>
      <c r="D150" s="92"/>
      <c r="E150" s="92">
        <v>1</v>
      </c>
      <c r="F150" s="92">
        <v>1</v>
      </c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3">
        <v>1</v>
      </c>
      <c r="U150" s="93">
        <f t="shared" si="46"/>
        <v>64.733333333333334</v>
      </c>
      <c r="V150" s="92">
        <v>68</v>
      </c>
      <c r="W150" s="92">
        <v>64</v>
      </c>
      <c r="X150" s="92">
        <v>62.2</v>
      </c>
      <c r="Y150" s="92">
        <v>129</v>
      </c>
      <c r="Z150" s="92">
        <f t="shared" si="53"/>
        <v>0.67430555555555549</v>
      </c>
      <c r="AA150" s="95" t="s">
        <v>323</v>
      </c>
      <c r="AB150" s="97">
        <f t="shared" si="54"/>
        <v>1276.1232638888889</v>
      </c>
      <c r="AC150" s="88">
        <f t="shared" ref="AC150:AD172" si="57">$Z150*AC$2</f>
        <v>79.770347222222213</v>
      </c>
      <c r="AD150" s="88">
        <f t="shared" si="57"/>
        <v>143.829375</v>
      </c>
      <c r="AE150" s="88">
        <f t="shared" si="56"/>
        <v>62.912708333333327</v>
      </c>
      <c r="AF150" s="88">
        <f t="shared" si="56"/>
        <v>50.572916666666664</v>
      </c>
      <c r="AG150" s="88">
        <f t="shared" si="56"/>
        <v>140.25555555555553</v>
      </c>
      <c r="AH150" s="88">
        <f t="shared" si="56"/>
        <v>67.902569444444438</v>
      </c>
      <c r="AI150" s="88">
        <f t="shared" si="56"/>
        <v>60.282916666666665</v>
      </c>
      <c r="AJ150" s="88">
        <f t="shared" si="56"/>
        <v>80.916666666666657</v>
      </c>
      <c r="AK150" s="88">
        <f t="shared" si="56"/>
        <v>146.12201388888886</v>
      </c>
      <c r="AL150" s="88">
        <f t="shared" si="56"/>
        <v>79.568055555555546</v>
      </c>
      <c r="AM150" s="88">
        <f t="shared" si="56"/>
        <v>80.512083333333337</v>
      </c>
      <c r="AN150" s="88">
        <f t="shared" si="56"/>
        <v>37.761111111111106</v>
      </c>
      <c r="AO150" s="88">
        <f t="shared" si="56"/>
        <v>64.935624999999987</v>
      </c>
      <c r="AP150" s="88">
        <f t="shared" si="56"/>
        <v>66.553958333333327</v>
      </c>
      <c r="AQ150" s="88">
        <f t="shared" si="56"/>
        <v>69.25118055555555</v>
      </c>
      <c r="AR150" s="88">
        <f t="shared" si="56"/>
        <v>44.976180555555551</v>
      </c>
    </row>
    <row r="151" spans="1:44" s="106" customFormat="1" ht="14" hidden="1" outlineLevel="3" x14ac:dyDescent="0.35">
      <c r="A151" s="89" t="s">
        <v>170</v>
      </c>
      <c r="B151" s="90" t="s">
        <v>20</v>
      </c>
      <c r="C151" s="93">
        <f>1/70</f>
        <v>1.4285714285714285E-2</v>
      </c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>
        <v>1</v>
      </c>
      <c r="T151" s="93">
        <v>1</v>
      </c>
      <c r="U151" s="93">
        <f t="shared" si="46"/>
        <v>240</v>
      </c>
      <c r="V151" s="107">
        <v>240</v>
      </c>
      <c r="W151" s="107">
        <v>240</v>
      </c>
      <c r="X151" s="107">
        <v>240</v>
      </c>
      <c r="Y151" s="92">
        <v>130</v>
      </c>
      <c r="Z151" s="92">
        <f t="shared" si="53"/>
        <v>3.4285714285714284</v>
      </c>
      <c r="AA151" s="95" t="s">
        <v>324</v>
      </c>
      <c r="AB151" s="97">
        <f t="shared" si="54"/>
        <v>6488.5714285714284</v>
      </c>
      <c r="AC151" s="88">
        <f t="shared" si="57"/>
        <v>405.59999999999997</v>
      </c>
      <c r="AD151" s="88">
        <f t="shared" si="57"/>
        <v>731.31428571428569</v>
      </c>
      <c r="AE151" s="88">
        <f t="shared" si="56"/>
        <v>319.88571428571424</v>
      </c>
      <c r="AF151" s="88">
        <f t="shared" si="56"/>
        <v>257.14285714285711</v>
      </c>
      <c r="AG151" s="88">
        <f t="shared" si="56"/>
        <v>713.14285714285711</v>
      </c>
      <c r="AH151" s="88">
        <f t="shared" si="56"/>
        <v>345.25714285714287</v>
      </c>
      <c r="AI151" s="88">
        <f t="shared" si="56"/>
        <v>306.51428571428573</v>
      </c>
      <c r="AJ151" s="88">
        <f t="shared" si="56"/>
        <v>411.42857142857139</v>
      </c>
      <c r="AK151" s="88">
        <f t="shared" si="56"/>
        <v>742.97142857142853</v>
      </c>
      <c r="AL151" s="88">
        <f t="shared" si="56"/>
        <v>404.57142857142856</v>
      </c>
      <c r="AM151" s="88">
        <f t="shared" si="56"/>
        <v>409.37142857142857</v>
      </c>
      <c r="AN151" s="88">
        <f t="shared" si="56"/>
        <v>192</v>
      </c>
      <c r="AO151" s="88">
        <f t="shared" si="56"/>
        <v>330.17142857142852</v>
      </c>
      <c r="AP151" s="88">
        <f t="shared" si="56"/>
        <v>338.4</v>
      </c>
      <c r="AQ151" s="88">
        <f t="shared" si="56"/>
        <v>352.1142857142857</v>
      </c>
      <c r="AR151" s="88">
        <f t="shared" si="56"/>
        <v>228.68571428571428</v>
      </c>
    </row>
    <row r="152" spans="1:44" s="106" customFormat="1" ht="14" hidden="1" outlineLevel="3" x14ac:dyDescent="0.35">
      <c r="A152" s="89" t="s">
        <v>171</v>
      </c>
      <c r="B152" s="90" t="s">
        <v>107</v>
      </c>
      <c r="C152" s="93">
        <f>2/96</f>
        <v>2.0833333333333332E-2</v>
      </c>
      <c r="D152" s="92"/>
      <c r="E152" s="92">
        <v>2</v>
      </c>
      <c r="F152" s="92">
        <v>2</v>
      </c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3">
        <v>1</v>
      </c>
      <c r="U152" s="93">
        <f t="shared" si="46"/>
        <v>35.300000000000004</v>
      </c>
      <c r="V152" s="92">
        <v>19</v>
      </c>
      <c r="W152" s="92">
        <v>20.5</v>
      </c>
      <c r="X152" s="92">
        <v>66.400000000000006</v>
      </c>
      <c r="Y152" s="92">
        <v>131</v>
      </c>
      <c r="Z152" s="92">
        <f t="shared" si="53"/>
        <v>0.73541666666666672</v>
      </c>
      <c r="AA152" s="95" t="s">
        <v>323</v>
      </c>
      <c r="AB152" s="97">
        <f t="shared" si="54"/>
        <v>1391.7760416666667</v>
      </c>
      <c r="AC152" s="88">
        <f t="shared" si="57"/>
        <v>86.999791666666667</v>
      </c>
      <c r="AD152" s="88">
        <f t="shared" si="57"/>
        <v>156.86437500000002</v>
      </c>
      <c r="AE152" s="88">
        <f t="shared" si="56"/>
        <v>68.61437500000001</v>
      </c>
      <c r="AF152" s="88">
        <f t="shared" si="56"/>
        <v>55.156250000000007</v>
      </c>
      <c r="AG152" s="88">
        <f t="shared" si="56"/>
        <v>152.96666666666667</v>
      </c>
      <c r="AH152" s="88">
        <f t="shared" si="56"/>
        <v>74.056458333333339</v>
      </c>
      <c r="AI152" s="88">
        <f t="shared" si="56"/>
        <v>65.746250000000003</v>
      </c>
      <c r="AJ152" s="88">
        <f t="shared" si="56"/>
        <v>88.25</v>
      </c>
      <c r="AK152" s="88">
        <f t="shared" si="56"/>
        <v>159.36479166666666</v>
      </c>
      <c r="AL152" s="88">
        <f t="shared" si="56"/>
        <v>86.779166666666669</v>
      </c>
      <c r="AM152" s="88">
        <f t="shared" si="56"/>
        <v>87.808750000000003</v>
      </c>
      <c r="AN152" s="88">
        <f t="shared" si="56"/>
        <v>41.183333333333337</v>
      </c>
      <c r="AO152" s="88">
        <f t="shared" si="56"/>
        <v>70.820625000000007</v>
      </c>
      <c r="AP152" s="88">
        <f t="shared" si="56"/>
        <v>72.585625000000007</v>
      </c>
      <c r="AQ152" s="88">
        <f t="shared" si="56"/>
        <v>75.52729166666667</v>
      </c>
      <c r="AR152" s="88">
        <f t="shared" si="56"/>
        <v>49.052291666666669</v>
      </c>
    </row>
    <row r="153" spans="1:44" s="106" customFormat="1" ht="14" hidden="1" outlineLevel="3" x14ac:dyDescent="0.35">
      <c r="A153" s="89" t="s">
        <v>172</v>
      </c>
      <c r="B153" s="90" t="s">
        <v>107</v>
      </c>
      <c r="C153" s="93">
        <f>4/96</f>
        <v>4.1666666666666664E-2</v>
      </c>
      <c r="D153" s="92"/>
      <c r="E153" s="92">
        <v>4</v>
      </c>
      <c r="F153" s="92">
        <v>4</v>
      </c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3">
        <v>1</v>
      </c>
      <c r="U153" s="93">
        <f t="shared" si="46"/>
        <v>59.966666666666669</v>
      </c>
      <c r="V153" s="92">
        <v>69</v>
      </c>
      <c r="W153" s="92">
        <v>57</v>
      </c>
      <c r="X153" s="92">
        <v>53.9</v>
      </c>
      <c r="Y153" s="92">
        <v>132</v>
      </c>
      <c r="Z153" s="92">
        <f t="shared" si="53"/>
        <v>2.4986111111111109</v>
      </c>
      <c r="AA153" s="95" t="s">
        <v>323</v>
      </c>
      <c r="AB153" s="97">
        <f t="shared" si="54"/>
        <v>4728.6215277777783</v>
      </c>
      <c r="AC153" s="88">
        <f t="shared" si="57"/>
        <v>295.58569444444441</v>
      </c>
      <c r="AD153" s="88">
        <f t="shared" si="57"/>
        <v>532.95375000000001</v>
      </c>
      <c r="AE153" s="88">
        <f t="shared" si="56"/>
        <v>233.12041666666664</v>
      </c>
      <c r="AF153" s="88">
        <f t="shared" si="56"/>
        <v>187.39583333333331</v>
      </c>
      <c r="AG153" s="88">
        <f t="shared" si="56"/>
        <v>519.71111111111111</v>
      </c>
      <c r="AH153" s="88">
        <f t="shared" si="56"/>
        <v>251.61013888888888</v>
      </c>
      <c r="AI153" s="88">
        <f t="shared" si="56"/>
        <v>223.37583333333333</v>
      </c>
      <c r="AJ153" s="88">
        <f t="shared" si="56"/>
        <v>299.83333333333331</v>
      </c>
      <c r="AK153" s="88">
        <f t="shared" si="56"/>
        <v>541.4490277777777</v>
      </c>
      <c r="AL153" s="88">
        <f t="shared" si="56"/>
        <v>294.83611111111111</v>
      </c>
      <c r="AM153" s="88">
        <f t="shared" si="56"/>
        <v>298.33416666666665</v>
      </c>
      <c r="AN153" s="88">
        <f t="shared" si="56"/>
        <v>139.92222222222222</v>
      </c>
      <c r="AO153" s="88">
        <f t="shared" si="56"/>
        <v>240.61624999999998</v>
      </c>
      <c r="AP153" s="88">
        <f t="shared" si="56"/>
        <v>246.61291666666665</v>
      </c>
      <c r="AQ153" s="88">
        <f t="shared" si="56"/>
        <v>256.60736111111112</v>
      </c>
      <c r="AR153" s="88">
        <f t="shared" si="56"/>
        <v>166.6573611111111</v>
      </c>
    </row>
    <row r="154" spans="1:44" s="106" customFormat="1" ht="26" hidden="1" outlineLevel="3" x14ac:dyDescent="0.35">
      <c r="A154" s="89" t="s">
        <v>173</v>
      </c>
      <c r="B154" s="90" t="s">
        <v>107</v>
      </c>
      <c r="C154" s="93">
        <f>2/104</f>
        <v>1.9230769230769232E-2</v>
      </c>
      <c r="D154" s="92"/>
      <c r="E154" s="92"/>
      <c r="F154" s="92"/>
      <c r="G154" s="92"/>
      <c r="H154" s="92"/>
      <c r="I154" s="92">
        <v>2</v>
      </c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3">
        <v>1</v>
      </c>
      <c r="U154" s="93">
        <f t="shared" si="46"/>
        <v>48.333333333333336</v>
      </c>
      <c r="V154" s="92">
        <v>51</v>
      </c>
      <c r="W154" s="92">
        <v>41</v>
      </c>
      <c r="X154" s="92">
        <v>53</v>
      </c>
      <c r="Y154" s="92">
        <v>133</v>
      </c>
      <c r="Z154" s="92">
        <f t="shared" si="53"/>
        <v>0.92948717948717963</v>
      </c>
      <c r="AA154" s="95" t="s">
        <v>320</v>
      </c>
      <c r="AB154" s="97">
        <f t="shared" si="54"/>
        <v>1759.0544871794875</v>
      </c>
      <c r="AC154" s="88">
        <f t="shared" si="57"/>
        <v>109.95833333333334</v>
      </c>
      <c r="AD154" s="88">
        <f t="shared" si="57"/>
        <v>198.25961538461542</v>
      </c>
      <c r="AE154" s="88">
        <f t="shared" si="56"/>
        <v>86.721153846153854</v>
      </c>
      <c r="AF154" s="88">
        <f t="shared" si="56"/>
        <v>69.711538461538467</v>
      </c>
      <c r="AG154" s="88">
        <f t="shared" si="56"/>
        <v>193.33333333333337</v>
      </c>
      <c r="AH154" s="88">
        <f t="shared" si="56"/>
        <v>93.599358974358992</v>
      </c>
      <c r="AI154" s="88">
        <f t="shared" si="56"/>
        <v>83.096153846153868</v>
      </c>
      <c r="AJ154" s="88">
        <f t="shared" si="56"/>
        <v>111.53846153846156</v>
      </c>
      <c r="AK154" s="88">
        <f t="shared" si="56"/>
        <v>201.41987179487182</v>
      </c>
      <c r="AL154" s="88">
        <f t="shared" si="56"/>
        <v>109.6794871794872</v>
      </c>
      <c r="AM154" s="88">
        <f t="shared" si="56"/>
        <v>110.98076923076925</v>
      </c>
      <c r="AN154" s="88">
        <f t="shared" si="56"/>
        <v>52.051282051282058</v>
      </c>
      <c r="AO154" s="88">
        <f t="shared" si="56"/>
        <v>89.509615384615401</v>
      </c>
      <c r="AP154" s="88">
        <f t="shared" si="56"/>
        <v>91.740384615384627</v>
      </c>
      <c r="AQ154" s="88">
        <f t="shared" si="56"/>
        <v>95.458333333333357</v>
      </c>
      <c r="AR154" s="88">
        <f t="shared" si="56"/>
        <v>61.996794871794883</v>
      </c>
    </row>
    <row r="155" spans="1:44" s="106" customFormat="1" ht="14" hidden="1" outlineLevel="3" x14ac:dyDescent="0.35">
      <c r="A155" s="89" t="s">
        <v>174</v>
      </c>
      <c r="B155" s="90" t="s">
        <v>107</v>
      </c>
      <c r="C155" s="93">
        <f>5/104</f>
        <v>4.807692307692308E-2</v>
      </c>
      <c r="D155" s="92"/>
      <c r="E155" s="92">
        <v>20</v>
      </c>
      <c r="F155" s="92">
        <v>10</v>
      </c>
      <c r="G155" s="92"/>
      <c r="H155" s="92"/>
      <c r="I155" s="92">
        <v>5</v>
      </c>
      <c r="J155" s="92"/>
      <c r="K155" s="92"/>
      <c r="L155" s="92"/>
      <c r="M155" s="92"/>
      <c r="N155" s="92"/>
      <c r="O155" s="92"/>
      <c r="P155" s="92"/>
      <c r="Q155" s="92"/>
      <c r="R155" s="92"/>
      <c r="S155" s="92">
        <v>5</v>
      </c>
      <c r="T155" s="93">
        <v>1</v>
      </c>
      <c r="U155" s="93">
        <f t="shared" si="46"/>
        <v>31.333333333333332</v>
      </c>
      <c r="V155" s="107">
        <v>30</v>
      </c>
      <c r="W155" s="107">
        <v>32</v>
      </c>
      <c r="X155" s="107">
        <v>32</v>
      </c>
      <c r="Y155" s="92">
        <v>134</v>
      </c>
      <c r="Z155" s="92">
        <f t="shared" si="53"/>
        <v>1.5064102564102564</v>
      </c>
      <c r="AA155" s="95" t="s">
        <v>320</v>
      </c>
      <c r="AB155" s="97">
        <f t="shared" si="54"/>
        <v>2850.8814102564102</v>
      </c>
      <c r="AC155" s="88">
        <f t="shared" si="57"/>
        <v>178.20833333333331</v>
      </c>
      <c r="AD155" s="88">
        <f t="shared" si="57"/>
        <v>321.31730769230768</v>
      </c>
      <c r="AE155" s="88">
        <f t="shared" si="56"/>
        <v>140.54807692307691</v>
      </c>
      <c r="AF155" s="88">
        <f t="shared" si="56"/>
        <v>112.98076923076923</v>
      </c>
      <c r="AG155" s="88">
        <f t="shared" si="56"/>
        <v>313.33333333333331</v>
      </c>
      <c r="AH155" s="88">
        <f t="shared" si="56"/>
        <v>151.69551282051282</v>
      </c>
      <c r="AI155" s="88">
        <f t="shared" si="56"/>
        <v>134.67307692307693</v>
      </c>
      <c r="AJ155" s="88">
        <f t="shared" si="56"/>
        <v>180.76923076923077</v>
      </c>
      <c r="AK155" s="88">
        <f t="shared" si="56"/>
        <v>326.43910256410254</v>
      </c>
      <c r="AL155" s="88">
        <f t="shared" si="56"/>
        <v>177.75641025641025</v>
      </c>
      <c r="AM155" s="88">
        <f t="shared" si="56"/>
        <v>179.86538461538461</v>
      </c>
      <c r="AN155" s="88">
        <f t="shared" si="56"/>
        <v>84.358974358974365</v>
      </c>
      <c r="AO155" s="88">
        <f t="shared" si="56"/>
        <v>145.06730769230768</v>
      </c>
      <c r="AP155" s="88">
        <f t="shared" si="56"/>
        <v>148.68269230769232</v>
      </c>
      <c r="AQ155" s="88">
        <f t="shared" si="56"/>
        <v>154.70833333333334</v>
      </c>
      <c r="AR155" s="88">
        <f t="shared" si="56"/>
        <v>100.4775641025641</v>
      </c>
    </row>
    <row r="156" spans="1:44" s="106" customFormat="1" ht="14" hidden="1" outlineLevel="3" x14ac:dyDescent="0.35">
      <c r="A156" s="89" t="s">
        <v>175</v>
      </c>
      <c r="B156" s="90" t="s">
        <v>107</v>
      </c>
      <c r="C156" s="93">
        <f>3/70</f>
        <v>4.2857142857142858E-2</v>
      </c>
      <c r="D156" s="92"/>
      <c r="E156" s="92">
        <v>5</v>
      </c>
      <c r="F156" s="92">
        <v>5</v>
      </c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>
        <v>3</v>
      </c>
      <c r="T156" s="93">
        <v>1</v>
      </c>
      <c r="U156" s="93">
        <f t="shared" si="46"/>
        <v>6.666666666666667</v>
      </c>
      <c r="V156" s="107">
        <v>5</v>
      </c>
      <c r="W156" s="107">
        <v>8</v>
      </c>
      <c r="X156" s="107">
        <v>7</v>
      </c>
      <c r="Y156" s="92">
        <v>135</v>
      </c>
      <c r="Z156" s="92">
        <f t="shared" si="53"/>
        <v>0.28571428571428575</v>
      </c>
      <c r="AA156" s="95" t="s">
        <v>324</v>
      </c>
      <c r="AB156" s="97">
        <f t="shared" si="54"/>
        <v>540.71428571428567</v>
      </c>
      <c r="AC156" s="88">
        <f t="shared" si="57"/>
        <v>33.800000000000004</v>
      </c>
      <c r="AD156" s="88">
        <f t="shared" si="57"/>
        <v>60.942857142857157</v>
      </c>
      <c r="AE156" s="88">
        <f t="shared" si="56"/>
        <v>26.657142857142858</v>
      </c>
      <c r="AF156" s="88">
        <f t="shared" si="56"/>
        <v>21.428571428571431</v>
      </c>
      <c r="AG156" s="88">
        <f t="shared" si="56"/>
        <v>59.428571428571438</v>
      </c>
      <c r="AH156" s="88">
        <f t="shared" si="56"/>
        <v>28.771428571428576</v>
      </c>
      <c r="AI156" s="88">
        <f t="shared" si="56"/>
        <v>25.542857142857148</v>
      </c>
      <c r="AJ156" s="88">
        <f t="shared" si="56"/>
        <v>34.285714285714292</v>
      </c>
      <c r="AK156" s="88">
        <f t="shared" si="56"/>
        <v>61.914285714285718</v>
      </c>
      <c r="AL156" s="88">
        <f t="shared" si="56"/>
        <v>33.714285714285722</v>
      </c>
      <c r="AM156" s="88">
        <f t="shared" si="56"/>
        <v>34.114285714285721</v>
      </c>
      <c r="AN156" s="88">
        <f t="shared" si="56"/>
        <v>16.000000000000004</v>
      </c>
      <c r="AO156" s="88">
        <f t="shared" si="56"/>
        <v>27.514285714285716</v>
      </c>
      <c r="AP156" s="88">
        <f t="shared" si="56"/>
        <v>28.200000000000006</v>
      </c>
      <c r="AQ156" s="88">
        <f t="shared" si="56"/>
        <v>29.342857142857149</v>
      </c>
      <c r="AR156" s="88">
        <f t="shared" si="56"/>
        <v>19.05714285714286</v>
      </c>
    </row>
    <row r="157" spans="1:44" s="106" customFormat="1" ht="14" hidden="1" outlineLevel="3" x14ac:dyDescent="0.35">
      <c r="A157" s="89" t="s">
        <v>176</v>
      </c>
      <c r="B157" s="90" t="s">
        <v>107</v>
      </c>
      <c r="C157" s="93">
        <f>30/104</f>
        <v>0.28846153846153844</v>
      </c>
      <c r="D157" s="92"/>
      <c r="E157" s="92">
        <v>1</v>
      </c>
      <c r="F157" s="92">
        <v>1</v>
      </c>
      <c r="G157" s="92"/>
      <c r="H157" s="92"/>
      <c r="I157" s="92">
        <v>30</v>
      </c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3">
        <v>1</v>
      </c>
      <c r="U157" s="93">
        <f t="shared" si="46"/>
        <v>6.5</v>
      </c>
      <c r="V157" s="92">
        <v>1.5</v>
      </c>
      <c r="W157" s="92">
        <v>6</v>
      </c>
      <c r="X157" s="92">
        <v>12</v>
      </c>
      <c r="Y157" s="92">
        <v>136</v>
      </c>
      <c r="Z157" s="92">
        <f t="shared" si="53"/>
        <v>1.8749999999999998</v>
      </c>
      <c r="AA157" s="95" t="s">
        <v>320</v>
      </c>
      <c r="AB157" s="97">
        <f t="shared" si="54"/>
        <v>3548.4375</v>
      </c>
      <c r="AC157" s="88">
        <f t="shared" si="57"/>
        <v>221.81249999999997</v>
      </c>
      <c r="AD157" s="88">
        <f t="shared" si="57"/>
        <v>399.9375</v>
      </c>
      <c r="AE157" s="88">
        <f t="shared" si="56"/>
        <v>174.93749999999997</v>
      </c>
      <c r="AF157" s="88">
        <f t="shared" si="56"/>
        <v>140.62499999999997</v>
      </c>
      <c r="AG157" s="88">
        <f t="shared" si="56"/>
        <v>389.99999999999994</v>
      </c>
      <c r="AH157" s="88">
        <f t="shared" si="56"/>
        <v>188.81249999999997</v>
      </c>
      <c r="AI157" s="88">
        <f t="shared" si="56"/>
        <v>167.625</v>
      </c>
      <c r="AJ157" s="88">
        <f t="shared" si="56"/>
        <v>224.99999999999997</v>
      </c>
      <c r="AK157" s="88">
        <f t="shared" si="56"/>
        <v>406.31249999999994</v>
      </c>
      <c r="AL157" s="88">
        <f t="shared" si="56"/>
        <v>221.24999999999997</v>
      </c>
      <c r="AM157" s="88">
        <f t="shared" si="56"/>
        <v>223.87499999999997</v>
      </c>
      <c r="AN157" s="88">
        <f t="shared" si="56"/>
        <v>104.99999999999999</v>
      </c>
      <c r="AO157" s="88">
        <f t="shared" si="56"/>
        <v>180.56249999999997</v>
      </c>
      <c r="AP157" s="88">
        <f t="shared" si="56"/>
        <v>185.06249999999997</v>
      </c>
      <c r="AQ157" s="88">
        <f t="shared" si="56"/>
        <v>192.56249999999997</v>
      </c>
      <c r="AR157" s="88">
        <f t="shared" si="56"/>
        <v>125.06249999999999</v>
      </c>
    </row>
    <row r="158" spans="1:44" s="106" customFormat="1" ht="14" hidden="1" outlineLevel="3" x14ac:dyDescent="0.35">
      <c r="A158" s="89" t="s">
        <v>177</v>
      </c>
      <c r="B158" s="90" t="s">
        <v>107</v>
      </c>
      <c r="C158" s="93">
        <f>35/104</f>
        <v>0.33653846153846156</v>
      </c>
      <c r="D158" s="92"/>
      <c r="E158" s="92">
        <v>100</v>
      </c>
      <c r="F158" s="92">
        <v>100</v>
      </c>
      <c r="G158" s="92"/>
      <c r="H158" s="92"/>
      <c r="I158" s="92">
        <v>35</v>
      </c>
      <c r="J158" s="92"/>
      <c r="K158" s="92"/>
      <c r="L158" s="92"/>
      <c r="M158" s="92"/>
      <c r="N158" s="92"/>
      <c r="O158" s="92"/>
      <c r="P158" s="92"/>
      <c r="Q158" s="92"/>
      <c r="R158" s="92"/>
      <c r="S158" s="92">
        <v>40</v>
      </c>
      <c r="T158" s="93">
        <v>1</v>
      </c>
      <c r="U158" s="93">
        <f t="shared" si="46"/>
        <v>2.7666666666666671</v>
      </c>
      <c r="V158" s="111">
        <v>2.2999999999999998</v>
      </c>
      <c r="W158" s="111">
        <v>3</v>
      </c>
      <c r="X158" s="111">
        <v>3</v>
      </c>
      <c r="Y158" s="92">
        <v>137</v>
      </c>
      <c r="Z158" s="92">
        <f t="shared" si="53"/>
        <v>0.93108974358974383</v>
      </c>
      <c r="AA158" s="95" t="s">
        <v>320</v>
      </c>
      <c r="AB158" s="97">
        <f t="shared" si="54"/>
        <v>1762.0873397435905</v>
      </c>
      <c r="AC158" s="88">
        <f t="shared" si="57"/>
        <v>110.14791666666669</v>
      </c>
      <c r="AD158" s="88">
        <f t="shared" si="57"/>
        <v>198.60144230769237</v>
      </c>
      <c r="AE158" s="88">
        <f t="shared" si="56"/>
        <v>86.870673076923097</v>
      </c>
      <c r="AF158" s="88">
        <f t="shared" si="56"/>
        <v>69.831730769230788</v>
      </c>
      <c r="AG158" s="88">
        <f t="shared" si="56"/>
        <v>193.66666666666671</v>
      </c>
      <c r="AH158" s="88">
        <f t="shared" si="56"/>
        <v>93.760737179487208</v>
      </c>
      <c r="AI158" s="88">
        <f t="shared" si="56"/>
        <v>83.239423076923103</v>
      </c>
      <c r="AJ158" s="88">
        <f t="shared" si="56"/>
        <v>111.73076923076925</v>
      </c>
      <c r="AK158" s="88">
        <f t="shared" si="56"/>
        <v>201.76714743589747</v>
      </c>
      <c r="AL158" s="88">
        <f t="shared" si="56"/>
        <v>109.86858974358977</v>
      </c>
      <c r="AM158" s="88">
        <f t="shared" si="56"/>
        <v>111.17211538461542</v>
      </c>
      <c r="AN158" s="88">
        <f t="shared" si="56"/>
        <v>52.141025641025657</v>
      </c>
      <c r="AO158" s="88">
        <f t="shared" si="56"/>
        <v>89.663942307692324</v>
      </c>
      <c r="AP158" s="88">
        <f t="shared" si="56"/>
        <v>91.898557692307719</v>
      </c>
      <c r="AQ158" s="88">
        <f t="shared" si="56"/>
        <v>95.622916666666697</v>
      </c>
      <c r="AR158" s="88">
        <f t="shared" si="56"/>
        <v>62.103685897435916</v>
      </c>
    </row>
    <row r="159" spans="1:44" s="106" customFormat="1" ht="14" hidden="1" outlineLevel="3" x14ac:dyDescent="0.35">
      <c r="A159" s="89" t="s">
        <v>178</v>
      </c>
      <c r="B159" s="90" t="s">
        <v>107</v>
      </c>
      <c r="C159" s="93">
        <f>9/104</f>
        <v>8.6538461538461536E-2</v>
      </c>
      <c r="D159" s="92">
        <v>20</v>
      </c>
      <c r="E159" s="92">
        <v>25</v>
      </c>
      <c r="F159" s="92">
        <v>25</v>
      </c>
      <c r="G159" s="92"/>
      <c r="H159" s="92"/>
      <c r="I159" s="92">
        <v>9</v>
      </c>
      <c r="J159" s="92"/>
      <c r="K159" s="92"/>
      <c r="L159" s="92"/>
      <c r="M159" s="92"/>
      <c r="N159" s="92"/>
      <c r="O159" s="92"/>
      <c r="P159" s="92"/>
      <c r="Q159" s="92"/>
      <c r="R159" s="92"/>
      <c r="S159" s="92">
        <v>3</v>
      </c>
      <c r="T159" s="93">
        <v>1</v>
      </c>
      <c r="U159" s="93">
        <f t="shared" si="46"/>
        <v>27.966666666666669</v>
      </c>
      <c r="V159" s="111">
        <v>24</v>
      </c>
      <c r="W159" s="111">
        <v>28</v>
      </c>
      <c r="X159" s="111">
        <v>31.9</v>
      </c>
      <c r="Y159" s="92">
        <v>138</v>
      </c>
      <c r="Z159" s="92">
        <f t="shared" si="53"/>
        <v>2.4201923076923078</v>
      </c>
      <c r="AA159" s="95" t="s">
        <v>320</v>
      </c>
      <c r="AB159" s="97">
        <f t="shared" si="54"/>
        <v>4580.2139423076933</v>
      </c>
      <c r="AC159" s="88">
        <f t="shared" si="57"/>
        <v>286.30874999999997</v>
      </c>
      <c r="AD159" s="88">
        <f t="shared" si="57"/>
        <v>516.22701923076932</v>
      </c>
      <c r="AE159" s="88">
        <f t="shared" si="56"/>
        <v>225.8039423076923</v>
      </c>
      <c r="AF159" s="88">
        <f t="shared" si="56"/>
        <v>181.51442307692309</v>
      </c>
      <c r="AG159" s="88">
        <f t="shared" si="56"/>
        <v>503.40000000000003</v>
      </c>
      <c r="AH159" s="88">
        <f t="shared" si="56"/>
        <v>243.7133653846154</v>
      </c>
      <c r="AI159" s="88">
        <f t="shared" si="56"/>
        <v>216.36519230769233</v>
      </c>
      <c r="AJ159" s="88">
        <f t="shared" si="56"/>
        <v>290.42307692307691</v>
      </c>
      <c r="AK159" s="88">
        <f t="shared" si="56"/>
        <v>524.45567307692306</v>
      </c>
      <c r="AL159" s="88">
        <f t="shared" si="56"/>
        <v>285.5826923076923</v>
      </c>
      <c r="AM159" s="88">
        <f t="shared" si="56"/>
        <v>288.97096153846155</v>
      </c>
      <c r="AN159" s="88">
        <f t="shared" si="56"/>
        <v>135.53076923076924</v>
      </c>
      <c r="AO159" s="88">
        <f t="shared" si="56"/>
        <v>233.06451923076924</v>
      </c>
      <c r="AP159" s="88">
        <f t="shared" si="56"/>
        <v>238.87298076923079</v>
      </c>
      <c r="AQ159" s="88">
        <f t="shared" si="56"/>
        <v>248.55375000000001</v>
      </c>
      <c r="AR159" s="88">
        <f t="shared" si="56"/>
        <v>161.42682692307693</v>
      </c>
    </row>
    <row r="160" spans="1:44" s="106" customFormat="1" ht="14" hidden="1" outlineLevel="3" x14ac:dyDescent="0.35">
      <c r="A160" s="89" t="s">
        <v>179</v>
      </c>
      <c r="B160" s="90" t="s">
        <v>107</v>
      </c>
      <c r="C160" s="93">
        <f>200/119</f>
        <v>1.680672268907563</v>
      </c>
      <c r="D160" s="92">
        <v>200</v>
      </c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3">
        <v>1</v>
      </c>
      <c r="U160" s="93">
        <f t="shared" si="46"/>
        <v>3.5</v>
      </c>
      <c r="V160" s="92">
        <v>2.5</v>
      </c>
      <c r="W160" s="92">
        <v>4</v>
      </c>
      <c r="X160" s="92">
        <v>4</v>
      </c>
      <c r="Y160" s="92">
        <v>139</v>
      </c>
      <c r="Z160" s="92">
        <f t="shared" si="53"/>
        <v>5.882352941176471</v>
      </c>
      <c r="AA160" s="95" t="s">
        <v>296</v>
      </c>
      <c r="AB160" s="97">
        <f t="shared" si="54"/>
        <v>11132.35294117647</v>
      </c>
      <c r="AC160" s="88">
        <f t="shared" si="57"/>
        <v>695.88235294117646</v>
      </c>
      <c r="AD160" s="88">
        <f t="shared" si="57"/>
        <v>1254.7058823529414</v>
      </c>
      <c r="AE160" s="88">
        <f t="shared" si="56"/>
        <v>548.82352941176475</v>
      </c>
      <c r="AF160" s="88">
        <f t="shared" si="56"/>
        <v>441.1764705882353</v>
      </c>
      <c r="AG160" s="88">
        <f t="shared" si="56"/>
        <v>1223.5294117647059</v>
      </c>
      <c r="AH160" s="88">
        <f t="shared" si="56"/>
        <v>592.35294117647061</v>
      </c>
      <c r="AI160" s="88">
        <f t="shared" si="56"/>
        <v>525.88235294117658</v>
      </c>
      <c r="AJ160" s="88">
        <f t="shared" si="56"/>
        <v>705.88235294117658</v>
      </c>
      <c r="AK160" s="88">
        <f t="shared" si="56"/>
        <v>1274.7058823529412</v>
      </c>
      <c r="AL160" s="88">
        <f t="shared" si="56"/>
        <v>694.11764705882354</v>
      </c>
      <c r="AM160" s="88">
        <f t="shared" si="56"/>
        <v>702.35294117647072</v>
      </c>
      <c r="AN160" s="88">
        <f t="shared" si="56"/>
        <v>329.41176470588238</v>
      </c>
      <c r="AO160" s="88">
        <f t="shared" si="56"/>
        <v>566.47058823529414</v>
      </c>
      <c r="AP160" s="88">
        <f t="shared" si="56"/>
        <v>580.58823529411768</v>
      </c>
      <c r="AQ160" s="88">
        <f t="shared" si="56"/>
        <v>604.11764705882354</v>
      </c>
      <c r="AR160" s="88">
        <f t="shared" si="56"/>
        <v>392.35294117647061</v>
      </c>
    </row>
    <row r="161" spans="1:46" s="106" customFormat="1" ht="14" hidden="1" outlineLevel="3" x14ac:dyDescent="0.35">
      <c r="A161" s="89" t="s">
        <v>180</v>
      </c>
      <c r="B161" s="90" t="s">
        <v>107</v>
      </c>
      <c r="C161" s="93">
        <f>20/104</f>
        <v>0.19230769230769232</v>
      </c>
      <c r="D161" s="92"/>
      <c r="E161" s="92">
        <v>30</v>
      </c>
      <c r="F161" s="92">
        <v>5</v>
      </c>
      <c r="G161" s="92"/>
      <c r="H161" s="92"/>
      <c r="I161" s="92">
        <v>20</v>
      </c>
      <c r="J161" s="92"/>
      <c r="K161" s="92"/>
      <c r="L161" s="92"/>
      <c r="M161" s="92"/>
      <c r="N161" s="92"/>
      <c r="O161" s="92"/>
      <c r="P161" s="92"/>
      <c r="Q161" s="92"/>
      <c r="R161" s="92"/>
      <c r="S161" s="92">
        <v>6</v>
      </c>
      <c r="T161" s="93">
        <v>1</v>
      </c>
      <c r="U161" s="93">
        <f t="shared" si="46"/>
        <v>15.233333333333334</v>
      </c>
      <c r="V161" s="92">
        <v>16</v>
      </c>
      <c r="W161" s="92">
        <v>18</v>
      </c>
      <c r="X161" s="92">
        <v>11.7</v>
      </c>
      <c r="Y161" s="92">
        <v>140</v>
      </c>
      <c r="Z161" s="92">
        <f t="shared" si="53"/>
        <v>2.9294871794871797</v>
      </c>
      <c r="AA161" s="95" t="s">
        <v>320</v>
      </c>
      <c r="AB161" s="97">
        <f t="shared" si="54"/>
        <v>5544.0544871794882</v>
      </c>
      <c r="AC161" s="88">
        <f t="shared" si="57"/>
        <v>346.55833333333334</v>
      </c>
      <c r="AD161" s="88">
        <f t="shared" si="57"/>
        <v>624.85961538461549</v>
      </c>
      <c r="AE161" s="88">
        <f t="shared" si="56"/>
        <v>273.32115384615383</v>
      </c>
      <c r="AF161" s="88">
        <f t="shared" si="56"/>
        <v>219.71153846153848</v>
      </c>
      <c r="AG161" s="88">
        <f t="shared" si="56"/>
        <v>609.33333333333337</v>
      </c>
      <c r="AH161" s="88">
        <f t="shared" si="56"/>
        <v>294.99935897435898</v>
      </c>
      <c r="AI161" s="88">
        <f t="shared" si="56"/>
        <v>261.89615384615388</v>
      </c>
      <c r="AJ161" s="88">
        <f t="shared" si="56"/>
        <v>351.53846153846155</v>
      </c>
      <c r="AK161" s="88">
        <f t="shared" si="56"/>
        <v>634.8198717948718</v>
      </c>
      <c r="AL161" s="88">
        <f t="shared" si="56"/>
        <v>345.67948717948718</v>
      </c>
      <c r="AM161" s="88">
        <f t="shared" si="56"/>
        <v>349.78076923076929</v>
      </c>
      <c r="AN161" s="88">
        <f t="shared" si="56"/>
        <v>164.05128205128207</v>
      </c>
      <c r="AO161" s="88">
        <f t="shared" si="56"/>
        <v>282.10961538461538</v>
      </c>
      <c r="AP161" s="88">
        <f t="shared" si="56"/>
        <v>289.14038461538468</v>
      </c>
      <c r="AQ161" s="88">
        <f t="shared" si="56"/>
        <v>300.85833333333335</v>
      </c>
      <c r="AR161" s="88">
        <f t="shared" si="56"/>
        <v>195.3967948717949</v>
      </c>
    </row>
    <row r="162" spans="1:46" s="106" customFormat="1" ht="14" hidden="1" outlineLevel="3" x14ac:dyDescent="0.35">
      <c r="A162" s="89" t="s">
        <v>181</v>
      </c>
      <c r="B162" s="90" t="s">
        <v>107</v>
      </c>
      <c r="C162" s="93">
        <f>500/70</f>
        <v>7.1428571428571432</v>
      </c>
      <c r="D162" s="92"/>
      <c r="E162" s="92">
        <v>4</v>
      </c>
      <c r="F162" s="92">
        <v>4</v>
      </c>
      <c r="G162" s="92"/>
      <c r="H162" s="92"/>
      <c r="I162" s="92"/>
      <c r="J162" s="92"/>
      <c r="K162" s="92">
        <v>400</v>
      </c>
      <c r="L162" s="92"/>
      <c r="M162" s="92"/>
      <c r="N162" s="92">
        <v>400</v>
      </c>
      <c r="O162" s="92"/>
      <c r="P162" s="92"/>
      <c r="Q162" s="92">
        <v>2</v>
      </c>
      <c r="R162" s="92"/>
      <c r="S162" s="92">
        <v>500</v>
      </c>
      <c r="T162" s="93">
        <v>1</v>
      </c>
      <c r="U162" s="93">
        <f t="shared" si="46"/>
        <v>1.3266666666666667</v>
      </c>
      <c r="V162" s="92">
        <v>1.3</v>
      </c>
      <c r="W162" s="92">
        <v>1.33</v>
      </c>
      <c r="X162" s="92">
        <v>1.35</v>
      </c>
      <c r="Y162" s="92">
        <v>141</v>
      </c>
      <c r="Z162" s="92">
        <f t="shared" si="53"/>
        <v>9.4761904761904763</v>
      </c>
      <c r="AA162" s="95" t="s">
        <v>324</v>
      </c>
      <c r="AB162" s="97">
        <f t="shared" si="54"/>
        <v>17933.690476190473</v>
      </c>
      <c r="AC162" s="88">
        <f t="shared" si="57"/>
        <v>1121.0333333333333</v>
      </c>
      <c r="AD162" s="88">
        <f t="shared" si="57"/>
        <v>2021.2714285714287</v>
      </c>
      <c r="AE162" s="88">
        <f t="shared" si="56"/>
        <v>884.12857142857138</v>
      </c>
      <c r="AF162" s="88">
        <f t="shared" si="56"/>
        <v>710.71428571428567</v>
      </c>
      <c r="AG162" s="88">
        <f t="shared" si="56"/>
        <v>1971.047619047619</v>
      </c>
      <c r="AH162" s="88">
        <f t="shared" si="56"/>
        <v>954.25238095238103</v>
      </c>
      <c r="AI162" s="88">
        <f t="shared" si="56"/>
        <v>847.17142857142858</v>
      </c>
      <c r="AJ162" s="88">
        <f t="shared" si="56"/>
        <v>1137.1428571428571</v>
      </c>
      <c r="AK162" s="88">
        <f t="shared" si="56"/>
        <v>2053.4904761904759</v>
      </c>
      <c r="AL162" s="88">
        <f t="shared" si="56"/>
        <v>1118.1904761904761</v>
      </c>
      <c r="AM162" s="88">
        <f t="shared" si="56"/>
        <v>1131.457142857143</v>
      </c>
      <c r="AN162" s="88">
        <f t="shared" si="56"/>
        <v>530.66666666666663</v>
      </c>
      <c r="AO162" s="88">
        <f t="shared" si="56"/>
        <v>912.55714285714282</v>
      </c>
      <c r="AP162" s="88">
        <f t="shared" si="56"/>
        <v>935.30000000000007</v>
      </c>
      <c r="AQ162" s="88">
        <f t="shared" si="56"/>
        <v>973.20476190476199</v>
      </c>
      <c r="AR162" s="88">
        <f t="shared" si="56"/>
        <v>632.06190476190477</v>
      </c>
    </row>
    <row r="163" spans="1:46" s="106" customFormat="1" ht="14" hidden="1" outlineLevel="3" x14ac:dyDescent="0.35">
      <c r="A163" s="89" t="s">
        <v>182</v>
      </c>
      <c r="B163" s="90" t="s">
        <v>183</v>
      </c>
      <c r="C163" s="93">
        <f>10/104</f>
        <v>9.6153846153846159E-2</v>
      </c>
      <c r="D163" s="92"/>
      <c r="E163" s="92">
        <v>10</v>
      </c>
      <c r="F163" s="92">
        <v>10</v>
      </c>
      <c r="G163" s="92"/>
      <c r="H163" s="92"/>
      <c r="I163" s="92">
        <v>10</v>
      </c>
      <c r="J163" s="92"/>
      <c r="K163" s="92"/>
      <c r="L163" s="92"/>
      <c r="M163" s="92"/>
      <c r="N163" s="92"/>
      <c r="O163" s="92"/>
      <c r="P163" s="92"/>
      <c r="Q163" s="92"/>
      <c r="R163" s="92"/>
      <c r="S163" s="92">
        <v>6</v>
      </c>
      <c r="T163" s="93">
        <v>1</v>
      </c>
      <c r="U163" s="93">
        <f t="shared" si="46"/>
        <v>9.2999999999999989</v>
      </c>
      <c r="V163" s="111">
        <v>9.8000000000000007</v>
      </c>
      <c r="W163" s="111">
        <v>7.5</v>
      </c>
      <c r="X163" s="111">
        <v>10.6</v>
      </c>
      <c r="Y163" s="92">
        <v>142</v>
      </c>
      <c r="Z163" s="92">
        <f t="shared" si="53"/>
        <v>0.89423076923076916</v>
      </c>
      <c r="AA163" s="95" t="s">
        <v>320</v>
      </c>
      <c r="AB163" s="97">
        <f t="shared" si="54"/>
        <v>1692.3317307692305</v>
      </c>
      <c r="AC163" s="88">
        <f t="shared" si="57"/>
        <v>105.78749999999999</v>
      </c>
      <c r="AD163" s="88">
        <f t="shared" si="57"/>
        <v>190.73942307692306</v>
      </c>
      <c r="AE163" s="88">
        <f t="shared" si="56"/>
        <v>83.431730769230754</v>
      </c>
      <c r="AF163" s="88">
        <f t="shared" si="56"/>
        <v>67.067307692307693</v>
      </c>
      <c r="AG163" s="88">
        <f t="shared" si="56"/>
        <v>186</v>
      </c>
      <c r="AH163" s="88">
        <f t="shared" si="56"/>
        <v>90.049038461538458</v>
      </c>
      <c r="AI163" s="88">
        <f t="shared" si="56"/>
        <v>79.944230769230771</v>
      </c>
      <c r="AJ163" s="88">
        <f t="shared" si="56"/>
        <v>107.30769230769229</v>
      </c>
      <c r="AK163" s="88">
        <f t="shared" si="56"/>
        <v>193.77980769230766</v>
      </c>
      <c r="AL163" s="88">
        <f t="shared" si="56"/>
        <v>105.51923076923076</v>
      </c>
      <c r="AM163" s="88">
        <f t="shared" si="56"/>
        <v>106.77115384615384</v>
      </c>
      <c r="AN163" s="88">
        <f t="shared" si="56"/>
        <v>50.076923076923073</v>
      </c>
      <c r="AO163" s="88">
        <f t="shared" si="56"/>
        <v>86.114423076923075</v>
      </c>
      <c r="AP163" s="88">
        <f t="shared" si="56"/>
        <v>88.260576923076925</v>
      </c>
      <c r="AQ163" s="88">
        <f t="shared" si="56"/>
        <v>91.837499999999991</v>
      </c>
      <c r="AR163" s="88">
        <f t="shared" si="56"/>
        <v>59.645192307692305</v>
      </c>
    </row>
    <row r="164" spans="1:46" s="106" customFormat="1" ht="14" hidden="1" outlineLevel="3" x14ac:dyDescent="0.35">
      <c r="A164" s="89" t="s">
        <v>184</v>
      </c>
      <c r="B164" s="90" t="s">
        <v>183</v>
      </c>
      <c r="C164" s="93">
        <f>10/104</f>
        <v>9.6153846153846159E-2</v>
      </c>
      <c r="D164" s="92"/>
      <c r="E164" s="92">
        <v>10</v>
      </c>
      <c r="F164" s="92">
        <v>10</v>
      </c>
      <c r="G164" s="92"/>
      <c r="H164" s="92"/>
      <c r="I164" s="92">
        <v>10</v>
      </c>
      <c r="J164" s="92"/>
      <c r="K164" s="92"/>
      <c r="L164" s="92"/>
      <c r="M164" s="92"/>
      <c r="N164" s="92"/>
      <c r="O164" s="92"/>
      <c r="P164" s="92"/>
      <c r="Q164" s="92"/>
      <c r="R164" s="92"/>
      <c r="S164" s="92">
        <v>6</v>
      </c>
      <c r="T164" s="93">
        <v>1</v>
      </c>
      <c r="U164" s="93">
        <f t="shared" si="46"/>
        <v>7.9333333333333336</v>
      </c>
      <c r="V164" s="92">
        <v>8</v>
      </c>
      <c r="W164" s="92">
        <v>8</v>
      </c>
      <c r="X164" s="92">
        <v>7.8</v>
      </c>
      <c r="Y164" s="92">
        <v>143</v>
      </c>
      <c r="Z164" s="92">
        <f t="shared" si="53"/>
        <v>0.76282051282051289</v>
      </c>
      <c r="AA164" s="95" t="s">
        <v>320</v>
      </c>
      <c r="AB164" s="97">
        <f t="shared" si="54"/>
        <v>1443.6378205128203</v>
      </c>
      <c r="AC164" s="88">
        <f t="shared" si="57"/>
        <v>90.241666666666674</v>
      </c>
      <c r="AD164" s="88">
        <f t="shared" si="57"/>
        <v>162.7096153846154</v>
      </c>
      <c r="AE164" s="88">
        <f t="shared" si="56"/>
        <v>71.171153846153857</v>
      </c>
      <c r="AF164" s="88">
        <f t="shared" si="56"/>
        <v>57.211538461538467</v>
      </c>
      <c r="AG164" s="88">
        <f t="shared" si="56"/>
        <v>158.66666666666669</v>
      </c>
      <c r="AH164" s="88">
        <f t="shared" si="56"/>
        <v>76.816025641025647</v>
      </c>
      <c r="AI164" s="88">
        <f t="shared" si="56"/>
        <v>68.196153846153862</v>
      </c>
      <c r="AJ164" s="88">
        <f t="shared" si="56"/>
        <v>91.538461538461547</v>
      </c>
      <c r="AK164" s="88">
        <f t="shared" si="56"/>
        <v>165.30320512820512</v>
      </c>
      <c r="AL164" s="88">
        <f t="shared" si="56"/>
        <v>90.012820512820525</v>
      </c>
      <c r="AM164" s="88">
        <f t="shared" si="56"/>
        <v>91.080769230769249</v>
      </c>
      <c r="AN164" s="88">
        <f t="shared" si="56"/>
        <v>42.717948717948723</v>
      </c>
      <c r="AO164" s="88">
        <f t="shared" si="56"/>
        <v>73.45961538461539</v>
      </c>
      <c r="AP164" s="88">
        <f t="shared" si="56"/>
        <v>75.290384615384625</v>
      </c>
      <c r="AQ164" s="88">
        <f t="shared" si="56"/>
        <v>78.341666666666669</v>
      </c>
      <c r="AR164" s="88">
        <f t="shared" si="56"/>
        <v>50.880128205128209</v>
      </c>
    </row>
    <row r="165" spans="1:46" s="106" customFormat="1" ht="14" hidden="1" outlineLevel="3" x14ac:dyDescent="0.35">
      <c r="A165" s="89" t="s">
        <v>185</v>
      </c>
      <c r="B165" s="90" t="s">
        <v>107</v>
      </c>
      <c r="C165" s="93">
        <f>6/96</f>
        <v>6.25E-2</v>
      </c>
      <c r="D165" s="92"/>
      <c r="E165" s="92">
        <v>6</v>
      </c>
      <c r="F165" s="92">
        <v>6</v>
      </c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3">
        <v>1</v>
      </c>
      <c r="U165" s="93">
        <f t="shared" si="46"/>
        <v>53.366666666666667</v>
      </c>
      <c r="V165" s="92">
        <v>59</v>
      </c>
      <c r="W165" s="92">
        <v>51</v>
      </c>
      <c r="X165" s="92">
        <v>50.1</v>
      </c>
      <c r="Y165" s="92">
        <v>144</v>
      </c>
      <c r="Z165" s="92">
        <f t="shared" si="53"/>
        <v>3.3354166666666667</v>
      </c>
      <c r="AA165" s="95" t="s">
        <v>323</v>
      </c>
      <c r="AB165" s="97">
        <f t="shared" si="54"/>
        <v>6312.276041666667</v>
      </c>
      <c r="AC165" s="88">
        <f t="shared" si="57"/>
        <v>394.57979166666667</v>
      </c>
      <c r="AD165" s="88">
        <f t="shared" si="57"/>
        <v>711.44437500000004</v>
      </c>
      <c r="AE165" s="88">
        <f t="shared" si="56"/>
        <v>311.19437499999998</v>
      </c>
      <c r="AF165" s="88">
        <f t="shared" si="56"/>
        <v>250.15625</v>
      </c>
      <c r="AG165" s="88">
        <f t="shared" si="56"/>
        <v>693.76666666666665</v>
      </c>
      <c r="AH165" s="88">
        <f t="shared" si="56"/>
        <v>335.87645833333335</v>
      </c>
      <c r="AI165" s="88">
        <f t="shared" si="56"/>
        <v>298.18625000000003</v>
      </c>
      <c r="AJ165" s="88">
        <f t="shared" si="56"/>
        <v>400.25</v>
      </c>
      <c r="AK165" s="88">
        <f t="shared" si="56"/>
        <v>722.78479166666659</v>
      </c>
      <c r="AL165" s="88">
        <f t="shared" si="56"/>
        <v>393.57916666666665</v>
      </c>
      <c r="AM165" s="88">
        <f t="shared" si="56"/>
        <v>398.24875000000003</v>
      </c>
      <c r="AN165" s="88">
        <f t="shared" si="56"/>
        <v>186.78333333333333</v>
      </c>
      <c r="AO165" s="88">
        <f t="shared" si="56"/>
        <v>321.200625</v>
      </c>
      <c r="AP165" s="88">
        <f t="shared" si="56"/>
        <v>329.205625</v>
      </c>
      <c r="AQ165" s="88">
        <f t="shared" si="56"/>
        <v>342.54729166666669</v>
      </c>
      <c r="AR165" s="88">
        <f t="shared" si="56"/>
        <v>222.47229166666668</v>
      </c>
    </row>
    <row r="166" spans="1:46" s="106" customFormat="1" ht="14" hidden="1" outlineLevel="3" x14ac:dyDescent="0.35">
      <c r="A166" s="89" t="s">
        <v>186</v>
      </c>
      <c r="B166" s="90" t="s">
        <v>107</v>
      </c>
      <c r="C166" s="93">
        <f>3/96</f>
        <v>3.125E-2</v>
      </c>
      <c r="D166" s="92"/>
      <c r="E166" s="92">
        <v>3</v>
      </c>
      <c r="F166" s="92">
        <v>3</v>
      </c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3">
        <v>1</v>
      </c>
      <c r="U166" s="93">
        <f t="shared" si="46"/>
        <v>4.1000000000000005</v>
      </c>
      <c r="V166" s="92">
        <v>4</v>
      </c>
      <c r="W166" s="92">
        <v>3.6</v>
      </c>
      <c r="X166" s="92">
        <v>4.7</v>
      </c>
      <c r="Y166" s="92">
        <v>145</v>
      </c>
      <c r="Z166" s="92">
        <f t="shared" si="53"/>
        <v>0.12812500000000002</v>
      </c>
      <c r="AA166" s="95" t="s">
        <v>323</v>
      </c>
      <c r="AB166" s="97">
        <f t="shared" si="54"/>
        <v>242.47656250000003</v>
      </c>
      <c r="AC166" s="88">
        <f t="shared" si="57"/>
        <v>15.157187500000001</v>
      </c>
      <c r="AD166" s="88">
        <f t="shared" si="57"/>
        <v>27.329062500000006</v>
      </c>
      <c r="AE166" s="88">
        <f t="shared" si="56"/>
        <v>11.954062500000001</v>
      </c>
      <c r="AF166" s="88">
        <f t="shared" si="56"/>
        <v>9.6093750000000018</v>
      </c>
      <c r="AG166" s="88">
        <f t="shared" si="56"/>
        <v>26.650000000000002</v>
      </c>
      <c r="AH166" s="88">
        <f t="shared" si="56"/>
        <v>12.902187500000002</v>
      </c>
      <c r="AI166" s="88">
        <f t="shared" si="56"/>
        <v>11.454375000000002</v>
      </c>
      <c r="AJ166" s="88">
        <f t="shared" si="56"/>
        <v>15.375000000000002</v>
      </c>
      <c r="AK166" s="88">
        <f t="shared" si="56"/>
        <v>27.764687500000001</v>
      </c>
      <c r="AL166" s="88">
        <f t="shared" si="56"/>
        <v>15.118750000000002</v>
      </c>
      <c r="AM166" s="88">
        <f t="shared" si="56"/>
        <v>15.298125000000002</v>
      </c>
      <c r="AN166" s="88">
        <f t="shared" si="56"/>
        <v>7.1750000000000007</v>
      </c>
      <c r="AO166" s="88">
        <f t="shared" si="56"/>
        <v>12.338437500000001</v>
      </c>
      <c r="AP166" s="88">
        <f t="shared" si="56"/>
        <v>12.645937500000002</v>
      </c>
      <c r="AQ166" s="88">
        <f t="shared" si="56"/>
        <v>13.158437500000002</v>
      </c>
      <c r="AR166" s="88">
        <f t="shared" si="56"/>
        <v>8.5459375000000009</v>
      </c>
    </row>
    <row r="167" spans="1:46" s="106" customFormat="1" ht="14" hidden="1" outlineLevel="3" x14ac:dyDescent="0.35">
      <c r="A167" s="89" t="s">
        <v>187</v>
      </c>
      <c r="B167" s="90" t="s">
        <v>107</v>
      </c>
      <c r="C167" s="93">
        <f>1/96</f>
        <v>1.0416666666666666E-2</v>
      </c>
      <c r="D167" s="92"/>
      <c r="E167" s="92">
        <v>1</v>
      </c>
      <c r="F167" s="92">
        <v>1</v>
      </c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3">
        <v>1</v>
      </c>
      <c r="U167" s="93">
        <f t="shared" si="46"/>
        <v>55.5</v>
      </c>
      <c r="V167" s="92">
        <v>54</v>
      </c>
      <c r="W167" s="92">
        <v>56</v>
      </c>
      <c r="X167" s="92">
        <v>56.5</v>
      </c>
      <c r="Y167" s="92">
        <v>146</v>
      </c>
      <c r="Z167" s="92">
        <f t="shared" si="53"/>
        <v>0.578125</v>
      </c>
      <c r="AA167" s="95" t="s">
        <v>323</v>
      </c>
      <c r="AB167" s="97">
        <f t="shared" si="54"/>
        <v>1094.1015625</v>
      </c>
      <c r="AC167" s="88">
        <f t="shared" si="57"/>
        <v>68.392187499999991</v>
      </c>
      <c r="AD167" s="88">
        <f t="shared" si="57"/>
        <v>123.31406250000001</v>
      </c>
      <c r="AE167" s="88">
        <f t="shared" si="56"/>
        <v>53.939062499999999</v>
      </c>
      <c r="AF167" s="88">
        <f t="shared" si="56"/>
        <v>43.359375</v>
      </c>
      <c r="AG167" s="88">
        <f t="shared" si="56"/>
        <v>120.25</v>
      </c>
      <c r="AH167" s="88">
        <f t="shared" si="56"/>
        <v>58.217187500000001</v>
      </c>
      <c r="AI167" s="88">
        <f t="shared" si="56"/>
        <v>51.684375000000003</v>
      </c>
      <c r="AJ167" s="88">
        <f t="shared" si="56"/>
        <v>69.375</v>
      </c>
      <c r="AK167" s="88">
        <f t="shared" si="56"/>
        <v>125.27968749999999</v>
      </c>
      <c r="AL167" s="88">
        <f t="shared" si="56"/>
        <v>68.21875</v>
      </c>
      <c r="AM167" s="88">
        <f t="shared" si="56"/>
        <v>69.028125000000003</v>
      </c>
      <c r="AN167" s="88">
        <f t="shared" si="56"/>
        <v>32.375</v>
      </c>
      <c r="AO167" s="88">
        <f t="shared" si="56"/>
        <v>55.673437499999999</v>
      </c>
      <c r="AP167" s="88">
        <f t="shared" si="56"/>
        <v>57.060937500000001</v>
      </c>
      <c r="AQ167" s="88">
        <f t="shared" si="56"/>
        <v>59.373437500000001</v>
      </c>
      <c r="AR167" s="88">
        <f t="shared" si="56"/>
        <v>38.560937500000001</v>
      </c>
    </row>
    <row r="168" spans="1:46" s="106" customFormat="1" ht="14" hidden="1" outlineLevel="3" x14ac:dyDescent="0.35">
      <c r="A168" s="89" t="s">
        <v>188</v>
      </c>
      <c r="B168" s="90" t="s">
        <v>183</v>
      </c>
      <c r="C168" s="93">
        <f>4/104</f>
        <v>3.8461538461538464E-2</v>
      </c>
      <c r="D168" s="92"/>
      <c r="E168" s="92"/>
      <c r="F168" s="92"/>
      <c r="G168" s="92"/>
      <c r="H168" s="92"/>
      <c r="I168" s="92">
        <v>4</v>
      </c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3">
        <v>1</v>
      </c>
      <c r="U168" s="93">
        <f t="shared" si="46"/>
        <v>19</v>
      </c>
      <c r="V168" s="92">
        <v>18</v>
      </c>
      <c r="W168" s="92">
        <v>19</v>
      </c>
      <c r="X168" s="92">
        <v>20</v>
      </c>
      <c r="Y168" s="92">
        <v>147</v>
      </c>
      <c r="Z168" s="92">
        <f t="shared" si="53"/>
        <v>0.73076923076923084</v>
      </c>
      <c r="AA168" s="95" t="s">
        <v>320</v>
      </c>
      <c r="AB168" s="97">
        <f t="shared" si="54"/>
        <v>1382.9807692307693</v>
      </c>
      <c r="AC168" s="88">
        <f t="shared" si="57"/>
        <v>86.45</v>
      </c>
      <c r="AD168" s="88">
        <f t="shared" si="57"/>
        <v>155.87307692307695</v>
      </c>
      <c r="AE168" s="88">
        <f t="shared" si="56"/>
        <v>68.180769230769229</v>
      </c>
      <c r="AF168" s="88">
        <f t="shared" si="56"/>
        <v>54.807692307692314</v>
      </c>
      <c r="AG168" s="88">
        <f t="shared" ref="AE168:AR172" si="58">$Z168*AG$2</f>
        <v>152</v>
      </c>
      <c r="AH168" s="88">
        <f t="shared" si="58"/>
        <v>73.588461538461544</v>
      </c>
      <c r="AI168" s="88">
        <f t="shared" si="58"/>
        <v>65.330769230769235</v>
      </c>
      <c r="AJ168" s="88">
        <f t="shared" si="58"/>
        <v>87.692307692307708</v>
      </c>
      <c r="AK168" s="88">
        <f t="shared" si="58"/>
        <v>158.3576923076923</v>
      </c>
      <c r="AL168" s="88">
        <f t="shared" si="58"/>
        <v>86.230769230769241</v>
      </c>
      <c r="AM168" s="88">
        <f t="shared" si="58"/>
        <v>87.253846153846169</v>
      </c>
      <c r="AN168" s="88">
        <f t="shared" si="58"/>
        <v>40.923076923076927</v>
      </c>
      <c r="AO168" s="88">
        <f t="shared" si="58"/>
        <v>70.373076923076923</v>
      </c>
      <c r="AP168" s="88">
        <f t="shared" si="58"/>
        <v>72.126923076923092</v>
      </c>
      <c r="AQ168" s="88">
        <f t="shared" si="58"/>
        <v>75.050000000000011</v>
      </c>
      <c r="AR168" s="88">
        <f t="shared" si="58"/>
        <v>48.742307692307698</v>
      </c>
    </row>
    <row r="169" spans="1:46" s="106" customFormat="1" ht="14" hidden="1" outlineLevel="3" x14ac:dyDescent="0.35">
      <c r="A169" s="89" t="s">
        <v>189</v>
      </c>
      <c r="B169" s="90" t="s">
        <v>107</v>
      </c>
      <c r="C169" s="93">
        <f>3/96</f>
        <v>3.125E-2</v>
      </c>
      <c r="D169" s="92"/>
      <c r="E169" s="92">
        <v>3</v>
      </c>
      <c r="F169" s="92">
        <v>3</v>
      </c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3">
        <v>1</v>
      </c>
      <c r="U169" s="93">
        <f t="shared" si="46"/>
        <v>39.166666666666664</v>
      </c>
      <c r="V169" s="92">
        <v>26</v>
      </c>
      <c r="W169" s="92">
        <v>37</v>
      </c>
      <c r="X169" s="92">
        <v>54.5</v>
      </c>
      <c r="Y169" s="92">
        <v>148</v>
      </c>
      <c r="Z169" s="92">
        <f t="shared" si="53"/>
        <v>1.2239583333333333</v>
      </c>
      <c r="AA169" s="95" t="s">
        <v>323</v>
      </c>
      <c r="AB169" s="97">
        <f t="shared" si="54"/>
        <v>2316.341145833333</v>
      </c>
      <c r="AC169" s="88">
        <f t="shared" si="57"/>
        <v>144.79427083333331</v>
      </c>
      <c r="AD169" s="88">
        <f t="shared" si="57"/>
        <v>261.0703125</v>
      </c>
      <c r="AE169" s="88">
        <f t="shared" si="58"/>
        <v>114.19531249999999</v>
      </c>
      <c r="AF169" s="88">
        <f t="shared" si="58"/>
        <v>91.796875</v>
      </c>
      <c r="AG169" s="88">
        <f t="shared" si="58"/>
        <v>254.58333333333331</v>
      </c>
      <c r="AH169" s="88">
        <f t="shared" si="58"/>
        <v>123.25260416666666</v>
      </c>
      <c r="AI169" s="88">
        <f t="shared" si="58"/>
        <v>109.421875</v>
      </c>
      <c r="AJ169" s="88">
        <f t="shared" si="58"/>
        <v>146.875</v>
      </c>
      <c r="AK169" s="88">
        <f t="shared" si="58"/>
        <v>265.23177083333331</v>
      </c>
      <c r="AL169" s="88">
        <f t="shared" si="58"/>
        <v>144.42708333333331</v>
      </c>
      <c r="AM169" s="88">
        <f t="shared" si="58"/>
        <v>146.140625</v>
      </c>
      <c r="AN169" s="88">
        <f t="shared" si="58"/>
        <v>68.541666666666657</v>
      </c>
      <c r="AO169" s="88">
        <f t="shared" si="58"/>
        <v>117.86718749999999</v>
      </c>
      <c r="AP169" s="88">
        <f t="shared" si="58"/>
        <v>120.8046875</v>
      </c>
      <c r="AQ169" s="88">
        <f t="shared" si="58"/>
        <v>125.70052083333333</v>
      </c>
      <c r="AR169" s="88">
        <f t="shared" si="58"/>
        <v>81.638020833333329</v>
      </c>
    </row>
    <row r="170" spans="1:46" s="106" customFormat="1" ht="14" hidden="1" outlineLevel="3" x14ac:dyDescent="0.35">
      <c r="A170" s="89" t="s">
        <v>190</v>
      </c>
      <c r="B170" s="90" t="s">
        <v>183</v>
      </c>
      <c r="C170" s="93">
        <f>20/96</f>
        <v>0.20833333333333334</v>
      </c>
      <c r="D170" s="92"/>
      <c r="E170" s="92">
        <v>20</v>
      </c>
      <c r="F170" s="92">
        <v>20</v>
      </c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3">
        <v>1</v>
      </c>
      <c r="U170" s="93">
        <f t="shared" si="46"/>
        <v>13.799999999999999</v>
      </c>
      <c r="V170" s="92">
        <v>10.5</v>
      </c>
      <c r="W170" s="92">
        <v>20</v>
      </c>
      <c r="X170" s="92">
        <v>10.9</v>
      </c>
      <c r="Y170" s="92">
        <v>149</v>
      </c>
      <c r="Z170" s="92">
        <f t="shared" si="53"/>
        <v>2.875</v>
      </c>
      <c r="AA170" s="95" t="s">
        <v>323</v>
      </c>
      <c r="AB170" s="97">
        <f t="shared" si="54"/>
        <v>5440.9374999999991</v>
      </c>
      <c r="AC170" s="88">
        <f t="shared" si="57"/>
        <v>340.11250000000001</v>
      </c>
      <c r="AD170" s="88">
        <f t="shared" si="57"/>
        <v>613.23750000000007</v>
      </c>
      <c r="AE170" s="88">
        <f t="shared" si="58"/>
        <v>268.23750000000001</v>
      </c>
      <c r="AF170" s="88">
        <f t="shared" si="58"/>
        <v>215.625</v>
      </c>
      <c r="AG170" s="88">
        <f t="shared" si="58"/>
        <v>598</v>
      </c>
      <c r="AH170" s="88">
        <f t="shared" si="58"/>
        <v>289.51249999999999</v>
      </c>
      <c r="AI170" s="88">
        <f t="shared" si="58"/>
        <v>257.02500000000003</v>
      </c>
      <c r="AJ170" s="88">
        <f t="shared" si="58"/>
        <v>345</v>
      </c>
      <c r="AK170" s="88">
        <f t="shared" si="58"/>
        <v>623.01249999999993</v>
      </c>
      <c r="AL170" s="88">
        <f t="shared" si="58"/>
        <v>339.25</v>
      </c>
      <c r="AM170" s="88">
        <f t="shared" si="58"/>
        <v>343.27500000000003</v>
      </c>
      <c r="AN170" s="88">
        <f t="shared" si="58"/>
        <v>161</v>
      </c>
      <c r="AO170" s="88">
        <f t="shared" si="58"/>
        <v>276.86250000000001</v>
      </c>
      <c r="AP170" s="88">
        <f t="shared" si="58"/>
        <v>283.76249999999999</v>
      </c>
      <c r="AQ170" s="88">
        <f t="shared" si="58"/>
        <v>295.26249999999999</v>
      </c>
      <c r="AR170" s="88">
        <f t="shared" si="58"/>
        <v>191.76250000000002</v>
      </c>
    </row>
    <row r="171" spans="1:46" s="106" customFormat="1" ht="14" hidden="1" outlineLevel="3" x14ac:dyDescent="0.35">
      <c r="A171" s="89" t="s">
        <v>191</v>
      </c>
      <c r="B171" s="90" t="s">
        <v>107</v>
      </c>
      <c r="C171" s="93">
        <f>1/96</f>
        <v>1.0416666666666666E-2</v>
      </c>
      <c r="D171" s="92"/>
      <c r="E171" s="92">
        <v>1</v>
      </c>
      <c r="F171" s="92">
        <v>1</v>
      </c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3">
        <v>1</v>
      </c>
      <c r="U171" s="93">
        <f t="shared" si="46"/>
        <v>85.5</v>
      </c>
      <c r="V171" s="92">
        <v>65</v>
      </c>
      <c r="W171" s="92">
        <v>106</v>
      </c>
      <c r="X171" s="92"/>
      <c r="Y171" s="92">
        <v>150</v>
      </c>
      <c r="Z171" s="92">
        <f t="shared" si="53"/>
        <v>0.890625</v>
      </c>
      <c r="AA171" s="95" t="s">
        <v>323</v>
      </c>
      <c r="AB171" s="97">
        <f t="shared" si="54"/>
        <v>1685.5078125</v>
      </c>
      <c r="AC171" s="88">
        <f t="shared" si="57"/>
        <v>105.36093749999999</v>
      </c>
      <c r="AD171" s="88">
        <f t="shared" si="57"/>
        <v>189.97031250000001</v>
      </c>
      <c r="AE171" s="88">
        <f t="shared" si="58"/>
        <v>83.095312499999991</v>
      </c>
      <c r="AF171" s="88">
        <f t="shared" si="58"/>
        <v>66.796875</v>
      </c>
      <c r="AG171" s="88">
        <f t="shared" si="58"/>
        <v>185.25</v>
      </c>
      <c r="AH171" s="88">
        <f t="shared" si="58"/>
        <v>89.685937500000009</v>
      </c>
      <c r="AI171" s="88">
        <f t="shared" si="58"/>
        <v>79.621875000000003</v>
      </c>
      <c r="AJ171" s="88">
        <f t="shared" si="58"/>
        <v>106.875</v>
      </c>
      <c r="AK171" s="88">
        <f t="shared" si="58"/>
        <v>192.99843749999999</v>
      </c>
      <c r="AL171" s="88">
        <f t="shared" si="58"/>
        <v>105.09375</v>
      </c>
      <c r="AM171" s="88">
        <f t="shared" si="58"/>
        <v>106.340625</v>
      </c>
      <c r="AN171" s="88">
        <f t="shared" si="58"/>
        <v>49.875</v>
      </c>
      <c r="AO171" s="88">
        <f t="shared" si="58"/>
        <v>85.767187499999991</v>
      </c>
      <c r="AP171" s="88">
        <f t="shared" si="58"/>
        <v>87.904687500000009</v>
      </c>
      <c r="AQ171" s="88">
        <f t="shared" si="58"/>
        <v>91.467187500000009</v>
      </c>
      <c r="AR171" s="88">
        <f t="shared" si="58"/>
        <v>59.404687500000001</v>
      </c>
    </row>
    <row r="172" spans="1:46" s="106" customFormat="1" ht="14" hidden="1" outlineLevel="3" x14ac:dyDescent="0.35">
      <c r="A172" s="89" t="s">
        <v>192</v>
      </c>
      <c r="B172" s="90" t="s">
        <v>183</v>
      </c>
      <c r="C172" s="93">
        <f>10/96</f>
        <v>0.10416666666666667</v>
      </c>
      <c r="D172" s="92"/>
      <c r="E172" s="92"/>
      <c r="F172" s="92">
        <v>10</v>
      </c>
      <c r="G172" s="92"/>
      <c r="H172" s="92"/>
      <c r="I172" s="92">
        <v>10</v>
      </c>
      <c r="J172" s="92"/>
      <c r="K172" s="92"/>
      <c r="L172" s="92"/>
      <c r="M172" s="92"/>
      <c r="N172" s="92"/>
      <c r="O172" s="92"/>
      <c r="P172" s="92"/>
      <c r="Q172" s="92"/>
      <c r="R172" s="92"/>
      <c r="S172" s="92">
        <v>6</v>
      </c>
      <c r="T172" s="93">
        <v>1</v>
      </c>
      <c r="U172" s="93">
        <f t="shared" si="46"/>
        <v>9.3333333333333339</v>
      </c>
      <c r="V172" s="107">
        <v>9</v>
      </c>
      <c r="W172" s="107">
        <v>10</v>
      </c>
      <c r="X172" s="107">
        <v>9</v>
      </c>
      <c r="Y172" s="92">
        <v>151</v>
      </c>
      <c r="Z172" s="92">
        <f t="shared" si="53"/>
        <v>0.97222222222222232</v>
      </c>
      <c r="AA172" s="95" t="s">
        <v>323</v>
      </c>
      <c r="AB172" s="97">
        <f t="shared" si="54"/>
        <v>1839.9305555555554</v>
      </c>
      <c r="AC172" s="88">
        <f t="shared" si="57"/>
        <v>115.0138888888889</v>
      </c>
      <c r="AD172" s="88">
        <f t="shared" si="57"/>
        <v>207.37500000000003</v>
      </c>
      <c r="AE172" s="88">
        <f t="shared" si="58"/>
        <v>90.708333333333343</v>
      </c>
      <c r="AF172" s="88">
        <f t="shared" si="58"/>
        <v>72.916666666666671</v>
      </c>
      <c r="AG172" s="88">
        <f t="shared" si="58"/>
        <v>202.22222222222223</v>
      </c>
      <c r="AH172" s="88">
        <f t="shared" si="58"/>
        <v>97.902777777777786</v>
      </c>
      <c r="AI172" s="88">
        <f t="shared" si="58"/>
        <v>86.916666666666686</v>
      </c>
      <c r="AJ172" s="88">
        <f t="shared" si="58"/>
        <v>116.66666666666669</v>
      </c>
      <c r="AK172" s="88">
        <f t="shared" si="58"/>
        <v>210.68055555555557</v>
      </c>
      <c r="AL172" s="88">
        <f t="shared" si="58"/>
        <v>114.72222222222223</v>
      </c>
      <c r="AM172" s="88">
        <f t="shared" si="58"/>
        <v>116.08333333333336</v>
      </c>
      <c r="AN172" s="88">
        <f t="shared" si="58"/>
        <v>54.44444444444445</v>
      </c>
      <c r="AO172" s="88">
        <f t="shared" si="58"/>
        <v>93.625</v>
      </c>
      <c r="AP172" s="88">
        <f t="shared" si="58"/>
        <v>95.958333333333343</v>
      </c>
      <c r="AQ172" s="88">
        <f t="shared" si="58"/>
        <v>99.847222222222229</v>
      </c>
      <c r="AR172" s="88">
        <f t="shared" si="58"/>
        <v>64.847222222222229</v>
      </c>
    </row>
    <row r="173" spans="1:46" s="112" customFormat="1" ht="39" outlineLevel="2" collapsed="1" x14ac:dyDescent="0.35">
      <c r="A173" s="108" t="s">
        <v>304</v>
      </c>
      <c r="B173" s="109" t="s">
        <v>3</v>
      </c>
      <c r="C173" s="109" t="s">
        <v>3</v>
      </c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0"/>
      <c r="Q173" s="110"/>
      <c r="R173" s="110"/>
      <c r="S173" s="110"/>
      <c r="T173" s="109" t="s">
        <v>3</v>
      </c>
      <c r="U173" s="109" t="s">
        <v>3</v>
      </c>
      <c r="V173" s="109" t="s">
        <v>3</v>
      </c>
      <c r="W173" s="109" t="s">
        <v>3</v>
      </c>
      <c r="X173" s="109" t="s">
        <v>3</v>
      </c>
      <c r="Y173" s="109" t="s">
        <v>3</v>
      </c>
      <c r="Z173" s="109" t="s">
        <v>3</v>
      </c>
      <c r="AA173" s="109" t="s">
        <v>3</v>
      </c>
      <c r="AB173" s="111">
        <f>SUM(AB174:AB188)</f>
        <v>1388996.2763155294</v>
      </c>
      <c r="AC173" s="111">
        <f t="shared" ref="AC173:AR173" si="59">SUM(AC174:AC188)</f>
        <v>86826.028791612742</v>
      </c>
      <c r="AD173" s="111">
        <f t="shared" si="59"/>
        <v>156551.07304523245</v>
      </c>
      <c r="AE173" s="111">
        <f t="shared" si="59"/>
        <v>68477.332935397033</v>
      </c>
      <c r="AF173" s="111">
        <f t="shared" si="59"/>
        <v>55046.087568647141</v>
      </c>
      <c r="AG173" s="111">
        <f t="shared" si="59"/>
        <v>152661.1495237147</v>
      </c>
      <c r="AH173" s="111">
        <f t="shared" si="59"/>
        <v>73908.546908836885</v>
      </c>
      <c r="AI173" s="111">
        <f t="shared" si="59"/>
        <v>65614.936381827385</v>
      </c>
      <c r="AJ173" s="111">
        <f t="shared" si="59"/>
        <v>88073.740109835402</v>
      </c>
      <c r="AK173" s="111">
        <f t="shared" si="59"/>
        <v>159046.4956816778</v>
      </c>
      <c r="AL173" s="111">
        <f t="shared" si="59"/>
        <v>86605.844441338151</v>
      </c>
      <c r="AM173" s="111">
        <f t="shared" si="59"/>
        <v>87633.37140928625</v>
      </c>
      <c r="AN173" s="111">
        <f t="shared" si="59"/>
        <v>41101.078717923199</v>
      </c>
      <c r="AO173" s="111">
        <f t="shared" si="59"/>
        <v>70679.176438142924</v>
      </c>
      <c r="AP173" s="111">
        <f t="shared" si="59"/>
        <v>72440.651240339634</v>
      </c>
      <c r="AQ173" s="111">
        <f t="shared" si="59"/>
        <v>75376.44257733415</v>
      </c>
      <c r="AR173" s="111">
        <f t="shared" si="59"/>
        <v>48954.320544383518</v>
      </c>
      <c r="AT173" s="117"/>
    </row>
    <row r="174" spans="1:46" s="98" customFormat="1" ht="26" hidden="1" outlineLevel="3" x14ac:dyDescent="0.35">
      <c r="A174" s="89" t="s">
        <v>89</v>
      </c>
      <c r="B174" s="90" t="s">
        <v>20</v>
      </c>
      <c r="C174" s="93">
        <f>200/117</f>
        <v>1.7094017094017093</v>
      </c>
      <c r="D174" s="92">
        <v>420</v>
      </c>
      <c r="E174" s="92">
        <v>700</v>
      </c>
      <c r="F174" s="92">
        <v>300</v>
      </c>
      <c r="G174" s="92">
        <f>200+250</f>
        <v>450</v>
      </c>
      <c r="H174" s="92"/>
      <c r="I174" s="92">
        <v>580</v>
      </c>
      <c r="J174" s="92">
        <v>300</v>
      </c>
      <c r="K174" s="92">
        <v>120</v>
      </c>
      <c r="L174" s="92">
        <v>200</v>
      </c>
      <c r="M174" s="92">
        <v>200</v>
      </c>
      <c r="N174" s="92">
        <v>200</v>
      </c>
      <c r="O174" s="92">
        <v>50</v>
      </c>
      <c r="P174" s="92"/>
      <c r="Q174" s="92"/>
      <c r="R174" s="92">
        <v>250</v>
      </c>
      <c r="S174" s="92">
        <v>300</v>
      </c>
      <c r="T174" s="93">
        <v>1</v>
      </c>
      <c r="U174" s="93">
        <f t="shared" si="46"/>
        <v>15</v>
      </c>
      <c r="V174" s="92">
        <v>16</v>
      </c>
      <c r="W174" s="92">
        <v>14</v>
      </c>
      <c r="X174" s="92">
        <v>15</v>
      </c>
      <c r="Y174" s="92">
        <v>152</v>
      </c>
      <c r="Z174" s="92">
        <f t="shared" ref="Z174:Z188" si="60">C174/$T174*$U174</f>
        <v>25.641025641025639</v>
      </c>
      <c r="AA174" s="95" t="s">
        <v>325</v>
      </c>
      <c r="AB174" s="97">
        <f t="shared" ref="AB174:AB188" si="61">SUM(AC174:AR174)</f>
        <v>48525.641025641016</v>
      </c>
      <c r="AC174" s="88">
        <f t="shared" ref="AC174:AR188" si="62">$Z174*AC$2</f>
        <v>3033.333333333333</v>
      </c>
      <c r="AD174" s="88">
        <f t="shared" si="62"/>
        <v>5469.2307692307686</v>
      </c>
      <c r="AE174" s="88">
        <f t="shared" si="62"/>
        <v>2392.3076923076919</v>
      </c>
      <c r="AF174" s="88">
        <f t="shared" si="62"/>
        <v>1923.0769230769229</v>
      </c>
      <c r="AG174" s="88">
        <f t="shared" si="62"/>
        <v>5333.333333333333</v>
      </c>
      <c r="AH174" s="88">
        <f t="shared" si="62"/>
        <v>2582.0512820512818</v>
      </c>
      <c r="AI174" s="88">
        <f t="shared" si="62"/>
        <v>2292.3076923076924</v>
      </c>
      <c r="AJ174" s="88">
        <f t="shared" si="62"/>
        <v>3076.9230769230767</v>
      </c>
      <c r="AK174" s="88">
        <f t="shared" si="62"/>
        <v>5556.4102564102559</v>
      </c>
      <c r="AL174" s="88">
        <f t="shared" si="62"/>
        <v>3025.6410256410254</v>
      </c>
      <c r="AM174" s="88">
        <f t="shared" si="62"/>
        <v>3061.5384615384614</v>
      </c>
      <c r="AN174" s="88">
        <f t="shared" si="62"/>
        <v>1435.8974358974358</v>
      </c>
      <c r="AO174" s="88">
        <f t="shared" si="62"/>
        <v>2469.2307692307691</v>
      </c>
      <c r="AP174" s="88">
        <f t="shared" si="62"/>
        <v>2530.7692307692305</v>
      </c>
      <c r="AQ174" s="88">
        <f t="shared" si="62"/>
        <v>2633.333333333333</v>
      </c>
      <c r="AR174" s="88">
        <f t="shared" si="62"/>
        <v>1710.2564102564102</v>
      </c>
    </row>
    <row r="175" spans="1:46" s="98" customFormat="1" ht="26" hidden="1" outlineLevel="3" x14ac:dyDescent="0.35">
      <c r="A175" s="89" t="s">
        <v>91</v>
      </c>
      <c r="B175" s="90" t="s">
        <v>107</v>
      </c>
      <c r="C175" s="93">
        <f>100/117</f>
        <v>0.85470085470085466</v>
      </c>
      <c r="D175" s="92"/>
      <c r="E175" s="92"/>
      <c r="F175" s="92">
        <v>100</v>
      </c>
      <c r="G175" s="92"/>
      <c r="H175" s="92"/>
      <c r="I175" s="92">
        <v>80</v>
      </c>
      <c r="J175" s="92">
        <v>50</v>
      </c>
      <c r="K175" s="92"/>
      <c r="L175" s="92"/>
      <c r="M175" s="92">
        <v>100</v>
      </c>
      <c r="N175" s="92">
        <v>60</v>
      </c>
      <c r="O175" s="92">
        <v>120</v>
      </c>
      <c r="P175" s="92"/>
      <c r="Q175" s="92"/>
      <c r="R175" s="92"/>
      <c r="S175" s="92"/>
      <c r="T175" s="93">
        <v>1</v>
      </c>
      <c r="U175" s="93">
        <f t="shared" si="46"/>
        <v>52.773333333333333</v>
      </c>
      <c r="V175" s="107">
        <v>56</v>
      </c>
      <c r="W175" s="107">
        <v>58.9</v>
      </c>
      <c r="X175" s="107">
        <v>43.42</v>
      </c>
      <c r="Y175" s="92">
        <v>153</v>
      </c>
      <c r="Z175" s="92">
        <f t="shared" si="60"/>
        <v>45.105413105413106</v>
      </c>
      <c r="AA175" s="95" t="s">
        <v>290</v>
      </c>
      <c r="AB175" s="97">
        <f t="shared" si="61"/>
        <v>85361.994301994317</v>
      </c>
      <c r="AC175" s="88">
        <f t="shared" si="62"/>
        <v>5335.9703703703699</v>
      </c>
      <c r="AD175" s="88">
        <f t="shared" si="62"/>
        <v>9620.9846153846156</v>
      </c>
      <c r="AE175" s="88">
        <f t="shared" si="62"/>
        <v>4208.3350427350424</v>
      </c>
      <c r="AF175" s="88">
        <f t="shared" si="62"/>
        <v>3382.9059829059829</v>
      </c>
      <c r="AG175" s="88">
        <f t="shared" si="62"/>
        <v>9381.925925925927</v>
      </c>
      <c r="AH175" s="88">
        <f t="shared" si="62"/>
        <v>4542.1150997150999</v>
      </c>
      <c r="AI175" s="88">
        <f t="shared" si="62"/>
        <v>4032.4239316239318</v>
      </c>
      <c r="AJ175" s="88">
        <f t="shared" si="62"/>
        <v>5412.6495726495723</v>
      </c>
      <c r="AK175" s="88">
        <f t="shared" si="62"/>
        <v>9774.3430199430204</v>
      </c>
      <c r="AL175" s="88">
        <f t="shared" si="62"/>
        <v>5322.4387464387464</v>
      </c>
      <c r="AM175" s="88">
        <f t="shared" si="62"/>
        <v>5385.5863247863253</v>
      </c>
      <c r="AN175" s="88">
        <f t="shared" si="62"/>
        <v>2525.9031339031339</v>
      </c>
      <c r="AO175" s="88">
        <f t="shared" si="62"/>
        <v>4343.6512820512817</v>
      </c>
      <c r="AP175" s="88">
        <f t="shared" si="62"/>
        <v>4451.904273504274</v>
      </c>
      <c r="AQ175" s="88">
        <f t="shared" si="62"/>
        <v>4632.3259259259257</v>
      </c>
      <c r="AR175" s="88">
        <f t="shared" si="62"/>
        <v>3008.5310541310541</v>
      </c>
    </row>
    <row r="176" spans="1:46" s="98" customFormat="1" ht="13" hidden="1" outlineLevel="3" x14ac:dyDescent="0.35">
      <c r="A176" s="89" t="s">
        <v>92</v>
      </c>
      <c r="B176" s="90" t="s">
        <v>20</v>
      </c>
      <c r="C176" s="93">
        <f>20/70</f>
        <v>0.2857142857142857</v>
      </c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>
        <v>20</v>
      </c>
      <c r="T176" s="93">
        <v>1</v>
      </c>
      <c r="U176" s="93">
        <f>AVERAGE(V176:X176)</f>
        <v>69.486666666666665</v>
      </c>
      <c r="V176" s="107">
        <v>77.459999999999994</v>
      </c>
      <c r="W176" s="107">
        <v>64.599999999999994</v>
      </c>
      <c r="X176" s="107">
        <v>66.400000000000006</v>
      </c>
      <c r="Y176" s="92">
        <v>154</v>
      </c>
      <c r="Z176" s="92">
        <f t="shared" si="60"/>
        <v>19.853333333333332</v>
      </c>
      <c r="AA176" s="95" t="s">
        <v>326</v>
      </c>
      <c r="AB176" s="97">
        <f t="shared" si="61"/>
        <v>37572.433333333334</v>
      </c>
      <c r="AC176" s="88">
        <f t="shared" si="62"/>
        <v>2348.6493333333333</v>
      </c>
      <c r="AD176" s="88">
        <f t="shared" si="62"/>
        <v>4234.7159999999994</v>
      </c>
      <c r="AE176" s="88">
        <f t="shared" si="62"/>
        <v>1852.3159999999998</v>
      </c>
      <c r="AF176" s="88">
        <f t="shared" si="62"/>
        <v>1488.9999999999998</v>
      </c>
      <c r="AG176" s="88">
        <f t="shared" si="62"/>
        <v>4129.4933333333329</v>
      </c>
      <c r="AH176" s="88">
        <f t="shared" si="62"/>
        <v>1999.2306666666666</v>
      </c>
      <c r="AI176" s="88">
        <f t="shared" si="62"/>
        <v>1774.8879999999999</v>
      </c>
      <c r="AJ176" s="88">
        <f t="shared" si="62"/>
        <v>2382.3999999999996</v>
      </c>
      <c r="AK176" s="88">
        <f t="shared" si="62"/>
        <v>4302.217333333333</v>
      </c>
      <c r="AL176" s="88">
        <f t="shared" si="62"/>
        <v>2342.6933333333332</v>
      </c>
      <c r="AM176" s="88">
        <f t="shared" si="62"/>
        <v>2370.4879999999998</v>
      </c>
      <c r="AN176" s="88">
        <f t="shared" si="62"/>
        <v>1111.7866666666666</v>
      </c>
      <c r="AO176" s="88">
        <f t="shared" si="62"/>
        <v>1911.8759999999997</v>
      </c>
      <c r="AP176" s="88">
        <f t="shared" si="62"/>
        <v>1959.5239999999999</v>
      </c>
      <c r="AQ176" s="88">
        <f t="shared" si="62"/>
        <v>2038.9373333333333</v>
      </c>
      <c r="AR176" s="88">
        <f t="shared" si="62"/>
        <v>1324.2173333333333</v>
      </c>
    </row>
    <row r="177" spans="1:44" s="98" customFormat="1" ht="13" hidden="1" outlineLevel="3" x14ac:dyDescent="0.35">
      <c r="A177" s="89" t="s">
        <v>93</v>
      </c>
      <c r="B177" s="90" t="s">
        <v>20</v>
      </c>
      <c r="C177" s="93">
        <f>200/117</f>
        <v>1.7094017094017093</v>
      </c>
      <c r="D177" s="92"/>
      <c r="E177" s="92">
        <v>150</v>
      </c>
      <c r="F177" s="92">
        <v>60</v>
      </c>
      <c r="G177" s="92"/>
      <c r="H177" s="92"/>
      <c r="I177" s="92">
        <v>150</v>
      </c>
      <c r="J177" s="92">
        <v>60</v>
      </c>
      <c r="K177" s="92"/>
      <c r="L177" s="92">
        <v>360</v>
      </c>
      <c r="M177" s="92">
        <v>200</v>
      </c>
      <c r="N177" s="92">
        <v>100</v>
      </c>
      <c r="O177" s="92">
        <v>50</v>
      </c>
      <c r="P177" s="92"/>
      <c r="Q177" s="92"/>
      <c r="R177" s="92">
        <v>80</v>
      </c>
      <c r="S177" s="92">
        <v>30</v>
      </c>
      <c r="T177" s="93">
        <v>1</v>
      </c>
      <c r="U177" s="93">
        <f>AVERAGE(V177:X177)</f>
        <v>24</v>
      </c>
      <c r="V177" s="107">
        <v>21.8</v>
      </c>
      <c r="W177" s="107">
        <v>23.4</v>
      </c>
      <c r="X177" s="107">
        <v>26.8</v>
      </c>
      <c r="Y177" s="92">
        <v>155</v>
      </c>
      <c r="Z177" s="92">
        <f t="shared" si="60"/>
        <v>41.025641025641022</v>
      </c>
      <c r="AA177" s="95" t="s">
        <v>325</v>
      </c>
      <c r="AB177" s="97">
        <f t="shared" si="61"/>
        <v>77641.025641025612</v>
      </c>
      <c r="AC177" s="88">
        <f t="shared" si="62"/>
        <v>4853.333333333333</v>
      </c>
      <c r="AD177" s="88">
        <f t="shared" si="62"/>
        <v>8750.7692307692305</v>
      </c>
      <c r="AE177" s="88">
        <f t="shared" si="62"/>
        <v>3827.6923076923072</v>
      </c>
      <c r="AF177" s="88">
        <f t="shared" si="62"/>
        <v>3076.9230769230767</v>
      </c>
      <c r="AG177" s="88">
        <f t="shared" si="62"/>
        <v>8533.3333333333321</v>
      </c>
      <c r="AH177" s="88">
        <f t="shared" si="62"/>
        <v>4131.2820512820508</v>
      </c>
      <c r="AI177" s="88">
        <f t="shared" si="62"/>
        <v>3667.6923076923076</v>
      </c>
      <c r="AJ177" s="88">
        <f t="shared" si="62"/>
        <v>4923.0769230769229</v>
      </c>
      <c r="AK177" s="88">
        <f t="shared" si="62"/>
        <v>8890.2564102564083</v>
      </c>
      <c r="AL177" s="88">
        <f t="shared" si="62"/>
        <v>4841.0256410256407</v>
      </c>
      <c r="AM177" s="88">
        <f t="shared" si="62"/>
        <v>4898.4615384615381</v>
      </c>
      <c r="AN177" s="88">
        <f t="shared" si="62"/>
        <v>2297.4358974358975</v>
      </c>
      <c r="AO177" s="88">
        <f t="shared" si="62"/>
        <v>3950.7692307692305</v>
      </c>
      <c r="AP177" s="88">
        <f t="shared" si="62"/>
        <v>4049.2307692307691</v>
      </c>
      <c r="AQ177" s="88">
        <f t="shared" si="62"/>
        <v>4213.333333333333</v>
      </c>
      <c r="AR177" s="88">
        <f t="shared" si="62"/>
        <v>2736.4102564102564</v>
      </c>
    </row>
    <row r="178" spans="1:44" s="98" customFormat="1" ht="13" hidden="1" outlineLevel="3" x14ac:dyDescent="0.35">
      <c r="A178" s="89" t="s">
        <v>94</v>
      </c>
      <c r="B178" s="90" t="s">
        <v>95</v>
      </c>
      <c r="C178" s="93">
        <f>100/117</f>
        <v>0.85470085470085466</v>
      </c>
      <c r="D178" s="92">
        <v>100</v>
      </c>
      <c r="E178" s="92"/>
      <c r="F178" s="92">
        <v>100</v>
      </c>
      <c r="G178" s="92">
        <f>140+100+60</f>
        <v>300</v>
      </c>
      <c r="H178" s="92"/>
      <c r="I178" s="92">
        <v>88</v>
      </c>
      <c r="J178" s="92">
        <v>12</v>
      </c>
      <c r="K178" s="92"/>
      <c r="L178" s="92">
        <v>100</v>
      </c>
      <c r="M178" s="92">
        <v>100</v>
      </c>
      <c r="N178" s="92">
        <v>120</v>
      </c>
      <c r="O178" s="92"/>
      <c r="P178" s="92"/>
      <c r="Q178" s="92"/>
      <c r="R178" s="92">
        <v>80</v>
      </c>
      <c r="S178" s="92">
        <v>70</v>
      </c>
      <c r="T178" s="93">
        <v>1</v>
      </c>
      <c r="U178" s="93">
        <v>41.4</v>
      </c>
      <c r="V178" s="111">
        <v>2300</v>
      </c>
      <c r="W178" s="111">
        <v>2005</v>
      </c>
      <c r="X178" s="111">
        <v>1900</v>
      </c>
      <c r="Y178" s="92">
        <v>156</v>
      </c>
      <c r="Z178" s="92">
        <f t="shared" si="60"/>
        <v>35.38461538461538</v>
      </c>
      <c r="AA178" s="95" t="s">
        <v>290</v>
      </c>
      <c r="AB178" s="97">
        <f t="shared" si="61"/>
        <v>66965.38461538461</v>
      </c>
      <c r="AC178" s="88">
        <f t="shared" si="62"/>
        <v>4185.9999999999991</v>
      </c>
      <c r="AD178" s="88">
        <f t="shared" si="62"/>
        <v>7547.538461538461</v>
      </c>
      <c r="AE178" s="88">
        <f t="shared" si="62"/>
        <v>3301.3846153846148</v>
      </c>
      <c r="AF178" s="88">
        <f t="shared" si="62"/>
        <v>2653.8461538461534</v>
      </c>
      <c r="AG178" s="88">
        <f t="shared" si="62"/>
        <v>7359.9999999999991</v>
      </c>
      <c r="AH178" s="88">
        <f t="shared" si="62"/>
        <v>3563.2307692307691</v>
      </c>
      <c r="AI178" s="88">
        <f t="shared" si="62"/>
        <v>3163.3846153846152</v>
      </c>
      <c r="AJ178" s="88">
        <f t="shared" si="62"/>
        <v>4246.1538461538457</v>
      </c>
      <c r="AK178" s="88">
        <f t="shared" si="62"/>
        <v>7667.8461538461524</v>
      </c>
      <c r="AL178" s="88">
        <f t="shared" si="62"/>
        <v>4175.3846153846152</v>
      </c>
      <c r="AM178" s="88">
        <f t="shared" si="62"/>
        <v>4224.9230769230762</v>
      </c>
      <c r="AN178" s="88">
        <f t="shared" si="62"/>
        <v>1981.5384615384612</v>
      </c>
      <c r="AO178" s="88">
        <f t="shared" si="62"/>
        <v>3407.538461538461</v>
      </c>
      <c r="AP178" s="88">
        <f t="shared" si="62"/>
        <v>3492.4615384615381</v>
      </c>
      <c r="AQ178" s="88">
        <f t="shared" si="62"/>
        <v>3633.9999999999995</v>
      </c>
      <c r="AR178" s="88">
        <f t="shared" si="62"/>
        <v>2360.1538461538457</v>
      </c>
    </row>
    <row r="179" spans="1:44" s="98" customFormat="1" ht="13" hidden="1" outlineLevel="3" x14ac:dyDescent="0.35">
      <c r="A179" s="89" t="s">
        <v>96</v>
      </c>
      <c r="B179" s="90" t="s">
        <v>20</v>
      </c>
      <c r="C179" s="93">
        <f>400/117</f>
        <v>3.4188034188034186</v>
      </c>
      <c r="D179" s="92"/>
      <c r="E179" s="92">
        <v>300</v>
      </c>
      <c r="F179" s="92">
        <v>102</v>
      </c>
      <c r="G179" s="92">
        <v>150</v>
      </c>
      <c r="H179" s="92"/>
      <c r="I179" s="92">
        <v>200</v>
      </c>
      <c r="J179" s="92">
        <v>102</v>
      </c>
      <c r="K179" s="92">
        <v>330</v>
      </c>
      <c r="L179" s="92">
        <v>400</v>
      </c>
      <c r="M179" s="92">
        <v>400</v>
      </c>
      <c r="N179" s="92">
        <v>216</v>
      </c>
      <c r="O179" s="92"/>
      <c r="P179" s="92"/>
      <c r="Q179" s="92"/>
      <c r="R179" s="92">
        <v>250</v>
      </c>
      <c r="S179" s="92"/>
      <c r="T179" s="93">
        <v>1</v>
      </c>
      <c r="U179" s="93">
        <f t="shared" ref="U179:U188" si="63">AVERAGE(V179:X179)</f>
        <v>14.166666666666666</v>
      </c>
      <c r="V179" s="92">
        <v>11.8</v>
      </c>
      <c r="W179" s="92">
        <v>15</v>
      </c>
      <c r="X179" s="92">
        <v>15.7</v>
      </c>
      <c r="Y179" s="92">
        <v>157</v>
      </c>
      <c r="Z179" s="92">
        <f t="shared" si="60"/>
        <v>48.433048433048427</v>
      </c>
      <c r="AA179" s="95" t="s">
        <v>327</v>
      </c>
      <c r="AB179" s="97">
        <f t="shared" si="61"/>
        <v>91659.544159544137</v>
      </c>
      <c r="AC179" s="88">
        <f t="shared" si="62"/>
        <v>5729.6296296296287</v>
      </c>
      <c r="AD179" s="88">
        <f t="shared" si="62"/>
        <v>10330.76923076923</v>
      </c>
      <c r="AE179" s="88">
        <f t="shared" si="62"/>
        <v>4518.803418803418</v>
      </c>
      <c r="AF179" s="88">
        <f t="shared" si="62"/>
        <v>3632.4786324786319</v>
      </c>
      <c r="AG179" s="88">
        <f t="shared" si="62"/>
        <v>10074.074074074073</v>
      </c>
      <c r="AH179" s="88">
        <f t="shared" si="62"/>
        <v>4877.2079772079769</v>
      </c>
      <c r="AI179" s="88">
        <f t="shared" si="62"/>
        <v>4329.9145299145293</v>
      </c>
      <c r="AJ179" s="88">
        <f t="shared" si="62"/>
        <v>5811.9658119658116</v>
      </c>
      <c r="AK179" s="88">
        <f t="shared" si="62"/>
        <v>10495.441595441593</v>
      </c>
      <c r="AL179" s="88">
        <f t="shared" si="62"/>
        <v>5715.0997150997146</v>
      </c>
      <c r="AM179" s="88">
        <f t="shared" si="62"/>
        <v>5782.9059829059825</v>
      </c>
      <c r="AN179" s="88">
        <f t="shared" si="62"/>
        <v>2712.2507122507118</v>
      </c>
      <c r="AO179" s="88">
        <f t="shared" si="62"/>
        <v>4664.1025641025635</v>
      </c>
      <c r="AP179" s="88">
        <f t="shared" si="62"/>
        <v>4780.3418803418799</v>
      </c>
      <c r="AQ179" s="88">
        <f t="shared" si="62"/>
        <v>4974.0740740740739</v>
      </c>
      <c r="AR179" s="88">
        <f t="shared" si="62"/>
        <v>3230.4843304843303</v>
      </c>
    </row>
    <row r="180" spans="1:44" s="98" customFormat="1" ht="13" hidden="1" outlineLevel="3" x14ac:dyDescent="0.35">
      <c r="A180" s="89" t="s">
        <v>97</v>
      </c>
      <c r="B180" s="90" t="s">
        <v>20</v>
      </c>
      <c r="C180" s="93">
        <f>96/216.7</f>
        <v>0.44300876788186433</v>
      </c>
      <c r="D180" s="92">
        <v>96</v>
      </c>
      <c r="E180" s="92">
        <v>20</v>
      </c>
      <c r="F180" s="92"/>
      <c r="G180" s="92">
        <v>200</v>
      </c>
      <c r="H180" s="92"/>
      <c r="I180" s="92">
        <v>48</v>
      </c>
      <c r="J180" s="92"/>
      <c r="K180" s="92"/>
      <c r="L180" s="92">
        <v>96</v>
      </c>
      <c r="M180" s="92"/>
      <c r="N180" s="92"/>
      <c r="O180" s="92"/>
      <c r="P180" s="92"/>
      <c r="Q180" s="92"/>
      <c r="R180" s="92"/>
      <c r="S180" s="92"/>
      <c r="T180" s="93">
        <v>1</v>
      </c>
      <c r="U180" s="93">
        <f t="shared" si="63"/>
        <v>102.59333333333332</v>
      </c>
      <c r="V180" s="111">
        <v>107</v>
      </c>
      <c r="W180" s="111">
        <v>110</v>
      </c>
      <c r="X180" s="111">
        <v>90.78</v>
      </c>
      <c r="Y180" s="92">
        <f>AVERAGE(V180:X180)</f>
        <v>102.59333333333332</v>
      </c>
      <c r="Z180" s="92">
        <f t="shared" si="60"/>
        <v>45.449746192893393</v>
      </c>
      <c r="AA180" s="95" t="s">
        <v>471</v>
      </c>
      <c r="AB180" s="97">
        <f t="shared" si="61"/>
        <v>86013.644670050737</v>
      </c>
      <c r="AC180" s="88">
        <f t="shared" si="62"/>
        <v>5376.7049746192879</v>
      </c>
      <c r="AD180" s="88">
        <f t="shared" si="62"/>
        <v>9694.4308629441621</v>
      </c>
      <c r="AE180" s="88">
        <f t="shared" si="62"/>
        <v>4240.4613197969538</v>
      </c>
      <c r="AF180" s="88">
        <f t="shared" si="62"/>
        <v>3408.7309644670045</v>
      </c>
      <c r="AG180" s="88">
        <f t="shared" si="62"/>
        <v>9453.547208121825</v>
      </c>
      <c r="AH180" s="88">
        <f t="shared" si="62"/>
        <v>4576.7894416243644</v>
      </c>
      <c r="AI180" s="88">
        <f t="shared" si="62"/>
        <v>4063.2073096446697</v>
      </c>
      <c r="AJ180" s="88">
        <f t="shared" si="62"/>
        <v>5453.9695431472073</v>
      </c>
      <c r="AK180" s="88">
        <f t="shared" si="62"/>
        <v>9848.9599999999973</v>
      </c>
      <c r="AL180" s="88">
        <f t="shared" si="62"/>
        <v>5363.0700507614201</v>
      </c>
      <c r="AM180" s="88">
        <f t="shared" si="62"/>
        <v>5426.6996954314718</v>
      </c>
      <c r="AN180" s="88">
        <f t="shared" si="62"/>
        <v>2545.1857868020302</v>
      </c>
      <c r="AO180" s="88">
        <f t="shared" si="62"/>
        <v>4376.8105583756333</v>
      </c>
      <c r="AP180" s="88">
        <f t="shared" si="62"/>
        <v>4485.8899492385781</v>
      </c>
      <c r="AQ180" s="88">
        <f t="shared" si="62"/>
        <v>4667.6889340101516</v>
      </c>
      <c r="AR180" s="88">
        <f t="shared" si="62"/>
        <v>3031.4980710659893</v>
      </c>
    </row>
    <row r="181" spans="1:44" s="98" customFormat="1" ht="13" hidden="1" outlineLevel="3" x14ac:dyDescent="0.35">
      <c r="A181" s="89" t="s">
        <v>98</v>
      </c>
      <c r="B181" s="90" t="s">
        <v>95</v>
      </c>
      <c r="C181" s="93">
        <f>10/119</f>
        <v>8.4033613445378158E-2</v>
      </c>
      <c r="D181" s="92">
        <v>10</v>
      </c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3">
        <v>1</v>
      </c>
      <c r="U181" s="93">
        <f t="shared" si="63"/>
        <v>69.186666666666667</v>
      </c>
      <c r="V181" s="92">
        <v>78</v>
      </c>
      <c r="W181" s="92">
        <v>80</v>
      </c>
      <c r="X181" s="92">
        <v>49.56</v>
      </c>
      <c r="Y181" s="92">
        <v>159</v>
      </c>
      <c r="Z181" s="92">
        <f t="shared" si="60"/>
        <v>5.814005602240897</v>
      </c>
      <c r="AA181" s="95" t="s">
        <v>328</v>
      </c>
      <c r="AB181" s="97">
        <f t="shared" si="61"/>
        <v>11003.005602240897</v>
      </c>
      <c r="AC181" s="88">
        <f t="shared" si="62"/>
        <v>687.79686274509811</v>
      </c>
      <c r="AD181" s="88">
        <f t="shared" si="62"/>
        <v>1240.1273949579834</v>
      </c>
      <c r="AE181" s="88">
        <f t="shared" si="62"/>
        <v>542.44672268907573</v>
      </c>
      <c r="AF181" s="88">
        <f t="shared" si="62"/>
        <v>436.05042016806726</v>
      </c>
      <c r="AG181" s="88">
        <f t="shared" si="62"/>
        <v>1209.3131652661066</v>
      </c>
      <c r="AH181" s="88">
        <f t="shared" si="62"/>
        <v>585.47036414565832</v>
      </c>
      <c r="AI181" s="88">
        <f t="shared" si="62"/>
        <v>519.77210084033618</v>
      </c>
      <c r="AJ181" s="88">
        <f t="shared" si="62"/>
        <v>697.68067226890764</v>
      </c>
      <c r="AK181" s="88">
        <f t="shared" si="62"/>
        <v>1259.8950140056022</v>
      </c>
      <c r="AL181" s="88">
        <f t="shared" si="62"/>
        <v>686.05266106442582</v>
      </c>
      <c r="AM181" s="88">
        <f t="shared" si="62"/>
        <v>694.19226890756318</v>
      </c>
      <c r="AN181" s="88">
        <f t="shared" si="62"/>
        <v>325.58431372549023</v>
      </c>
      <c r="AO181" s="88">
        <f t="shared" si="62"/>
        <v>559.8887394957984</v>
      </c>
      <c r="AP181" s="88">
        <f t="shared" si="62"/>
        <v>573.8423529411765</v>
      </c>
      <c r="AQ181" s="88">
        <f t="shared" si="62"/>
        <v>597.09837535014015</v>
      </c>
      <c r="AR181" s="88">
        <f t="shared" si="62"/>
        <v>387.79417366946785</v>
      </c>
    </row>
    <row r="182" spans="1:44" s="98" customFormat="1" ht="13" hidden="1" outlineLevel="3" x14ac:dyDescent="0.35">
      <c r="A182" s="89" t="s">
        <v>99</v>
      </c>
      <c r="B182" s="90" t="s">
        <v>95</v>
      </c>
      <c r="C182" s="93">
        <f>7/119</f>
        <v>5.8823529411764705E-2</v>
      </c>
      <c r="D182" s="92">
        <v>7</v>
      </c>
      <c r="E182" s="92"/>
      <c r="F182" s="92"/>
      <c r="G182" s="92"/>
      <c r="H182" s="92"/>
      <c r="I182" s="92"/>
      <c r="J182" s="92"/>
      <c r="K182" s="92"/>
      <c r="L182" s="92"/>
      <c r="M182" s="92">
        <v>1</v>
      </c>
      <c r="N182" s="92"/>
      <c r="O182" s="92"/>
      <c r="P182" s="92"/>
      <c r="Q182" s="92"/>
      <c r="R182" s="92"/>
      <c r="S182" s="92"/>
      <c r="T182" s="93">
        <v>1</v>
      </c>
      <c r="U182" s="93">
        <f t="shared" si="63"/>
        <v>80.74666666666667</v>
      </c>
      <c r="V182" s="92">
        <v>91</v>
      </c>
      <c r="W182" s="92">
        <v>93</v>
      </c>
      <c r="X182" s="92">
        <v>58.24</v>
      </c>
      <c r="Y182" s="92">
        <v>160</v>
      </c>
      <c r="Z182" s="92">
        <f t="shared" si="60"/>
        <v>4.7498039215686276</v>
      </c>
      <c r="AA182" s="95" t="s">
        <v>329</v>
      </c>
      <c r="AB182" s="97">
        <f t="shared" si="61"/>
        <v>8989.0039215686284</v>
      </c>
      <c r="AC182" s="88">
        <f t="shared" si="62"/>
        <v>561.90180392156867</v>
      </c>
      <c r="AD182" s="88">
        <f t="shared" si="62"/>
        <v>1013.1331764705883</v>
      </c>
      <c r="AE182" s="88">
        <f t="shared" si="62"/>
        <v>443.15670588235292</v>
      </c>
      <c r="AF182" s="88">
        <f t="shared" si="62"/>
        <v>356.23529411764707</v>
      </c>
      <c r="AG182" s="88">
        <f t="shared" si="62"/>
        <v>987.95921568627455</v>
      </c>
      <c r="AH182" s="88">
        <f t="shared" si="62"/>
        <v>478.30525490196084</v>
      </c>
      <c r="AI182" s="88">
        <f t="shared" si="62"/>
        <v>424.63247058823532</v>
      </c>
      <c r="AJ182" s="88">
        <f t="shared" si="62"/>
        <v>569.97647058823532</v>
      </c>
      <c r="AK182" s="88">
        <f t="shared" si="62"/>
        <v>1029.2825098039216</v>
      </c>
      <c r="AL182" s="88">
        <f t="shared" si="62"/>
        <v>560.47686274509806</v>
      </c>
      <c r="AM182" s="88">
        <f t="shared" si="62"/>
        <v>567.12658823529421</v>
      </c>
      <c r="AN182" s="88">
        <f t="shared" si="62"/>
        <v>265.98901960784315</v>
      </c>
      <c r="AO182" s="88">
        <f t="shared" si="62"/>
        <v>457.40611764705881</v>
      </c>
      <c r="AP182" s="88">
        <f t="shared" si="62"/>
        <v>468.80564705882358</v>
      </c>
      <c r="AQ182" s="88">
        <f t="shared" si="62"/>
        <v>487.80486274509809</v>
      </c>
      <c r="AR182" s="88">
        <f t="shared" si="62"/>
        <v>316.8119215686275</v>
      </c>
    </row>
    <row r="183" spans="1:44" s="98" customFormat="1" ht="26" hidden="1" outlineLevel="3" x14ac:dyDescent="0.35">
      <c r="A183" s="89" t="s">
        <v>100</v>
      </c>
      <c r="B183" s="90" t="s">
        <v>95</v>
      </c>
      <c r="C183" s="93">
        <f>40/119</f>
        <v>0.33613445378151263</v>
      </c>
      <c r="D183" s="92">
        <v>40</v>
      </c>
      <c r="E183" s="92"/>
      <c r="F183" s="92">
        <v>18</v>
      </c>
      <c r="G183" s="92"/>
      <c r="H183" s="92"/>
      <c r="I183" s="92">
        <v>20</v>
      </c>
      <c r="J183" s="92">
        <v>18</v>
      </c>
      <c r="K183" s="92"/>
      <c r="L183" s="92"/>
      <c r="M183" s="92">
        <v>40</v>
      </c>
      <c r="N183" s="92"/>
      <c r="O183" s="92"/>
      <c r="P183" s="92"/>
      <c r="Q183" s="92"/>
      <c r="R183" s="92">
        <v>100</v>
      </c>
      <c r="S183" s="92"/>
      <c r="T183" s="93">
        <v>1</v>
      </c>
      <c r="U183" s="93">
        <f t="shared" si="63"/>
        <v>31.033333333333331</v>
      </c>
      <c r="V183" s="111">
        <v>45</v>
      </c>
      <c r="W183" s="111">
        <v>24.8</v>
      </c>
      <c r="X183" s="111">
        <v>23.3</v>
      </c>
      <c r="Y183" s="92">
        <v>161</v>
      </c>
      <c r="Z183" s="92">
        <f t="shared" si="60"/>
        <v>10.431372549019608</v>
      </c>
      <c r="AA183" s="95" t="s">
        <v>330</v>
      </c>
      <c r="AB183" s="97">
        <f t="shared" si="61"/>
        <v>19741.372549019605</v>
      </c>
      <c r="AC183" s="88">
        <f t="shared" si="62"/>
        <v>1234.0313725490196</v>
      </c>
      <c r="AD183" s="88">
        <f t="shared" si="62"/>
        <v>2225.0117647058823</v>
      </c>
      <c r="AE183" s="88">
        <f t="shared" si="62"/>
        <v>973.24705882352941</v>
      </c>
      <c r="AF183" s="88">
        <f t="shared" si="62"/>
        <v>782.35294117647061</v>
      </c>
      <c r="AG183" s="88">
        <f t="shared" si="62"/>
        <v>2169.7254901960787</v>
      </c>
      <c r="AH183" s="88">
        <f t="shared" si="62"/>
        <v>1050.4392156862746</v>
      </c>
      <c r="AI183" s="88">
        <f t="shared" si="62"/>
        <v>932.564705882353</v>
      </c>
      <c r="AJ183" s="88">
        <f t="shared" si="62"/>
        <v>1251.7647058823529</v>
      </c>
      <c r="AK183" s="88">
        <f t="shared" si="62"/>
        <v>2260.478431372549</v>
      </c>
      <c r="AL183" s="88">
        <f t="shared" si="62"/>
        <v>1230.9019607843138</v>
      </c>
      <c r="AM183" s="88">
        <f t="shared" si="62"/>
        <v>1245.5058823529412</v>
      </c>
      <c r="AN183" s="88">
        <f t="shared" si="62"/>
        <v>584.15686274509801</v>
      </c>
      <c r="AO183" s="88">
        <f t="shared" si="62"/>
        <v>1004.5411764705882</v>
      </c>
      <c r="AP183" s="88">
        <f t="shared" si="62"/>
        <v>1029.5764705882355</v>
      </c>
      <c r="AQ183" s="88">
        <f t="shared" si="62"/>
        <v>1071.3019607843137</v>
      </c>
      <c r="AR183" s="88">
        <f t="shared" si="62"/>
        <v>695.77254901960794</v>
      </c>
    </row>
    <row r="184" spans="1:44" s="98" customFormat="1" ht="26" hidden="1" outlineLevel="3" x14ac:dyDescent="0.35">
      <c r="A184" s="89" t="s">
        <v>101</v>
      </c>
      <c r="B184" s="90" t="s">
        <v>20</v>
      </c>
      <c r="C184" s="93">
        <v>0</v>
      </c>
      <c r="D184" s="92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>
        <v>10</v>
      </c>
      <c r="T184" s="93">
        <v>1</v>
      </c>
      <c r="U184" s="93">
        <f t="shared" si="63"/>
        <v>443.66666666666669</v>
      </c>
      <c r="V184" s="111">
        <v>459</v>
      </c>
      <c r="W184" s="111">
        <v>420</v>
      </c>
      <c r="X184" s="111">
        <v>452</v>
      </c>
      <c r="Y184" s="92">
        <v>162</v>
      </c>
      <c r="Z184" s="92">
        <f t="shared" si="60"/>
        <v>0</v>
      </c>
      <c r="AA184" s="95"/>
      <c r="AB184" s="97">
        <f t="shared" si="61"/>
        <v>0</v>
      </c>
      <c r="AC184" s="88">
        <f t="shared" si="62"/>
        <v>0</v>
      </c>
      <c r="AD184" s="88">
        <f t="shared" si="62"/>
        <v>0</v>
      </c>
      <c r="AE184" s="88">
        <f t="shared" si="62"/>
        <v>0</v>
      </c>
      <c r="AF184" s="88">
        <f t="shared" si="62"/>
        <v>0</v>
      </c>
      <c r="AG184" s="88">
        <f t="shared" si="62"/>
        <v>0</v>
      </c>
      <c r="AH184" s="88">
        <f t="shared" si="62"/>
        <v>0</v>
      </c>
      <c r="AI184" s="88">
        <f t="shared" si="62"/>
        <v>0</v>
      </c>
      <c r="AJ184" s="88">
        <f t="shared" si="62"/>
        <v>0</v>
      </c>
      <c r="AK184" s="88">
        <f t="shared" si="62"/>
        <v>0</v>
      </c>
      <c r="AL184" s="88">
        <f t="shared" si="62"/>
        <v>0</v>
      </c>
      <c r="AM184" s="88">
        <f t="shared" si="62"/>
        <v>0</v>
      </c>
      <c r="AN184" s="88">
        <f t="shared" si="62"/>
        <v>0</v>
      </c>
      <c r="AO184" s="88">
        <f t="shared" si="62"/>
        <v>0</v>
      </c>
      <c r="AP184" s="88">
        <f t="shared" si="62"/>
        <v>0</v>
      </c>
      <c r="AQ184" s="88">
        <f t="shared" si="62"/>
        <v>0</v>
      </c>
      <c r="AR184" s="88">
        <f t="shared" si="62"/>
        <v>0</v>
      </c>
    </row>
    <row r="185" spans="1:44" s="98" customFormat="1" ht="26" hidden="1" outlineLevel="3" x14ac:dyDescent="0.35">
      <c r="A185" s="89" t="s">
        <v>102</v>
      </c>
      <c r="B185" s="90" t="s">
        <v>95</v>
      </c>
      <c r="C185" s="93">
        <f>50/117</f>
        <v>0.42735042735042733</v>
      </c>
      <c r="D185" s="92">
        <v>12</v>
      </c>
      <c r="E185" s="92"/>
      <c r="F185" s="92">
        <v>6</v>
      </c>
      <c r="G185" s="92">
        <v>15</v>
      </c>
      <c r="H185" s="92"/>
      <c r="I185" s="92">
        <v>30</v>
      </c>
      <c r="J185" s="92">
        <v>6</v>
      </c>
      <c r="K185" s="92"/>
      <c r="L185" s="92">
        <v>20</v>
      </c>
      <c r="M185" s="92">
        <v>50</v>
      </c>
      <c r="N185" s="92"/>
      <c r="O185" s="92"/>
      <c r="P185" s="92"/>
      <c r="Q185" s="92"/>
      <c r="R185" s="92"/>
      <c r="S185" s="92"/>
      <c r="T185" s="93">
        <v>1</v>
      </c>
      <c r="U185" s="93">
        <f t="shared" si="63"/>
        <v>53.666666666666664</v>
      </c>
      <c r="V185" s="92">
        <v>57</v>
      </c>
      <c r="W185" s="92">
        <v>59</v>
      </c>
      <c r="X185" s="92">
        <v>45</v>
      </c>
      <c r="Y185" s="92">
        <v>163</v>
      </c>
      <c r="Z185" s="92">
        <f t="shared" si="60"/>
        <v>22.934472934472932</v>
      </c>
      <c r="AA185" s="95" t="s">
        <v>289</v>
      </c>
      <c r="AB185" s="97">
        <f t="shared" si="61"/>
        <v>43403.490028490021</v>
      </c>
      <c r="AC185" s="88">
        <f t="shared" si="62"/>
        <v>2713.1481481481478</v>
      </c>
      <c r="AD185" s="88">
        <f t="shared" si="62"/>
        <v>4891.9230769230771</v>
      </c>
      <c r="AE185" s="88">
        <f t="shared" si="62"/>
        <v>2139.7863247863247</v>
      </c>
      <c r="AF185" s="88">
        <f t="shared" si="62"/>
        <v>1720.08547008547</v>
      </c>
      <c r="AG185" s="88">
        <f t="shared" si="62"/>
        <v>4770.3703703703695</v>
      </c>
      <c r="AH185" s="88">
        <f t="shared" si="62"/>
        <v>2309.5014245014245</v>
      </c>
      <c r="AI185" s="88">
        <f t="shared" si="62"/>
        <v>2050.3418803418804</v>
      </c>
      <c r="AJ185" s="88">
        <f t="shared" si="62"/>
        <v>2752.136752136752</v>
      </c>
      <c r="AK185" s="88">
        <f t="shared" si="62"/>
        <v>4969.9002849002845</v>
      </c>
      <c r="AL185" s="88">
        <f t="shared" si="62"/>
        <v>2706.267806267806</v>
      </c>
      <c r="AM185" s="88">
        <f t="shared" si="62"/>
        <v>2738.3760683760684</v>
      </c>
      <c r="AN185" s="88">
        <f t="shared" si="62"/>
        <v>1284.3304843304843</v>
      </c>
      <c r="AO185" s="88">
        <f t="shared" si="62"/>
        <v>2208.5897435897432</v>
      </c>
      <c r="AP185" s="88">
        <f t="shared" si="62"/>
        <v>2263.6324786324785</v>
      </c>
      <c r="AQ185" s="88">
        <f t="shared" si="62"/>
        <v>2355.3703703703704</v>
      </c>
      <c r="AR185" s="88">
        <f t="shared" si="62"/>
        <v>1529.7293447293446</v>
      </c>
    </row>
    <row r="186" spans="1:44" s="98" customFormat="1" ht="26" hidden="1" outlineLevel="3" x14ac:dyDescent="0.35">
      <c r="A186" s="89" t="s">
        <v>103</v>
      </c>
      <c r="B186" s="90" t="s">
        <v>107</v>
      </c>
      <c r="C186" s="93">
        <f>1/117</f>
        <v>8.5470085470085479E-3</v>
      </c>
      <c r="D186" s="92">
        <v>50</v>
      </c>
      <c r="E186" s="92">
        <v>6</v>
      </c>
      <c r="F186" s="92">
        <v>1</v>
      </c>
      <c r="G186" s="92"/>
      <c r="H186" s="92"/>
      <c r="I186" s="92"/>
      <c r="J186" s="92">
        <v>1</v>
      </c>
      <c r="K186" s="92"/>
      <c r="L186" s="92"/>
      <c r="M186" s="92">
        <v>1</v>
      </c>
      <c r="N186" s="92">
        <v>2</v>
      </c>
      <c r="O186" s="92"/>
      <c r="P186" s="92"/>
      <c r="Q186" s="92"/>
      <c r="R186" s="92"/>
      <c r="S186" s="92"/>
      <c r="T186" s="93">
        <v>1</v>
      </c>
      <c r="U186" s="93">
        <f t="shared" si="63"/>
        <v>661</v>
      </c>
      <c r="V186" s="111">
        <v>603</v>
      </c>
      <c r="W186" s="111">
        <v>670</v>
      </c>
      <c r="X186" s="111">
        <v>710</v>
      </c>
      <c r="Y186" s="92">
        <v>164</v>
      </c>
      <c r="Z186" s="92">
        <f t="shared" si="60"/>
        <v>5.6495726495726499</v>
      </c>
      <c r="AA186" s="95" t="s">
        <v>276</v>
      </c>
      <c r="AB186" s="97">
        <f t="shared" si="61"/>
        <v>10691.81623931624</v>
      </c>
      <c r="AC186" s="88">
        <f t="shared" si="62"/>
        <v>668.34444444444443</v>
      </c>
      <c r="AD186" s="88">
        <f t="shared" si="62"/>
        <v>1205.0538461538463</v>
      </c>
      <c r="AE186" s="88">
        <f t="shared" si="62"/>
        <v>527.10512820512827</v>
      </c>
      <c r="AF186" s="88">
        <f t="shared" si="62"/>
        <v>423.71794871794873</v>
      </c>
      <c r="AG186" s="88">
        <f t="shared" si="62"/>
        <v>1175.1111111111111</v>
      </c>
      <c r="AH186" s="88">
        <f t="shared" si="62"/>
        <v>568.91196581196584</v>
      </c>
      <c r="AI186" s="88">
        <f t="shared" si="62"/>
        <v>505.07179487179496</v>
      </c>
      <c r="AJ186" s="88">
        <f t="shared" si="62"/>
        <v>677.94871794871801</v>
      </c>
      <c r="AK186" s="88">
        <f t="shared" si="62"/>
        <v>1224.2623931623932</v>
      </c>
      <c r="AL186" s="88">
        <f t="shared" si="62"/>
        <v>666.64957264957275</v>
      </c>
      <c r="AM186" s="88">
        <f t="shared" si="62"/>
        <v>674.55897435897441</v>
      </c>
      <c r="AN186" s="88">
        <f t="shared" si="62"/>
        <v>316.37606837606842</v>
      </c>
      <c r="AO186" s="88">
        <f t="shared" si="62"/>
        <v>544.05384615384617</v>
      </c>
      <c r="AP186" s="88">
        <f t="shared" si="62"/>
        <v>557.61282051282058</v>
      </c>
      <c r="AQ186" s="88">
        <f t="shared" si="62"/>
        <v>580.21111111111111</v>
      </c>
      <c r="AR186" s="88">
        <f t="shared" si="62"/>
        <v>376.82649572649575</v>
      </c>
    </row>
    <row r="187" spans="1:44" s="98" customFormat="1" ht="26" hidden="1" outlineLevel="3" x14ac:dyDescent="0.35">
      <c r="A187" s="89" t="s">
        <v>104</v>
      </c>
      <c r="B187" s="90" t="s">
        <v>95</v>
      </c>
      <c r="C187" s="93">
        <f>100/117</f>
        <v>0.85470085470085466</v>
      </c>
      <c r="D187" s="92"/>
      <c r="E187" s="92">
        <v>65</v>
      </c>
      <c r="F187" s="92"/>
      <c r="G187" s="92">
        <f>150+250</f>
        <v>400</v>
      </c>
      <c r="H187" s="92"/>
      <c r="I187" s="92"/>
      <c r="J187" s="92"/>
      <c r="K187" s="92"/>
      <c r="L187" s="92"/>
      <c r="M187" s="92">
        <v>100</v>
      </c>
      <c r="N187" s="92">
        <v>250</v>
      </c>
      <c r="O187" s="92">
        <v>50</v>
      </c>
      <c r="P187" s="92"/>
      <c r="Q187" s="92">
        <v>100</v>
      </c>
      <c r="R187" s="92"/>
      <c r="S187" s="92">
        <v>10</v>
      </c>
      <c r="T187" s="93">
        <v>1</v>
      </c>
      <c r="U187" s="93">
        <f t="shared" si="63"/>
        <v>491</v>
      </c>
      <c r="V187" s="92">
        <v>425</v>
      </c>
      <c r="W187" s="92">
        <v>520</v>
      </c>
      <c r="X187" s="92">
        <v>528</v>
      </c>
      <c r="Y187" s="92">
        <v>165</v>
      </c>
      <c r="Z187" s="92">
        <f t="shared" si="60"/>
        <v>419.65811965811963</v>
      </c>
      <c r="AA187" s="95" t="s">
        <v>290</v>
      </c>
      <c r="AB187" s="97">
        <f t="shared" si="61"/>
        <v>794202.99145299138</v>
      </c>
      <c r="AC187" s="88">
        <f t="shared" si="62"/>
        <v>49645.555555555555</v>
      </c>
      <c r="AD187" s="88">
        <f t="shared" si="62"/>
        <v>89513.076923076922</v>
      </c>
      <c r="AE187" s="88">
        <f t="shared" si="62"/>
        <v>39154.102564102563</v>
      </c>
      <c r="AF187" s="88">
        <f t="shared" si="62"/>
        <v>31474.358974358973</v>
      </c>
      <c r="AG187" s="88">
        <f t="shared" si="62"/>
        <v>87288.888888888876</v>
      </c>
      <c r="AH187" s="88">
        <f t="shared" si="62"/>
        <v>42259.572649572649</v>
      </c>
      <c r="AI187" s="88">
        <f t="shared" si="62"/>
        <v>37517.435897435898</v>
      </c>
      <c r="AJ187" s="88">
        <f t="shared" si="62"/>
        <v>50358.974358974359</v>
      </c>
      <c r="AK187" s="88">
        <f t="shared" si="62"/>
        <v>90939.914529914517</v>
      </c>
      <c r="AL187" s="88">
        <f t="shared" si="62"/>
        <v>49519.658119658117</v>
      </c>
      <c r="AM187" s="88">
        <f t="shared" si="62"/>
        <v>50107.179487179485</v>
      </c>
      <c r="AN187" s="88">
        <f t="shared" si="62"/>
        <v>23500.854700854699</v>
      </c>
      <c r="AO187" s="88">
        <f t="shared" si="62"/>
        <v>40413.076923076922</v>
      </c>
      <c r="AP187" s="88">
        <f t="shared" si="62"/>
        <v>41420.256410256407</v>
      </c>
      <c r="AQ187" s="88">
        <f t="shared" si="62"/>
        <v>43098.888888888891</v>
      </c>
      <c r="AR187" s="88">
        <f t="shared" si="62"/>
        <v>27991.196581196582</v>
      </c>
    </row>
    <row r="188" spans="1:44" s="98" customFormat="1" ht="26" hidden="1" outlineLevel="3" x14ac:dyDescent="0.35">
      <c r="A188" s="89" t="s">
        <v>105</v>
      </c>
      <c r="B188" s="90" t="s">
        <v>20</v>
      </c>
      <c r="C188" s="93">
        <f>20/117</f>
        <v>0.17094017094017094</v>
      </c>
      <c r="D188" s="92"/>
      <c r="E188" s="92">
        <v>24</v>
      </c>
      <c r="F188" s="92"/>
      <c r="G188" s="92"/>
      <c r="H188" s="92"/>
      <c r="I188" s="92">
        <v>5</v>
      </c>
      <c r="J188" s="92"/>
      <c r="K188" s="92"/>
      <c r="L188" s="92"/>
      <c r="M188" s="92">
        <v>20</v>
      </c>
      <c r="N188" s="92"/>
      <c r="O188" s="92"/>
      <c r="P188" s="92"/>
      <c r="Q188" s="92"/>
      <c r="R188" s="92"/>
      <c r="S188" s="92"/>
      <c r="T188" s="93">
        <v>1</v>
      </c>
      <c r="U188" s="93">
        <f t="shared" si="63"/>
        <v>22.333333333333332</v>
      </c>
      <c r="V188" s="107">
        <v>25.6</v>
      </c>
      <c r="W188" s="107">
        <v>24.8</v>
      </c>
      <c r="X188" s="107">
        <v>16.600000000000001</v>
      </c>
      <c r="Y188" s="92">
        <v>166</v>
      </c>
      <c r="Z188" s="92">
        <f t="shared" si="60"/>
        <v>3.8176638176638176</v>
      </c>
      <c r="AA188" s="95" t="s">
        <v>293</v>
      </c>
      <c r="AB188" s="97">
        <f t="shared" si="61"/>
        <v>7224.9287749287751</v>
      </c>
      <c r="AC188" s="88">
        <f t="shared" si="62"/>
        <v>451.62962962962962</v>
      </c>
      <c r="AD188" s="88">
        <f t="shared" si="62"/>
        <v>814.30769230769238</v>
      </c>
      <c r="AE188" s="88">
        <f t="shared" si="62"/>
        <v>356.18803418803418</v>
      </c>
      <c r="AF188" s="88">
        <f t="shared" si="62"/>
        <v>286.32478632478632</v>
      </c>
      <c r="AG188" s="88">
        <f t="shared" si="62"/>
        <v>794.07407407407402</v>
      </c>
      <c r="AH188" s="88">
        <f t="shared" si="62"/>
        <v>384.43874643874642</v>
      </c>
      <c r="AI188" s="88">
        <f t="shared" si="62"/>
        <v>341.29914529914532</v>
      </c>
      <c r="AJ188" s="88">
        <f t="shared" si="62"/>
        <v>458.11965811965808</v>
      </c>
      <c r="AK188" s="88">
        <f t="shared" si="62"/>
        <v>827.28774928774919</v>
      </c>
      <c r="AL188" s="88">
        <f t="shared" si="62"/>
        <v>450.48433048433048</v>
      </c>
      <c r="AM188" s="88">
        <f t="shared" si="62"/>
        <v>455.82905982905982</v>
      </c>
      <c r="AN188" s="88">
        <f t="shared" si="62"/>
        <v>213.78917378917379</v>
      </c>
      <c r="AO188" s="88">
        <f t="shared" si="62"/>
        <v>367.64102564102564</v>
      </c>
      <c r="AP188" s="88">
        <f t="shared" si="62"/>
        <v>376.80341880341882</v>
      </c>
      <c r="AQ188" s="88">
        <f t="shared" si="62"/>
        <v>392.07407407407408</v>
      </c>
      <c r="AR188" s="88">
        <f t="shared" si="62"/>
        <v>254.63817663817665</v>
      </c>
    </row>
    <row r="189" spans="1:44" s="103" customFormat="1" ht="26" outlineLevel="2" collapsed="1" x14ac:dyDescent="0.35">
      <c r="A189" s="101" t="s">
        <v>332</v>
      </c>
      <c r="B189" s="102" t="s">
        <v>3</v>
      </c>
      <c r="C189" s="102" t="s">
        <v>3</v>
      </c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102" t="s">
        <v>3</v>
      </c>
      <c r="U189" s="102" t="s">
        <v>3</v>
      </c>
      <c r="V189" s="102" t="s">
        <v>3</v>
      </c>
      <c r="W189" s="102" t="s">
        <v>3</v>
      </c>
      <c r="X189" s="102" t="s">
        <v>3</v>
      </c>
      <c r="Y189" s="102" t="s">
        <v>3</v>
      </c>
      <c r="Z189" s="102" t="s">
        <v>3</v>
      </c>
      <c r="AA189" s="102" t="s">
        <v>3</v>
      </c>
      <c r="AB189" s="92">
        <f>SUM(AB190:AB192)</f>
        <v>124471.26464070909</v>
      </c>
      <c r="AC189" s="92">
        <f t="shared" ref="AC189:AR189" si="64">SUM(AC190:AC192)</f>
        <v>7780.6872427983544</v>
      </c>
      <c r="AD189" s="92">
        <f t="shared" si="64"/>
        <v>14028.914529914531</v>
      </c>
      <c r="AE189" s="92">
        <f t="shared" si="64"/>
        <v>6136.4169040835704</v>
      </c>
      <c r="AF189" s="92">
        <f t="shared" si="64"/>
        <v>4932.8110161443492</v>
      </c>
      <c r="AG189" s="92">
        <f t="shared" si="64"/>
        <v>13680.329218106996</v>
      </c>
      <c r="AH189" s="92">
        <f t="shared" si="64"/>
        <v>6623.1209243431467</v>
      </c>
      <c r="AI189" s="92">
        <f t="shared" si="64"/>
        <v>5879.9107312440647</v>
      </c>
      <c r="AJ189" s="92">
        <f t="shared" si="64"/>
        <v>7892.4976258309589</v>
      </c>
      <c r="AK189" s="92">
        <f t="shared" si="64"/>
        <v>14252.53529597974</v>
      </c>
      <c r="AL189" s="92">
        <f t="shared" si="64"/>
        <v>7760.9559987337761</v>
      </c>
      <c r="AM189" s="92">
        <f t="shared" si="64"/>
        <v>7853.0351377018051</v>
      </c>
      <c r="AN189" s="92">
        <f t="shared" si="64"/>
        <v>3683.1655587211139</v>
      </c>
      <c r="AO189" s="92">
        <f t="shared" si="64"/>
        <v>6333.7293447293441</v>
      </c>
      <c r="AP189" s="92">
        <f t="shared" si="64"/>
        <v>6491.579297245964</v>
      </c>
      <c r="AQ189" s="92">
        <f t="shared" si="64"/>
        <v>6754.6625514403295</v>
      </c>
      <c r="AR189" s="92">
        <f t="shared" si="64"/>
        <v>4386.9132636910417</v>
      </c>
    </row>
    <row r="190" spans="1:44" s="98" customFormat="1" ht="13" hidden="1" outlineLevel="3" x14ac:dyDescent="0.35">
      <c r="A190" s="89" t="s">
        <v>108</v>
      </c>
      <c r="B190" s="90" t="s">
        <v>20</v>
      </c>
      <c r="C190" s="93">
        <f>60/81</f>
        <v>0.7407407407407407</v>
      </c>
      <c r="D190" s="92"/>
      <c r="E190" s="92"/>
      <c r="F190" s="92"/>
      <c r="G190" s="92">
        <v>60</v>
      </c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3">
        <v>1</v>
      </c>
      <c r="U190" s="93">
        <f>AVERAGE(V190:X190)</f>
        <v>33.333333333333336</v>
      </c>
      <c r="V190" s="107">
        <v>32</v>
      </c>
      <c r="W190" s="107">
        <v>38</v>
      </c>
      <c r="X190" s="107">
        <v>30</v>
      </c>
      <c r="Y190" s="92">
        <v>167</v>
      </c>
      <c r="Z190" s="92">
        <f t="shared" ref="Z190:Z196" si="65">C190/$T190*$U190</f>
        <v>24.691358024691358</v>
      </c>
      <c r="AA190" s="95" t="s">
        <v>335</v>
      </c>
      <c r="AB190" s="97">
        <f>SUM(AC190:AR190)</f>
        <v>46728.395061728399</v>
      </c>
      <c r="AC190" s="88">
        <f t="shared" ref="AC190:AR192" si="66">$Z190*AC$2</f>
        <v>2920.9876543209875</v>
      </c>
      <c r="AD190" s="88">
        <f t="shared" si="66"/>
        <v>5266.666666666667</v>
      </c>
      <c r="AE190" s="88">
        <f t="shared" si="66"/>
        <v>2303.7037037037035</v>
      </c>
      <c r="AF190" s="88">
        <f t="shared" si="66"/>
        <v>1851.8518518518517</v>
      </c>
      <c r="AG190" s="88">
        <f t="shared" si="66"/>
        <v>5135.8024691358023</v>
      </c>
      <c r="AH190" s="88">
        <f t="shared" si="66"/>
        <v>2486.4197530864199</v>
      </c>
      <c r="AI190" s="88">
        <f t="shared" si="66"/>
        <v>2207.4074074074074</v>
      </c>
      <c r="AJ190" s="88">
        <f t="shared" si="66"/>
        <v>2962.962962962963</v>
      </c>
      <c r="AK190" s="88">
        <f t="shared" si="66"/>
        <v>5350.6172839506171</v>
      </c>
      <c r="AL190" s="88">
        <f t="shared" si="66"/>
        <v>2913.5802469135801</v>
      </c>
      <c r="AM190" s="88">
        <f t="shared" si="66"/>
        <v>2948.1481481481483</v>
      </c>
      <c r="AN190" s="88">
        <f t="shared" si="66"/>
        <v>1382.7160493827159</v>
      </c>
      <c r="AO190" s="88">
        <f t="shared" si="66"/>
        <v>2377.7777777777778</v>
      </c>
      <c r="AP190" s="88">
        <f t="shared" si="66"/>
        <v>2437.037037037037</v>
      </c>
      <c r="AQ190" s="88">
        <f t="shared" si="66"/>
        <v>2535.8024691358023</v>
      </c>
      <c r="AR190" s="88">
        <f t="shared" si="66"/>
        <v>1646.9135802469136</v>
      </c>
    </row>
    <row r="191" spans="1:44" s="98" customFormat="1" ht="13" hidden="1" outlineLevel="3" x14ac:dyDescent="0.35">
      <c r="A191" s="89" t="s">
        <v>109</v>
      </c>
      <c r="B191" s="90" t="s">
        <v>20</v>
      </c>
      <c r="C191" s="93">
        <f>50/81</f>
        <v>0.61728395061728392</v>
      </c>
      <c r="D191" s="92"/>
      <c r="E191" s="92"/>
      <c r="F191" s="92"/>
      <c r="G191" s="92">
        <v>50</v>
      </c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3">
        <v>1</v>
      </c>
      <c r="U191" s="93">
        <f>AVERAGE(V191:X191)</f>
        <v>61.333333333333336</v>
      </c>
      <c r="V191" s="107">
        <v>60</v>
      </c>
      <c r="W191" s="107">
        <v>66</v>
      </c>
      <c r="X191" s="107">
        <v>58</v>
      </c>
      <c r="Y191" s="92">
        <v>168</v>
      </c>
      <c r="Z191" s="92">
        <f t="shared" si="65"/>
        <v>37.860082304526749</v>
      </c>
      <c r="AA191" s="95" t="s">
        <v>334</v>
      </c>
      <c r="AB191" s="97">
        <f>SUM(AC191:AR191)</f>
        <v>71650.205761316873</v>
      </c>
      <c r="AC191" s="88">
        <f t="shared" si="66"/>
        <v>4478.8477366255147</v>
      </c>
      <c r="AD191" s="88">
        <f t="shared" si="66"/>
        <v>8075.5555555555557</v>
      </c>
      <c r="AE191" s="88">
        <f t="shared" si="66"/>
        <v>3532.3456790123455</v>
      </c>
      <c r="AF191" s="88">
        <f t="shared" si="66"/>
        <v>2839.5061728395062</v>
      </c>
      <c r="AG191" s="88">
        <f t="shared" si="66"/>
        <v>7874.8971193415637</v>
      </c>
      <c r="AH191" s="88">
        <f t="shared" si="66"/>
        <v>3812.5102880658437</v>
      </c>
      <c r="AI191" s="88">
        <f t="shared" si="66"/>
        <v>3384.6913580246915</v>
      </c>
      <c r="AJ191" s="88">
        <f t="shared" si="66"/>
        <v>4543.2098765432102</v>
      </c>
      <c r="AK191" s="88">
        <f t="shared" si="66"/>
        <v>8204.2798353909457</v>
      </c>
      <c r="AL191" s="88">
        <f t="shared" si="66"/>
        <v>4467.4897119341567</v>
      </c>
      <c r="AM191" s="88">
        <f t="shared" si="66"/>
        <v>4520.4938271604942</v>
      </c>
      <c r="AN191" s="88">
        <f t="shared" si="66"/>
        <v>2120.1646090534978</v>
      </c>
      <c r="AO191" s="88">
        <f t="shared" si="66"/>
        <v>3645.9259259259256</v>
      </c>
      <c r="AP191" s="88">
        <f t="shared" si="66"/>
        <v>3736.7901234567903</v>
      </c>
      <c r="AQ191" s="88">
        <f t="shared" si="66"/>
        <v>3888.2304526748972</v>
      </c>
      <c r="AR191" s="88">
        <f t="shared" si="66"/>
        <v>2525.2674897119341</v>
      </c>
    </row>
    <row r="192" spans="1:44" s="98" customFormat="1" ht="13" hidden="1" outlineLevel="3" x14ac:dyDescent="0.35">
      <c r="A192" s="89" t="s">
        <v>110</v>
      </c>
      <c r="B192" s="90" t="s">
        <v>111</v>
      </c>
      <c r="C192" s="93">
        <f>20/117</f>
        <v>0.17094017094017094</v>
      </c>
      <c r="D192" s="92"/>
      <c r="E192" s="92"/>
      <c r="F192" s="92"/>
      <c r="G192" s="92"/>
      <c r="H192" s="92"/>
      <c r="I192" s="92">
        <v>10</v>
      </c>
      <c r="J192" s="92"/>
      <c r="K192" s="92"/>
      <c r="L192" s="92">
        <v>10</v>
      </c>
      <c r="M192" s="92">
        <v>20</v>
      </c>
      <c r="N192" s="92">
        <v>100</v>
      </c>
      <c r="O192" s="92"/>
      <c r="P192" s="92"/>
      <c r="Q192" s="92"/>
      <c r="R192" s="92"/>
      <c r="S192" s="92"/>
      <c r="T192" s="93">
        <v>1</v>
      </c>
      <c r="U192" s="93">
        <f>AVERAGE(V192:X192)</f>
        <v>18.833333333333332</v>
      </c>
      <c r="V192" s="92">
        <v>16</v>
      </c>
      <c r="W192" s="92">
        <v>22.5</v>
      </c>
      <c r="X192" s="92">
        <v>18</v>
      </c>
      <c r="Y192" s="92">
        <v>169</v>
      </c>
      <c r="Z192" s="92">
        <f t="shared" si="65"/>
        <v>3.2193732193732192</v>
      </c>
      <c r="AA192" s="95" t="s">
        <v>293</v>
      </c>
      <c r="AB192" s="97">
        <f>SUM(AC192:AR192)</f>
        <v>6092.6638176638171</v>
      </c>
      <c r="AC192" s="88">
        <f t="shared" si="66"/>
        <v>380.85185185185185</v>
      </c>
      <c r="AD192" s="88">
        <f t="shared" si="66"/>
        <v>686.69230769230774</v>
      </c>
      <c r="AE192" s="88">
        <f t="shared" si="66"/>
        <v>300.36752136752136</v>
      </c>
      <c r="AF192" s="88">
        <f t="shared" si="66"/>
        <v>241.45299145299143</v>
      </c>
      <c r="AG192" s="88">
        <f t="shared" si="66"/>
        <v>669.62962962962956</v>
      </c>
      <c r="AH192" s="88">
        <f t="shared" si="66"/>
        <v>324.1908831908832</v>
      </c>
      <c r="AI192" s="88">
        <f t="shared" si="66"/>
        <v>287.81196581196582</v>
      </c>
      <c r="AJ192" s="88">
        <f t="shared" si="66"/>
        <v>386.32478632478632</v>
      </c>
      <c r="AK192" s="88">
        <f t="shared" si="66"/>
        <v>697.63817663817656</v>
      </c>
      <c r="AL192" s="88">
        <f t="shared" si="66"/>
        <v>379.88603988603984</v>
      </c>
      <c r="AM192" s="88">
        <f t="shared" si="66"/>
        <v>384.39316239316241</v>
      </c>
      <c r="AN192" s="88">
        <f t="shared" si="66"/>
        <v>180.28490028490029</v>
      </c>
      <c r="AO192" s="88">
        <f t="shared" si="66"/>
        <v>310.02564102564099</v>
      </c>
      <c r="AP192" s="88">
        <f t="shared" si="66"/>
        <v>317.75213675213672</v>
      </c>
      <c r="AQ192" s="88">
        <f t="shared" si="66"/>
        <v>330.62962962962962</v>
      </c>
      <c r="AR192" s="88">
        <f t="shared" si="66"/>
        <v>214.73219373219374</v>
      </c>
    </row>
    <row r="193" spans="1:46" s="103" customFormat="1" ht="26" outlineLevel="2" collapsed="1" x14ac:dyDescent="0.35">
      <c r="A193" s="101" t="s">
        <v>333</v>
      </c>
      <c r="B193" s="102" t="s">
        <v>3</v>
      </c>
      <c r="C193" s="102" t="s">
        <v>3</v>
      </c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102" t="s">
        <v>3</v>
      </c>
      <c r="U193" s="102" t="s">
        <v>3</v>
      </c>
      <c r="V193" s="102" t="s">
        <v>3</v>
      </c>
      <c r="W193" s="102" t="s">
        <v>3</v>
      </c>
      <c r="X193" s="102" t="s">
        <v>3</v>
      </c>
      <c r="Y193" s="102" t="s">
        <v>3</v>
      </c>
      <c r="Z193" s="102" t="s">
        <v>3</v>
      </c>
      <c r="AA193" s="102" t="s">
        <v>3</v>
      </c>
      <c r="AB193" s="92">
        <f>SUM(AB194:AB196)</f>
        <v>142439.08091062916</v>
      </c>
      <c r="AC193" s="92">
        <f t="shared" ref="AC193:AR193" si="67">SUM(AC194:AC196)</f>
        <v>8903.8537763421009</v>
      </c>
      <c r="AD193" s="92">
        <f t="shared" si="67"/>
        <v>16054.032210429166</v>
      </c>
      <c r="AE193" s="92">
        <f t="shared" si="67"/>
        <v>7022.2278726349796</v>
      </c>
      <c r="AF193" s="92">
        <f t="shared" si="67"/>
        <v>5644.8777111213658</v>
      </c>
      <c r="AG193" s="92">
        <f t="shared" si="67"/>
        <v>15655.127518843256</v>
      </c>
      <c r="AH193" s="92">
        <f t="shared" si="67"/>
        <v>7579.1891401322882</v>
      </c>
      <c r="AI193" s="92">
        <f t="shared" si="67"/>
        <v>6728.6942316566692</v>
      </c>
      <c r="AJ193" s="92">
        <f t="shared" si="67"/>
        <v>9031.8043377941867</v>
      </c>
      <c r="AK193" s="92">
        <f t="shared" si="67"/>
        <v>16309.933333333334</v>
      </c>
      <c r="AL193" s="92">
        <f t="shared" si="67"/>
        <v>8881.2742654976173</v>
      </c>
      <c r="AM193" s="92">
        <f t="shared" si="67"/>
        <v>8986.6453161052159</v>
      </c>
      <c r="AN193" s="92">
        <f t="shared" si="67"/>
        <v>4214.8420243039527</v>
      </c>
      <c r="AO193" s="92">
        <f t="shared" si="67"/>
        <v>7248.0229810798337</v>
      </c>
      <c r="AP193" s="92">
        <f t="shared" si="67"/>
        <v>7428.6590678357179</v>
      </c>
      <c r="AQ193" s="92">
        <f t="shared" si="67"/>
        <v>7729.7192124288576</v>
      </c>
      <c r="AR193" s="92">
        <f t="shared" si="67"/>
        <v>5020.1779110906027</v>
      </c>
    </row>
    <row r="194" spans="1:46" s="106" customFormat="1" ht="14" hidden="1" outlineLevel="3" x14ac:dyDescent="0.35">
      <c r="A194" s="89" t="s">
        <v>116</v>
      </c>
      <c r="B194" s="90" t="s">
        <v>20</v>
      </c>
      <c r="C194" s="93">
        <f>1/216.7</f>
        <v>4.6146746654360873E-3</v>
      </c>
      <c r="D194" s="92"/>
      <c r="E194" s="92"/>
      <c r="F194" s="92">
        <v>1</v>
      </c>
      <c r="G194" s="92"/>
      <c r="H194" s="92"/>
      <c r="I194" s="92"/>
      <c r="J194" s="92">
        <v>1</v>
      </c>
      <c r="K194" s="92"/>
      <c r="L194" s="92"/>
      <c r="M194" s="92"/>
      <c r="N194" s="92"/>
      <c r="O194" s="92"/>
      <c r="P194" s="92"/>
      <c r="Q194" s="92"/>
      <c r="R194" s="92"/>
      <c r="S194" s="92"/>
      <c r="T194" s="93">
        <v>5</v>
      </c>
      <c r="U194" s="93">
        <f>AVERAGE(V194:X194)</f>
        <v>17490</v>
      </c>
      <c r="V194" s="107">
        <v>16990</v>
      </c>
      <c r="W194" s="107">
        <v>17990</v>
      </c>
      <c r="X194" s="107"/>
      <c r="Y194" s="92">
        <f>AVERAGE(V194:X194)</f>
        <v>17490</v>
      </c>
      <c r="Z194" s="92">
        <f>C194/$T194*$U194</f>
        <v>16.142131979695431</v>
      </c>
      <c r="AA194" s="95" t="s">
        <v>306</v>
      </c>
      <c r="AB194" s="97">
        <f>SUM(AC194:AR194)</f>
        <v>30548.9847715736</v>
      </c>
      <c r="AC194" s="88">
        <f t="shared" ref="AC194:AR196" si="68">$Z194*AC$2</f>
        <v>1909.6142131979695</v>
      </c>
      <c r="AD194" s="88">
        <f t="shared" si="68"/>
        <v>3443.1167512690358</v>
      </c>
      <c r="AE194" s="88">
        <f t="shared" si="68"/>
        <v>1506.0609137055837</v>
      </c>
      <c r="AF194" s="88">
        <f t="shared" si="68"/>
        <v>1210.6598984771574</v>
      </c>
      <c r="AG194" s="88">
        <f t="shared" si="68"/>
        <v>3357.5634517766498</v>
      </c>
      <c r="AH194" s="88">
        <f t="shared" si="68"/>
        <v>1625.5126903553301</v>
      </c>
      <c r="AI194" s="88">
        <f t="shared" si="68"/>
        <v>1443.1065989847716</v>
      </c>
      <c r="AJ194" s="88">
        <f t="shared" si="68"/>
        <v>1937.0558375634519</v>
      </c>
      <c r="AK194" s="88">
        <f t="shared" si="68"/>
        <v>3498</v>
      </c>
      <c r="AL194" s="88">
        <f t="shared" si="68"/>
        <v>1904.7715736040609</v>
      </c>
      <c r="AM194" s="88">
        <f t="shared" si="68"/>
        <v>1927.3705583756346</v>
      </c>
      <c r="AN194" s="88">
        <f t="shared" si="68"/>
        <v>903.95939086294413</v>
      </c>
      <c r="AO194" s="88">
        <f t="shared" si="68"/>
        <v>1554.4873096446699</v>
      </c>
      <c r="AP194" s="88">
        <f t="shared" si="68"/>
        <v>1593.2284263959391</v>
      </c>
      <c r="AQ194" s="88">
        <f t="shared" si="68"/>
        <v>1657.7969543147208</v>
      </c>
      <c r="AR194" s="88">
        <f t="shared" si="68"/>
        <v>1076.6802030456854</v>
      </c>
    </row>
    <row r="195" spans="1:46" s="106" customFormat="1" ht="14" hidden="1" outlineLevel="3" x14ac:dyDescent="0.35">
      <c r="A195" s="89" t="s">
        <v>117</v>
      </c>
      <c r="B195" s="90" t="s">
        <v>20</v>
      </c>
      <c r="C195" s="93">
        <f>1/216.7</f>
        <v>4.6146746654360873E-3</v>
      </c>
      <c r="D195" s="92">
        <v>2</v>
      </c>
      <c r="E195" s="92"/>
      <c r="F195" s="92">
        <v>1</v>
      </c>
      <c r="G195" s="92"/>
      <c r="H195" s="92"/>
      <c r="I195" s="92"/>
      <c r="J195" s="92"/>
      <c r="K195" s="92"/>
      <c r="L195" s="92"/>
      <c r="M195" s="92"/>
      <c r="N195" s="92"/>
      <c r="O195" s="92"/>
      <c r="P195" s="92"/>
      <c r="Q195" s="92"/>
      <c r="R195" s="92"/>
      <c r="S195" s="92"/>
      <c r="T195" s="93">
        <v>5</v>
      </c>
      <c r="U195" s="93">
        <f>AVERAGE(V195:X195)</f>
        <v>26273</v>
      </c>
      <c r="V195" s="92">
        <v>24830</v>
      </c>
      <c r="W195" s="92">
        <v>26990</v>
      </c>
      <c r="X195" s="92">
        <v>26999</v>
      </c>
      <c r="Y195" s="92">
        <v>171</v>
      </c>
      <c r="Z195" s="92">
        <f t="shared" si="65"/>
        <v>24.248269497000464</v>
      </c>
      <c r="AA195" s="95" t="s">
        <v>306</v>
      </c>
      <c r="AB195" s="97">
        <f>SUM(AC195:AR195)</f>
        <v>45889.850023073384</v>
      </c>
      <c r="AC195" s="88">
        <f t="shared" si="68"/>
        <v>2868.5702814951551</v>
      </c>
      <c r="AD195" s="88">
        <f t="shared" si="68"/>
        <v>5172.1558837101993</v>
      </c>
      <c r="AE195" s="88">
        <f t="shared" si="68"/>
        <v>2262.3635440701432</v>
      </c>
      <c r="AF195" s="88">
        <f t="shared" si="68"/>
        <v>1818.6202122750349</v>
      </c>
      <c r="AG195" s="88">
        <f t="shared" si="68"/>
        <v>5043.6400553760968</v>
      </c>
      <c r="AH195" s="88">
        <f t="shared" si="68"/>
        <v>2441.8007383479467</v>
      </c>
      <c r="AI195" s="88">
        <f t="shared" si="68"/>
        <v>2167.7952930318415</v>
      </c>
      <c r="AJ195" s="88">
        <f t="shared" si="68"/>
        <v>2909.7923396400556</v>
      </c>
      <c r="AK195" s="88">
        <f t="shared" si="68"/>
        <v>5254.6</v>
      </c>
      <c r="AL195" s="88">
        <f t="shared" si="68"/>
        <v>2861.2958006460549</v>
      </c>
      <c r="AM195" s="88">
        <f t="shared" si="68"/>
        <v>2895.2433779418557</v>
      </c>
      <c r="AN195" s="88">
        <f t="shared" si="68"/>
        <v>1357.9030918320259</v>
      </c>
      <c r="AO195" s="88">
        <f t="shared" si="68"/>
        <v>2335.1083525611448</v>
      </c>
      <c r="AP195" s="88">
        <f t="shared" si="68"/>
        <v>2393.3041993539459</v>
      </c>
      <c r="AQ195" s="88">
        <f t="shared" si="68"/>
        <v>2490.2972773419478</v>
      </c>
      <c r="AR195" s="88">
        <f t="shared" si="68"/>
        <v>1617.3595754499311</v>
      </c>
    </row>
    <row r="196" spans="1:46" s="106" customFormat="1" ht="14" hidden="1" outlineLevel="3" x14ac:dyDescent="0.35">
      <c r="A196" s="89" t="s">
        <v>118</v>
      </c>
      <c r="B196" s="90" t="s">
        <v>20</v>
      </c>
      <c r="C196" s="93">
        <f>1/216.7</f>
        <v>4.6146746654360873E-3</v>
      </c>
      <c r="D196" s="92"/>
      <c r="E196" s="92"/>
      <c r="F196" s="92"/>
      <c r="G196" s="92"/>
      <c r="H196" s="92"/>
      <c r="I196" s="92"/>
      <c r="J196" s="92"/>
      <c r="K196" s="92">
        <v>1</v>
      </c>
      <c r="L196" s="92"/>
      <c r="M196" s="92"/>
      <c r="N196" s="92">
        <v>1</v>
      </c>
      <c r="O196" s="92"/>
      <c r="P196" s="92"/>
      <c r="Q196" s="92"/>
      <c r="R196" s="92"/>
      <c r="S196" s="92"/>
      <c r="T196" s="93">
        <v>5</v>
      </c>
      <c r="U196" s="93">
        <f>AVERAGE(V196:X196)</f>
        <v>37786.666666666664</v>
      </c>
      <c r="V196" s="92">
        <v>38290</v>
      </c>
      <c r="W196" s="92">
        <v>34990</v>
      </c>
      <c r="X196" s="92">
        <v>40080</v>
      </c>
      <c r="Y196" s="92">
        <v>172</v>
      </c>
      <c r="Z196" s="92">
        <f t="shared" si="65"/>
        <v>34.874634671588986</v>
      </c>
      <c r="AA196" s="95" t="s">
        <v>336</v>
      </c>
      <c r="AB196" s="97">
        <f>SUM(AC196:AR196)</f>
        <v>66000.246115982169</v>
      </c>
      <c r="AC196" s="88">
        <f t="shared" si="68"/>
        <v>4125.6692816489767</v>
      </c>
      <c r="AD196" s="88">
        <f t="shared" si="68"/>
        <v>7438.7595754499307</v>
      </c>
      <c r="AE196" s="88">
        <f t="shared" si="68"/>
        <v>3253.8034148592524</v>
      </c>
      <c r="AF196" s="88">
        <f t="shared" si="68"/>
        <v>2615.597600369174</v>
      </c>
      <c r="AG196" s="88">
        <f t="shared" si="68"/>
        <v>7253.9240116905094</v>
      </c>
      <c r="AH196" s="88">
        <f t="shared" si="68"/>
        <v>3511.8757114290111</v>
      </c>
      <c r="AI196" s="88">
        <f t="shared" si="68"/>
        <v>3117.7923396400556</v>
      </c>
      <c r="AJ196" s="88">
        <f t="shared" si="68"/>
        <v>4184.9561605906783</v>
      </c>
      <c r="AK196" s="88">
        <f t="shared" si="68"/>
        <v>7557.333333333333</v>
      </c>
      <c r="AL196" s="88">
        <f t="shared" si="68"/>
        <v>4115.2068912475006</v>
      </c>
      <c r="AM196" s="88">
        <f t="shared" si="68"/>
        <v>4164.0313797877252</v>
      </c>
      <c r="AN196" s="88">
        <f t="shared" si="68"/>
        <v>1952.9795416089833</v>
      </c>
      <c r="AO196" s="88">
        <f t="shared" si="68"/>
        <v>3358.4273188740194</v>
      </c>
      <c r="AP196" s="88">
        <f t="shared" si="68"/>
        <v>3442.1264420858329</v>
      </c>
      <c r="AQ196" s="88">
        <f t="shared" si="68"/>
        <v>3581.6249807721888</v>
      </c>
      <c r="AR196" s="88">
        <f t="shared" si="68"/>
        <v>2326.1381325949856</v>
      </c>
    </row>
    <row r="197" spans="1:46" s="116" customFormat="1" ht="52" x14ac:dyDescent="0.35">
      <c r="A197" s="81" t="s">
        <v>22</v>
      </c>
      <c r="B197" s="82" t="s">
        <v>3</v>
      </c>
      <c r="C197" s="83" t="s">
        <v>3</v>
      </c>
      <c r="D197" s="83" t="s">
        <v>3</v>
      </c>
      <c r="E197" s="83" t="s">
        <v>3</v>
      </c>
      <c r="F197" s="83" t="s">
        <v>3</v>
      </c>
      <c r="G197" s="83" t="s">
        <v>3</v>
      </c>
      <c r="H197" s="83" t="s">
        <v>3</v>
      </c>
      <c r="I197" s="83" t="s">
        <v>3</v>
      </c>
      <c r="J197" s="83" t="s">
        <v>3</v>
      </c>
      <c r="K197" s="83" t="s">
        <v>3</v>
      </c>
      <c r="L197" s="83" t="s">
        <v>3</v>
      </c>
      <c r="M197" s="83" t="s">
        <v>3</v>
      </c>
      <c r="N197" s="83" t="s">
        <v>3</v>
      </c>
      <c r="O197" s="83" t="s">
        <v>3</v>
      </c>
      <c r="P197" s="83" t="s">
        <v>3</v>
      </c>
      <c r="Q197" s="83" t="s">
        <v>3</v>
      </c>
      <c r="R197" s="83" t="s">
        <v>3</v>
      </c>
      <c r="S197" s="83" t="s">
        <v>3</v>
      </c>
      <c r="T197" s="83" t="s">
        <v>3</v>
      </c>
      <c r="U197" s="83" t="s">
        <v>3</v>
      </c>
      <c r="V197" s="83" t="s">
        <v>3</v>
      </c>
      <c r="W197" s="83" t="s">
        <v>3</v>
      </c>
      <c r="X197" s="83" t="s">
        <v>3</v>
      </c>
      <c r="Y197" s="83" t="s">
        <v>3</v>
      </c>
      <c r="Z197" s="83" t="s">
        <v>3</v>
      </c>
      <c r="AA197" s="83" t="s">
        <v>3</v>
      </c>
      <c r="AB197" s="84">
        <f t="shared" ref="AB197:AR197" si="69">AB198+AB206+AB222+AB225+AB228+AB230+AB233</f>
        <v>96713888.037666664</v>
      </c>
      <c r="AC197" s="84">
        <f t="shared" si="69"/>
        <v>4595350.3943333328</v>
      </c>
      <c r="AD197" s="84">
        <f t="shared" si="69"/>
        <v>8995757.4516666681</v>
      </c>
      <c r="AE197" s="84">
        <f t="shared" si="69"/>
        <v>6385326.5099999998</v>
      </c>
      <c r="AF197" s="84">
        <f t="shared" si="69"/>
        <v>5212030.2833333341</v>
      </c>
      <c r="AG197" s="84">
        <f t="shared" si="69"/>
        <v>9412464.9866666663</v>
      </c>
      <c r="AH197" s="84">
        <f t="shared" si="69"/>
        <v>5505162.8470000001</v>
      </c>
      <c r="AI197" s="84">
        <f t="shared" si="69"/>
        <v>5034900.2016666671</v>
      </c>
      <c r="AJ197" s="84">
        <f t="shared" si="69"/>
        <v>5283743.6966666672</v>
      </c>
      <c r="AK197" s="84">
        <f t="shared" si="69"/>
        <v>7911995.8359999992</v>
      </c>
      <c r="AL197" s="84">
        <f t="shared" si="69"/>
        <v>5068534.6896666661</v>
      </c>
      <c r="AM197" s="84">
        <f t="shared" si="69"/>
        <v>5842861.1519999998</v>
      </c>
      <c r="AN197" s="84">
        <f t="shared" si="69"/>
        <v>8132626.3366666669</v>
      </c>
      <c r="AO197" s="84">
        <f t="shared" si="69"/>
        <v>5462333.5626666667</v>
      </c>
      <c r="AP197" s="84">
        <f t="shared" si="69"/>
        <v>5025878.3326666662</v>
      </c>
      <c r="AQ197" s="84">
        <f t="shared" si="69"/>
        <v>4248475.8566666674</v>
      </c>
      <c r="AR197" s="84">
        <f t="shared" si="69"/>
        <v>4596445.8999999994</v>
      </c>
      <c r="AT197" s="85"/>
    </row>
    <row r="198" spans="1:46" s="116" customFormat="1" ht="26" outlineLevel="1" x14ac:dyDescent="0.35">
      <c r="A198" s="86" t="s">
        <v>25</v>
      </c>
      <c r="B198" s="87" t="s">
        <v>3</v>
      </c>
      <c r="C198" s="83" t="s">
        <v>3</v>
      </c>
      <c r="D198" s="118">
        <f t="shared" ref="D198:S198" si="70">SUM(D199:D205)</f>
        <v>54864.75</v>
      </c>
      <c r="E198" s="118">
        <f t="shared" si="70"/>
        <v>86655.48</v>
      </c>
      <c r="F198" s="118">
        <f t="shared" si="70"/>
        <v>59039.92</v>
      </c>
      <c r="G198" s="118">
        <f t="shared" si="70"/>
        <v>35311.93</v>
      </c>
      <c r="H198" s="118">
        <f t="shared" si="70"/>
        <v>114468.18</v>
      </c>
      <c r="I198" s="118">
        <f t="shared" si="70"/>
        <v>43342.2</v>
      </c>
      <c r="J198" s="118">
        <f t="shared" si="70"/>
        <v>42553.16</v>
      </c>
      <c r="K198" s="118">
        <f t="shared" si="70"/>
        <v>59229.810000000005</v>
      </c>
      <c r="L198" s="118">
        <f t="shared" si="70"/>
        <v>57001.476584864111</v>
      </c>
      <c r="M198" s="118">
        <f t="shared" si="70"/>
        <v>66269.01999999999</v>
      </c>
      <c r="N198" s="118">
        <f t="shared" si="70"/>
        <v>65663.959999999992</v>
      </c>
      <c r="O198" s="118">
        <f t="shared" si="70"/>
        <v>67156.179999999993</v>
      </c>
      <c r="P198" s="118">
        <f t="shared" si="70"/>
        <v>46539</v>
      </c>
      <c r="Q198" s="118">
        <f t="shared" si="70"/>
        <v>64121.85</v>
      </c>
      <c r="R198" s="118">
        <f t="shared" si="70"/>
        <v>43270.15</v>
      </c>
      <c r="S198" s="118">
        <f t="shared" si="70"/>
        <v>63508.69</v>
      </c>
      <c r="T198" s="83" t="s">
        <v>3</v>
      </c>
      <c r="U198" s="83" t="s">
        <v>3</v>
      </c>
      <c r="V198" s="83" t="s">
        <v>3</v>
      </c>
      <c r="W198" s="83" t="s">
        <v>3</v>
      </c>
      <c r="X198" s="83" t="s">
        <v>3</v>
      </c>
      <c r="Y198" s="83" t="s">
        <v>3</v>
      </c>
      <c r="Z198" s="83" t="s">
        <v>3</v>
      </c>
      <c r="AA198" s="83" t="s">
        <v>3</v>
      </c>
      <c r="AB198" s="84">
        <f>SUM(AC198:AR198)</f>
        <v>32852377.069999997</v>
      </c>
      <c r="AC198" s="88">
        <v>1516945.73</v>
      </c>
      <c r="AD198" s="88">
        <v>3028311.2</v>
      </c>
      <c r="AE198" s="88">
        <v>2207484.62</v>
      </c>
      <c r="AF198" s="88">
        <v>1463141.81</v>
      </c>
      <c r="AG198" s="88">
        <v>3262539.99</v>
      </c>
      <c r="AH198" s="88">
        <v>1520674.92</v>
      </c>
      <c r="AI198" s="88">
        <v>1369949.09</v>
      </c>
      <c r="AJ198" s="88">
        <v>1570923.28</v>
      </c>
      <c r="AK198" s="88">
        <v>2371841.5599999996</v>
      </c>
      <c r="AL198" s="88">
        <v>1502786.75</v>
      </c>
      <c r="AM198" s="88">
        <v>1961818.24</v>
      </c>
      <c r="AN198" s="88">
        <v>4450707.78</v>
      </c>
      <c r="AO198" s="88">
        <v>1791720.9</v>
      </c>
      <c r="AP198" s="88">
        <v>1436228.93</v>
      </c>
      <c r="AQ198" s="88">
        <v>1410553.84</v>
      </c>
      <c r="AR198" s="88">
        <v>1986748.43</v>
      </c>
      <c r="AT198" s="80"/>
    </row>
    <row r="199" spans="1:46" s="106" customFormat="1" ht="26" outlineLevel="2" x14ac:dyDescent="0.35">
      <c r="A199" s="119" t="s">
        <v>242</v>
      </c>
      <c r="B199" s="120" t="s">
        <v>243</v>
      </c>
      <c r="C199" s="93">
        <f t="shared" ref="C199:C205" si="71">L199/216.7</f>
        <v>2.8283574470733908</v>
      </c>
      <c r="D199" s="121">
        <v>378.95</v>
      </c>
      <c r="E199" s="121">
        <v>696.07</v>
      </c>
      <c r="F199" s="121">
        <v>498.96</v>
      </c>
      <c r="G199" s="121">
        <v>333.63</v>
      </c>
      <c r="H199" s="121">
        <v>706.42</v>
      </c>
      <c r="I199" s="121">
        <v>402.9</v>
      </c>
      <c r="J199" s="121">
        <v>327.06</v>
      </c>
      <c r="K199" s="121">
        <v>335.21</v>
      </c>
      <c r="L199" s="121">
        <f>675.73*0.90702656206</f>
        <v>612.90505878080376</v>
      </c>
      <c r="M199" s="121">
        <v>355.42</v>
      </c>
      <c r="N199" s="121">
        <v>358.59</v>
      </c>
      <c r="O199" s="121">
        <v>1106.95</v>
      </c>
      <c r="P199" s="121">
        <v>412.9</v>
      </c>
      <c r="Q199" s="121">
        <v>335.25</v>
      </c>
      <c r="R199" s="121">
        <v>357.95</v>
      </c>
      <c r="S199" s="121">
        <v>436.09</v>
      </c>
      <c r="T199" s="122">
        <v>1</v>
      </c>
      <c r="U199" s="93">
        <f>(3049.72+3153.81)/2</f>
        <v>3101.7649999999999</v>
      </c>
      <c r="V199" s="92"/>
      <c r="W199" s="92"/>
      <c r="X199" s="92"/>
      <c r="Y199" s="92" t="e">
        <f t="shared" ref="Y199:Y205" si="72">AVERAGE(V199:X199)</f>
        <v>#DIV/0!</v>
      </c>
      <c r="Z199" s="92">
        <f>C199/$T199*$U199</f>
        <v>8772.9001368215959</v>
      </c>
      <c r="AA199" s="95" t="s">
        <v>341</v>
      </c>
      <c r="AB199" s="96">
        <f t="shared" ref="AB199:AB205" si="73">AK199/216.7</f>
        <v>0</v>
      </c>
      <c r="AC199" s="123"/>
      <c r="AD199" s="123"/>
      <c r="AE199" s="123"/>
      <c r="AF199" s="123"/>
      <c r="AG199" s="123"/>
      <c r="AH199" s="123"/>
      <c r="AI199" s="123"/>
      <c r="AJ199" s="123"/>
      <c r="AK199" s="123"/>
      <c r="AL199" s="123"/>
      <c r="AM199" s="123"/>
      <c r="AN199" s="123"/>
      <c r="AO199" s="123"/>
      <c r="AP199" s="123"/>
      <c r="AQ199" s="123"/>
      <c r="AR199" s="123"/>
    </row>
    <row r="200" spans="1:46" s="106" customFormat="1" ht="26" outlineLevel="2" x14ac:dyDescent="0.35">
      <c r="A200" s="119" t="s">
        <v>244</v>
      </c>
      <c r="B200" s="120" t="s">
        <v>243</v>
      </c>
      <c r="C200" s="93">
        <f t="shared" si="71"/>
        <v>0.15612409213123213</v>
      </c>
      <c r="D200" s="121">
        <v>9.8000000000000007</v>
      </c>
      <c r="E200" s="121">
        <v>94.4</v>
      </c>
      <c r="F200" s="121">
        <v>86</v>
      </c>
      <c r="G200" s="121">
        <v>64.5</v>
      </c>
      <c r="H200" s="121">
        <v>119.3</v>
      </c>
      <c r="I200" s="121">
        <v>0</v>
      </c>
      <c r="J200" s="121">
        <v>30.7</v>
      </c>
      <c r="K200" s="121">
        <v>52.5</v>
      </c>
      <c r="L200" s="121">
        <f>37.3*0.90702656206</f>
        <v>33.832090764838</v>
      </c>
      <c r="M200" s="121">
        <v>0.6</v>
      </c>
      <c r="N200" s="121">
        <v>135.6</v>
      </c>
      <c r="O200" s="121">
        <v>117.23</v>
      </c>
      <c r="P200" s="121">
        <v>37.1</v>
      </c>
      <c r="Q200" s="121">
        <v>1.6</v>
      </c>
      <c r="R200" s="121">
        <v>2.2000000000000002</v>
      </c>
      <c r="S200" s="121">
        <v>76.7</v>
      </c>
      <c r="T200" s="122">
        <v>1</v>
      </c>
      <c r="U200" s="93">
        <f>(3049.72+3153.81)/2</f>
        <v>3101.7649999999999</v>
      </c>
      <c r="V200" s="92"/>
      <c r="W200" s="92"/>
      <c r="X200" s="92"/>
      <c r="Y200" s="92" t="e">
        <f t="shared" si="72"/>
        <v>#DIV/0!</v>
      </c>
      <c r="Z200" s="92">
        <f t="shared" ref="Z200:Z227" si="74">C200/$T200*$U200</f>
        <v>484.26024462943121</v>
      </c>
      <c r="AA200" s="95" t="s">
        <v>342</v>
      </c>
      <c r="AB200" s="96">
        <f t="shared" si="73"/>
        <v>0</v>
      </c>
      <c r="AC200" s="123"/>
      <c r="AD200" s="123"/>
      <c r="AE200" s="123"/>
      <c r="AF200" s="123"/>
      <c r="AG200" s="123"/>
      <c r="AH200" s="123"/>
      <c r="AI200" s="123"/>
      <c r="AJ200" s="123"/>
      <c r="AK200" s="123"/>
      <c r="AL200" s="123"/>
      <c r="AM200" s="123"/>
      <c r="AN200" s="123"/>
      <c r="AO200" s="123"/>
      <c r="AP200" s="123"/>
      <c r="AQ200" s="123"/>
      <c r="AR200" s="123"/>
    </row>
    <row r="201" spans="1:46" s="106" customFormat="1" ht="26" outlineLevel="2" x14ac:dyDescent="0.35">
      <c r="A201" s="119" t="s">
        <v>245</v>
      </c>
      <c r="B201" s="120" t="s">
        <v>216</v>
      </c>
      <c r="C201" s="93">
        <f t="shared" si="71"/>
        <v>2.3661380504500134</v>
      </c>
      <c r="D201" s="121">
        <v>0</v>
      </c>
      <c r="E201" s="121">
        <v>1362.01</v>
      </c>
      <c r="F201" s="121">
        <v>1455.26</v>
      </c>
      <c r="G201" s="121">
        <v>1028.8</v>
      </c>
      <c r="H201" s="121">
        <v>1709.46</v>
      </c>
      <c r="I201" s="121">
        <v>14.3</v>
      </c>
      <c r="J201" s="121">
        <v>471.4</v>
      </c>
      <c r="K201" s="121">
        <v>713.8</v>
      </c>
      <c r="L201" s="121">
        <f>565.3*0.90702656206</f>
        <v>512.74211553251791</v>
      </c>
      <c r="M201" s="121">
        <v>0</v>
      </c>
      <c r="N201" s="121">
        <v>1991.77</v>
      </c>
      <c r="O201" s="121">
        <v>1592</v>
      </c>
      <c r="P201" s="121">
        <v>574</v>
      </c>
      <c r="Q201" s="121">
        <v>0</v>
      </c>
      <c r="R201" s="121">
        <v>0</v>
      </c>
      <c r="S201" s="121">
        <v>1245.9000000000001</v>
      </c>
      <c r="T201" s="122">
        <v>1</v>
      </c>
      <c r="U201" s="93">
        <v>19.37</v>
      </c>
      <c r="V201" s="92"/>
      <c r="W201" s="92"/>
      <c r="X201" s="92"/>
      <c r="Y201" s="92" t="e">
        <f t="shared" si="72"/>
        <v>#DIV/0!</v>
      </c>
      <c r="Z201" s="92">
        <f t="shared" si="74"/>
        <v>45.832094037216763</v>
      </c>
      <c r="AA201" s="95" t="s">
        <v>343</v>
      </c>
      <c r="AB201" s="96">
        <f t="shared" si="73"/>
        <v>0</v>
      </c>
      <c r="AC201" s="123"/>
      <c r="AD201" s="123"/>
      <c r="AE201" s="123"/>
      <c r="AF201" s="123"/>
      <c r="AG201" s="123"/>
      <c r="AH201" s="123"/>
      <c r="AI201" s="123"/>
      <c r="AJ201" s="123"/>
      <c r="AK201" s="123"/>
      <c r="AL201" s="123"/>
      <c r="AM201" s="123"/>
      <c r="AN201" s="123"/>
      <c r="AO201" s="123"/>
      <c r="AP201" s="123"/>
      <c r="AQ201" s="123"/>
      <c r="AR201" s="123"/>
    </row>
    <row r="202" spans="1:46" s="106" customFormat="1" ht="26" outlineLevel="2" x14ac:dyDescent="0.35">
      <c r="A202" s="119" t="s">
        <v>246</v>
      </c>
      <c r="B202" s="120" t="s">
        <v>247</v>
      </c>
      <c r="C202" s="93">
        <f t="shared" si="71"/>
        <v>229.20523552563728</v>
      </c>
      <c r="D202" s="121">
        <v>45940</v>
      </c>
      <c r="E202" s="121">
        <v>75040</v>
      </c>
      <c r="F202" s="121">
        <v>50700</v>
      </c>
      <c r="G202" s="121">
        <v>30720</v>
      </c>
      <c r="H202" s="121">
        <v>103340</v>
      </c>
      <c r="I202" s="121">
        <v>38480</v>
      </c>
      <c r="J202" s="121">
        <v>38580</v>
      </c>
      <c r="K202" s="121">
        <v>52790</v>
      </c>
      <c r="L202" s="121">
        <f>54760*0.90702656206</f>
        <v>49668.774538405596</v>
      </c>
      <c r="M202" s="121">
        <v>60160</v>
      </c>
      <c r="N202" s="121">
        <v>56540</v>
      </c>
      <c r="O202" s="121">
        <v>61980</v>
      </c>
      <c r="P202" s="121">
        <v>42020</v>
      </c>
      <c r="Q202" s="121">
        <v>57600</v>
      </c>
      <c r="R202" s="121">
        <v>35030</v>
      </c>
      <c r="S202" s="121">
        <v>57330</v>
      </c>
      <c r="T202" s="122">
        <v>1</v>
      </c>
      <c r="U202" s="93">
        <v>5.18</v>
      </c>
      <c r="V202" s="92"/>
      <c r="W202" s="92"/>
      <c r="X202" s="92"/>
      <c r="Y202" s="92" t="e">
        <f t="shared" si="72"/>
        <v>#DIV/0!</v>
      </c>
      <c r="Z202" s="92">
        <f t="shared" si="74"/>
        <v>1187.2831200228011</v>
      </c>
      <c r="AA202" s="95" t="s">
        <v>344</v>
      </c>
      <c r="AB202" s="96">
        <f t="shared" si="73"/>
        <v>0</v>
      </c>
      <c r="AC202" s="123"/>
      <c r="AD202" s="123"/>
      <c r="AE202" s="123"/>
      <c r="AF202" s="123"/>
      <c r="AG202" s="123"/>
      <c r="AH202" s="123"/>
      <c r="AI202" s="123"/>
      <c r="AJ202" s="123"/>
      <c r="AK202" s="123"/>
      <c r="AL202" s="123"/>
      <c r="AM202" s="123"/>
      <c r="AN202" s="123"/>
      <c r="AO202" s="123"/>
      <c r="AP202" s="123"/>
      <c r="AQ202" s="123"/>
      <c r="AR202" s="123"/>
    </row>
    <row r="203" spans="1:46" s="106" customFormat="1" ht="26" outlineLevel="2" x14ac:dyDescent="0.35">
      <c r="A203" s="119" t="s">
        <v>248</v>
      </c>
      <c r="B203" s="120" t="s">
        <v>216</v>
      </c>
      <c r="C203" s="93">
        <f t="shared" si="71"/>
        <v>9.9994760348931244</v>
      </c>
      <c r="D203" s="121">
        <v>2360</v>
      </c>
      <c r="E203" s="121">
        <v>2934</v>
      </c>
      <c r="F203" s="121">
        <v>1667</v>
      </c>
      <c r="G203" s="121">
        <v>936</v>
      </c>
      <c r="H203" s="121">
        <v>2275</v>
      </c>
      <c r="I203" s="121">
        <v>1633</v>
      </c>
      <c r="J203" s="121">
        <v>1046</v>
      </c>
      <c r="K203" s="121">
        <v>1499</v>
      </c>
      <c r="L203" s="121">
        <f>2389*0.90702656206</f>
        <v>2166.88645676134</v>
      </c>
      <c r="M203" s="121">
        <v>2015</v>
      </c>
      <c r="N203" s="121">
        <v>1422</v>
      </c>
      <c r="O203" s="121">
        <v>959</v>
      </c>
      <c r="P203" s="121">
        <v>1472</v>
      </c>
      <c r="Q203" s="121">
        <v>2236</v>
      </c>
      <c r="R203" s="121">
        <v>2707</v>
      </c>
      <c r="S203" s="121">
        <v>1571</v>
      </c>
      <c r="T203" s="122">
        <v>1</v>
      </c>
      <c r="U203" s="93">
        <v>19.03</v>
      </c>
      <c r="V203" s="92"/>
      <c r="W203" s="92"/>
      <c r="X203" s="92"/>
      <c r="Y203" s="92" t="e">
        <f t="shared" si="72"/>
        <v>#DIV/0!</v>
      </c>
      <c r="Z203" s="92">
        <f t="shared" si="74"/>
        <v>190.29002894401617</v>
      </c>
      <c r="AA203" s="95" t="s">
        <v>345</v>
      </c>
      <c r="AB203" s="96">
        <f t="shared" si="73"/>
        <v>0</v>
      </c>
      <c r="AC203" s="123"/>
      <c r="AD203" s="123"/>
      <c r="AE203" s="123"/>
      <c r="AF203" s="123"/>
      <c r="AG203" s="123"/>
      <c r="AH203" s="123"/>
      <c r="AI203" s="123"/>
      <c r="AJ203" s="123"/>
      <c r="AK203" s="123"/>
      <c r="AL203" s="123"/>
      <c r="AM203" s="123"/>
      <c r="AN203" s="123"/>
      <c r="AO203" s="123"/>
      <c r="AP203" s="123"/>
      <c r="AQ203" s="123"/>
      <c r="AR203" s="123"/>
    </row>
    <row r="204" spans="1:46" s="106" customFormat="1" ht="26" outlineLevel="2" x14ac:dyDescent="0.35">
      <c r="A204" s="119" t="s">
        <v>249</v>
      </c>
      <c r="B204" s="120" t="s">
        <v>216</v>
      </c>
      <c r="C204" s="93">
        <f t="shared" si="71"/>
        <v>11.380734758842362</v>
      </c>
      <c r="D204" s="121">
        <v>4268</v>
      </c>
      <c r="E204" s="121">
        <v>4393</v>
      </c>
      <c r="F204" s="121">
        <v>2922.7</v>
      </c>
      <c r="G204" s="121">
        <v>1275</v>
      </c>
      <c r="H204" s="121">
        <v>3651</v>
      </c>
      <c r="I204" s="121">
        <v>1633</v>
      </c>
      <c r="J204" s="121">
        <v>1279</v>
      </c>
      <c r="K204" s="121">
        <v>2129.3000000000002</v>
      </c>
      <c r="L204" s="121">
        <f>2719*0.90702656206</f>
        <v>2466.2052222411398</v>
      </c>
      <c r="M204" s="121">
        <v>2016</v>
      </c>
      <c r="N204" s="121">
        <v>2873</v>
      </c>
      <c r="O204" s="121">
        <v>1401</v>
      </c>
      <c r="P204" s="121">
        <v>2023</v>
      </c>
      <c r="Q204" s="121">
        <v>2236</v>
      </c>
      <c r="R204" s="121">
        <v>2707</v>
      </c>
      <c r="S204" s="121">
        <v>1850</v>
      </c>
      <c r="T204" s="122">
        <v>1</v>
      </c>
      <c r="U204" s="93">
        <v>22.03</v>
      </c>
      <c r="V204" s="92"/>
      <c r="W204" s="92"/>
      <c r="X204" s="92"/>
      <c r="Y204" s="92" t="e">
        <f t="shared" si="72"/>
        <v>#DIV/0!</v>
      </c>
      <c r="Z204" s="92">
        <f t="shared" si="74"/>
        <v>250.71758673729724</v>
      </c>
      <c r="AA204" s="95" t="s">
        <v>346</v>
      </c>
      <c r="AB204" s="96">
        <f t="shared" si="73"/>
        <v>0</v>
      </c>
      <c r="AC204" s="123"/>
      <c r="AD204" s="123"/>
      <c r="AE204" s="123"/>
      <c r="AF204" s="123"/>
      <c r="AG204" s="123"/>
      <c r="AH204" s="123"/>
      <c r="AI204" s="123"/>
      <c r="AJ204" s="123"/>
      <c r="AK204" s="123"/>
      <c r="AL204" s="123"/>
      <c r="AM204" s="123"/>
      <c r="AN204" s="123"/>
      <c r="AO204" s="123"/>
      <c r="AP204" s="123"/>
      <c r="AQ204" s="123"/>
      <c r="AR204" s="123"/>
    </row>
    <row r="205" spans="1:46" s="106" customFormat="1" ht="26" outlineLevel="2" x14ac:dyDescent="0.35">
      <c r="A205" s="119" t="s">
        <v>250</v>
      </c>
      <c r="B205" s="120" t="s">
        <v>216</v>
      </c>
      <c r="C205" s="93">
        <f t="shared" si="71"/>
        <v>7.107203979593355</v>
      </c>
      <c r="D205" s="121">
        <v>1908</v>
      </c>
      <c r="E205" s="121">
        <v>2136</v>
      </c>
      <c r="F205" s="121">
        <v>1710</v>
      </c>
      <c r="G205" s="121">
        <v>954</v>
      </c>
      <c r="H205" s="121">
        <v>2667</v>
      </c>
      <c r="I205" s="121">
        <v>1179</v>
      </c>
      <c r="J205" s="121">
        <v>819</v>
      </c>
      <c r="K205" s="121">
        <v>1710</v>
      </c>
      <c r="L205" s="121">
        <f>1698*0.90702656206</f>
        <v>1540.1311023778799</v>
      </c>
      <c r="M205" s="121">
        <v>1722</v>
      </c>
      <c r="N205" s="121">
        <v>2343</v>
      </c>
      <c r="O205" s="121">
        <v>0</v>
      </c>
      <c r="P205" s="121">
        <v>0</v>
      </c>
      <c r="Q205" s="121">
        <v>1713</v>
      </c>
      <c r="R205" s="121">
        <v>2466</v>
      </c>
      <c r="S205" s="121">
        <v>999</v>
      </c>
      <c r="T205" s="122">
        <v>1</v>
      </c>
      <c r="U205" s="93">
        <v>1.97</v>
      </c>
      <c r="V205" s="92"/>
      <c r="W205" s="92"/>
      <c r="X205" s="92"/>
      <c r="Y205" s="92" t="e">
        <f t="shared" si="72"/>
        <v>#DIV/0!</v>
      </c>
      <c r="Z205" s="92">
        <f t="shared" si="74"/>
        <v>14.00119183979891</v>
      </c>
      <c r="AA205" s="95" t="s">
        <v>347</v>
      </c>
      <c r="AB205" s="96">
        <f t="shared" si="73"/>
        <v>0</v>
      </c>
      <c r="AC205" s="123"/>
      <c r="AD205" s="123"/>
      <c r="AE205" s="123"/>
      <c r="AF205" s="123"/>
      <c r="AG205" s="123"/>
      <c r="AH205" s="123"/>
      <c r="AI205" s="123"/>
      <c r="AJ205" s="123"/>
      <c r="AK205" s="123"/>
      <c r="AL205" s="123"/>
      <c r="AM205" s="123"/>
      <c r="AN205" s="123"/>
      <c r="AO205" s="123"/>
      <c r="AP205" s="123"/>
      <c r="AQ205" s="123"/>
      <c r="AR205" s="123"/>
    </row>
    <row r="206" spans="1:46" s="116" customFormat="1" ht="104" outlineLevel="1" x14ac:dyDescent="0.35">
      <c r="A206" s="86" t="s">
        <v>36</v>
      </c>
      <c r="B206" s="87" t="s">
        <v>3</v>
      </c>
      <c r="C206" s="124">
        <f t="shared" ref="C206:S206" si="75">SUM(C207:C221)</f>
        <v>165.10964467005081</v>
      </c>
      <c r="D206" s="118">
        <f t="shared" si="75"/>
        <v>28427.77</v>
      </c>
      <c r="E206" s="118">
        <f t="shared" si="75"/>
        <v>18557.670000000002</v>
      </c>
      <c r="F206" s="118">
        <f t="shared" si="75"/>
        <v>20089.98</v>
      </c>
      <c r="G206" s="118">
        <f t="shared" si="75"/>
        <v>18762.689999999999</v>
      </c>
      <c r="H206" s="118">
        <f t="shared" si="75"/>
        <v>19266.79</v>
      </c>
      <c r="I206" s="118">
        <f t="shared" si="75"/>
        <v>18521.64</v>
      </c>
      <c r="J206" s="118">
        <f t="shared" si="75"/>
        <v>17943.849999999999</v>
      </c>
      <c r="K206" s="118">
        <f t="shared" si="75"/>
        <v>18050.04</v>
      </c>
      <c r="L206" s="118">
        <f t="shared" si="75"/>
        <v>35779.26</v>
      </c>
      <c r="M206" s="118">
        <f t="shared" si="75"/>
        <v>19225.169999999998</v>
      </c>
      <c r="N206" s="118">
        <f t="shared" si="75"/>
        <v>18053.809999999998</v>
      </c>
      <c r="O206" s="118">
        <f t="shared" si="75"/>
        <v>18890.96</v>
      </c>
      <c r="P206" s="118">
        <f t="shared" si="75"/>
        <v>18842.669999999998</v>
      </c>
      <c r="Q206" s="118">
        <f t="shared" si="75"/>
        <v>18885.16</v>
      </c>
      <c r="R206" s="118">
        <f t="shared" si="75"/>
        <v>26777.96</v>
      </c>
      <c r="S206" s="118">
        <f t="shared" si="75"/>
        <v>26682.81</v>
      </c>
      <c r="T206" s="83" t="s">
        <v>3</v>
      </c>
      <c r="U206" s="83" t="s">
        <v>3</v>
      </c>
      <c r="V206" s="83" t="s">
        <v>3</v>
      </c>
      <c r="W206" s="83" t="s">
        <v>3</v>
      </c>
      <c r="X206" s="83" t="s">
        <v>3</v>
      </c>
      <c r="Y206" s="83" t="s">
        <v>3</v>
      </c>
      <c r="Z206" s="83" t="s">
        <v>3</v>
      </c>
      <c r="AA206" s="83" t="s">
        <v>3</v>
      </c>
      <c r="AB206" s="84">
        <f>SUM(AC206:AR206)</f>
        <v>3869769.5143333334</v>
      </c>
      <c r="AC206" s="88">
        <f t="shared" ref="AC206:AR206" si="76">SUM(AC207:AC221)</f>
        <v>269307.36766666669</v>
      </c>
      <c r="AD206" s="88">
        <f t="shared" si="76"/>
        <v>258096.97833333333</v>
      </c>
      <c r="AE206" s="88">
        <f t="shared" si="76"/>
        <v>284146.06666666671</v>
      </c>
      <c r="AF206" s="88">
        <f t="shared" si="76"/>
        <v>212447.38666666669</v>
      </c>
      <c r="AG206" s="88">
        <f t="shared" si="76"/>
        <v>261517.37666666668</v>
      </c>
      <c r="AH206" s="88">
        <f t="shared" si="76"/>
        <v>219510.53366666668</v>
      </c>
      <c r="AI206" s="88">
        <f t="shared" si="76"/>
        <v>206417.90166666667</v>
      </c>
      <c r="AJ206" s="88">
        <f t="shared" si="76"/>
        <v>227010.26333333334</v>
      </c>
      <c r="AK206" s="88">
        <f t="shared" si="76"/>
        <v>345718.13266666664</v>
      </c>
      <c r="AL206" s="88">
        <f t="shared" si="76"/>
        <v>222047.76966666666</v>
      </c>
      <c r="AM206" s="88">
        <f t="shared" si="76"/>
        <v>239606.32533333334</v>
      </c>
      <c r="AN206" s="88">
        <f t="shared" si="76"/>
        <v>198376.74666666667</v>
      </c>
      <c r="AO206" s="88">
        <f t="shared" si="76"/>
        <v>202743.85266666667</v>
      </c>
      <c r="AP206" s="88">
        <f t="shared" si="76"/>
        <v>216344.13266666667</v>
      </c>
      <c r="AQ206" s="88">
        <f t="shared" si="76"/>
        <v>261810.08333333334</v>
      </c>
      <c r="AR206" s="88">
        <f t="shared" si="76"/>
        <v>244668.59666666668</v>
      </c>
      <c r="AT206" s="80"/>
    </row>
    <row r="207" spans="1:46" s="98" customFormat="1" ht="13" outlineLevel="2" x14ac:dyDescent="0.35">
      <c r="A207" s="89" t="s">
        <v>198</v>
      </c>
      <c r="B207" s="90" t="s">
        <v>199</v>
      </c>
      <c r="C207" s="93">
        <f>240/216.7</f>
        <v>1.1075219197046609</v>
      </c>
      <c r="D207" s="92">
        <v>550.29999999999995</v>
      </c>
      <c r="E207" s="92">
        <v>904.7</v>
      </c>
      <c r="F207" s="92">
        <v>80</v>
      </c>
      <c r="G207" s="92">
        <v>431</v>
      </c>
      <c r="H207" s="92">
        <v>800</v>
      </c>
      <c r="I207" s="92">
        <v>458.3</v>
      </c>
      <c r="J207" s="92">
        <v>356.1</v>
      </c>
      <c r="K207" s="92">
        <v>331</v>
      </c>
      <c r="L207" s="92">
        <v>240</v>
      </c>
      <c r="M207" s="92">
        <v>756.3</v>
      </c>
      <c r="N207" s="92">
        <v>331</v>
      </c>
      <c r="O207" s="92">
        <f>15816/12</f>
        <v>1318</v>
      </c>
      <c r="P207" s="92">
        <v>632.4</v>
      </c>
      <c r="Q207" s="92">
        <v>590</v>
      </c>
      <c r="R207" s="92">
        <v>421.8</v>
      </c>
      <c r="S207" s="92">
        <f>4080/12</f>
        <v>340</v>
      </c>
      <c r="T207" s="93">
        <v>1</v>
      </c>
      <c r="U207" s="93">
        <f t="shared" ref="U207:U224" si="77">AVERAGE(V207:X207)</f>
        <v>1.6500000000000001</v>
      </c>
      <c r="V207" s="107">
        <v>1.9</v>
      </c>
      <c r="W207" s="107">
        <v>1.8</v>
      </c>
      <c r="X207" s="107">
        <v>1.25</v>
      </c>
      <c r="Y207" s="92">
        <v>173</v>
      </c>
      <c r="Z207" s="92">
        <f t="shared" si="74"/>
        <v>1.8274111675126905</v>
      </c>
      <c r="AA207" s="95" t="s">
        <v>348</v>
      </c>
      <c r="AB207" s="97">
        <f t="shared" ref="AB207:AB221" si="78">SUM(AC207:AR207)</f>
        <v>14092.484999999999</v>
      </c>
      <c r="AC207" s="97">
        <f t="shared" ref="AC207:AR207" si="79">D207*$U207</f>
        <v>907.995</v>
      </c>
      <c r="AD207" s="97">
        <f t="shared" si="79"/>
        <v>1492.7550000000001</v>
      </c>
      <c r="AE207" s="97">
        <f t="shared" si="79"/>
        <v>132</v>
      </c>
      <c r="AF207" s="97">
        <f t="shared" si="79"/>
        <v>711.15000000000009</v>
      </c>
      <c r="AG207" s="97">
        <f t="shared" si="79"/>
        <v>1320</v>
      </c>
      <c r="AH207" s="97">
        <f t="shared" si="79"/>
        <v>756.19500000000005</v>
      </c>
      <c r="AI207" s="97">
        <f t="shared" si="79"/>
        <v>587.56500000000005</v>
      </c>
      <c r="AJ207" s="97">
        <f t="shared" si="79"/>
        <v>546.15000000000009</v>
      </c>
      <c r="AK207" s="97">
        <f t="shared" si="79"/>
        <v>396.00000000000006</v>
      </c>
      <c r="AL207" s="97">
        <f t="shared" si="79"/>
        <v>1247.895</v>
      </c>
      <c r="AM207" s="97">
        <f t="shared" si="79"/>
        <v>546.15000000000009</v>
      </c>
      <c r="AN207" s="97">
        <f t="shared" si="79"/>
        <v>2174.7000000000003</v>
      </c>
      <c r="AO207" s="97">
        <f t="shared" si="79"/>
        <v>1043.46</v>
      </c>
      <c r="AP207" s="97">
        <f t="shared" si="79"/>
        <v>973.50000000000011</v>
      </c>
      <c r="AQ207" s="97">
        <f t="shared" si="79"/>
        <v>695.97</v>
      </c>
      <c r="AR207" s="97">
        <f t="shared" si="79"/>
        <v>561</v>
      </c>
    </row>
    <row r="208" spans="1:46" s="98" customFormat="1" ht="13" outlineLevel="2" x14ac:dyDescent="0.35">
      <c r="A208" s="89" t="s">
        <v>200</v>
      </c>
      <c r="B208" s="90" t="s">
        <v>199</v>
      </c>
      <c r="C208" s="93">
        <f>240/216.7</f>
        <v>1.1075219197046609</v>
      </c>
      <c r="D208" s="125">
        <v>1214.9000000000001</v>
      </c>
      <c r="E208" s="125"/>
      <c r="F208" s="125">
        <v>800</v>
      </c>
      <c r="G208" s="125">
        <v>739</v>
      </c>
      <c r="H208" s="125">
        <v>800</v>
      </c>
      <c r="I208" s="125">
        <v>458.3</v>
      </c>
      <c r="J208" s="125"/>
      <c r="K208" s="125">
        <v>113</v>
      </c>
      <c r="L208" s="125">
        <v>240</v>
      </c>
      <c r="M208" s="125">
        <v>756.3</v>
      </c>
      <c r="N208" s="125">
        <v>113.3</v>
      </c>
      <c r="O208" s="125"/>
      <c r="P208" s="125">
        <v>632.4</v>
      </c>
      <c r="Q208" s="125">
        <v>590</v>
      </c>
      <c r="R208" s="125"/>
      <c r="S208" s="125"/>
      <c r="T208" s="93">
        <v>1</v>
      </c>
      <c r="U208" s="93">
        <f t="shared" si="77"/>
        <v>3.64</v>
      </c>
      <c r="V208" s="107">
        <v>2.99</v>
      </c>
      <c r="W208" s="107">
        <v>3.93</v>
      </c>
      <c r="X208" s="107">
        <v>4</v>
      </c>
      <c r="Y208" s="92">
        <v>174</v>
      </c>
      <c r="Z208" s="92">
        <f t="shared" si="74"/>
        <v>4.0313797877249655</v>
      </c>
      <c r="AA208" s="95" t="s">
        <v>348</v>
      </c>
      <c r="AB208" s="97">
        <f t="shared" si="78"/>
        <v>23504.207999999999</v>
      </c>
      <c r="AC208" s="97">
        <f t="shared" ref="AC208:AC221" si="80">D208*$U208</f>
        <v>4422.2360000000008</v>
      </c>
      <c r="AD208" s="97">
        <f t="shared" ref="AD208:AD221" si="81">E208*$U208</f>
        <v>0</v>
      </c>
      <c r="AE208" s="97">
        <f t="shared" ref="AE208:AE221" si="82">F208*$U208</f>
        <v>2912</v>
      </c>
      <c r="AF208" s="97">
        <f t="shared" ref="AF208:AF221" si="83">G208*$U208</f>
        <v>2689.96</v>
      </c>
      <c r="AG208" s="97">
        <f t="shared" ref="AG208:AG221" si="84">H208*$U208</f>
        <v>2912</v>
      </c>
      <c r="AH208" s="97">
        <f t="shared" ref="AH208:AH221" si="85">I208*$U208</f>
        <v>1668.212</v>
      </c>
      <c r="AI208" s="97">
        <f t="shared" ref="AI208:AI221" si="86">J208*$U208</f>
        <v>0</v>
      </c>
      <c r="AJ208" s="97">
        <f t="shared" ref="AJ208:AJ221" si="87">K208*$U208</f>
        <v>411.32</v>
      </c>
      <c r="AK208" s="97">
        <f t="shared" ref="AK208:AK221" si="88">L208*$U208</f>
        <v>873.6</v>
      </c>
      <c r="AL208" s="97">
        <f t="shared" ref="AL208:AL221" si="89">M208*$U208</f>
        <v>2752.9319999999998</v>
      </c>
      <c r="AM208" s="97">
        <f t="shared" ref="AM208:AM221" si="90">N208*$U208</f>
        <v>412.41199999999998</v>
      </c>
      <c r="AN208" s="97">
        <f t="shared" ref="AN208:AN221" si="91">O208*$U208</f>
        <v>0</v>
      </c>
      <c r="AO208" s="97">
        <f t="shared" ref="AO208:AO221" si="92">P208*$U208</f>
        <v>2301.9360000000001</v>
      </c>
      <c r="AP208" s="97">
        <f t="shared" ref="AP208:AP221" si="93">Q208*$U208</f>
        <v>2147.6</v>
      </c>
      <c r="AQ208" s="97">
        <f t="shared" ref="AQ208:AQ221" si="94">R208*$U208</f>
        <v>0</v>
      </c>
      <c r="AR208" s="97">
        <f t="shared" ref="AR208:AR221" si="95">S208*$U208</f>
        <v>0</v>
      </c>
    </row>
    <row r="209" spans="1:44" s="98" customFormat="1" ht="13" outlineLevel="2" x14ac:dyDescent="0.35">
      <c r="A209" s="89" t="s">
        <v>201</v>
      </c>
      <c r="B209" s="90" t="s">
        <v>199</v>
      </c>
      <c r="C209" s="93">
        <f>110/216.7</f>
        <v>0.50761421319796962</v>
      </c>
      <c r="D209" s="92">
        <v>300</v>
      </c>
      <c r="E209" s="92"/>
      <c r="F209" s="92"/>
      <c r="G209" s="92"/>
      <c r="H209" s="92"/>
      <c r="I209" s="92"/>
      <c r="J209" s="92"/>
      <c r="K209" s="92"/>
      <c r="L209" s="92">
        <v>110</v>
      </c>
      <c r="M209" s="92">
        <v>110</v>
      </c>
      <c r="N209" s="92"/>
      <c r="O209" s="92"/>
      <c r="P209" s="92"/>
      <c r="Q209" s="92">
        <v>110</v>
      </c>
      <c r="R209" s="92"/>
      <c r="S209" s="92"/>
      <c r="T209" s="93">
        <v>1</v>
      </c>
      <c r="U209" s="93">
        <f t="shared" si="77"/>
        <v>23.352599999999999</v>
      </c>
      <c r="V209" s="107">
        <v>23.352599999999999</v>
      </c>
      <c r="W209" s="107"/>
      <c r="X209" s="107"/>
      <c r="Y209" s="92">
        <v>175</v>
      </c>
      <c r="Z209" s="92">
        <f t="shared" si="74"/>
        <v>11.854111675126905</v>
      </c>
      <c r="AA209" s="95" t="s">
        <v>348</v>
      </c>
      <c r="AB209" s="97">
        <f t="shared" si="78"/>
        <v>14712.137999999999</v>
      </c>
      <c r="AC209" s="97">
        <f t="shared" si="80"/>
        <v>7005.78</v>
      </c>
      <c r="AD209" s="97">
        <f t="shared" si="81"/>
        <v>0</v>
      </c>
      <c r="AE209" s="97">
        <f t="shared" si="82"/>
        <v>0</v>
      </c>
      <c r="AF209" s="97">
        <f t="shared" si="83"/>
        <v>0</v>
      </c>
      <c r="AG209" s="97">
        <f t="shared" si="84"/>
        <v>0</v>
      </c>
      <c r="AH209" s="97">
        <f t="shared" si="85"/>
        <v>0</v>
      </c>
      <c r="AI209" s="97">
        <f t="shared" si="86"/>
        <v>0</v>
      </c>
      <c r="AJ209" s="97">
        <f t="shared" si="87"/>
        <v>0</v>
      </c>
      <c r="AK209" s="97">
        <f t="shared" si="88"/>
        <v>2568.7860000000001</v>
      </c>
      <c r="AL209" s="97">
        <f t="shared" si="89"/>
        <v>2568.7860000000001</v>
      </c>
      <c r="AM209" s="97">
        <f t="shared" si="90"/>
        <v>0</v>
      </c>
      <c r="AN209" s="97">
        <f t="shared" si="91"/>
        <v>0</v>
      </c>
      <c r="AO209" s="97">
        <f t="shared" si="92"/>
        <v>0</v>
      </c>
      <c r="AP209" s="97">
        <f t="shared" si="93"/>
        <v>2568.7860000000001</v>
      </c>
      <c r="AQ209" s="97">
        <f t="shared" si="94"/>
        <v>0</v>
      </c>
      <c r="AR209" s="97">
        <f t="shared" si="95"/>
        <v>0</v>
      </c>
    </row>
    <row r="210" spans="1:44" s="98" customFormat="1" ht="13" outlineLevel="2" x14ac:dyDescent="0.35">
      <c r="A210" s="89" t="s">
        <v>203</v>
      </c>
      <c r="B210" s="90" t="s">
        <v>254</v>
      </c>
      <c r="C210" s="93">
        <f>1/216.7</f>
        <v>4.6146746654360873E-3</v>
      </c>
      <c r="D210" s="92">
        <v>1</v>
      </c>
      <c r="E210" s="92">
        <v>1</v>
      </c>
      <c r="F210" s="92">
        <v>1</v>
      </c>
      <c r="G210" s="92">
        <v>1</v>
      </c>
      <c r="H210" s="92">
        <v>1</v>
      </c>
      <c r="I210" s="92">
        <v>1</v>
      </c>
      <c r="J210" s="92">
        <v>1</v>
      </c>
      <c r="K210" s="92">
        <v>1</v>
      </c>
      <c r="L210" s="92">
        <v>1</v>
      </c>
      <c r="M210" s="92">
        <v>1</v>
      </c>
      <c r="N210" s="92">
        <v>1</v>
      </c>
      <c r="O210" s="92">
        <v>1</v>
      </c>
      <c r="P210" s="92">
        <v>1</v>
      </c>
      <c r="Q210" s="92">
        <v>1</v>
      </c>
      <c r="R210" s="92">
        <v>1</v>
      </c>
      <c r="S210" s="92">
        <v>1</v>
      </c>
      <c r="T210" s="93">
        <v>1</v>
      </c>
      <c r="U210" s="93">
        <f>AVERAGE(V210:X210)*12</f>
        <v>3619.44</v>
      </c>
      <c r="V210" s="107">
        <v>301.62</v>
      </c>
      <c r="W210" s="107"/>
      <c r="X210" s="107"/>
      <c r="Y210" s="92">
        <v>176</v>
      </c>
      <c r="Z210" s="92">
        <f t="shared" si="74"/>
        <v>16.702538071065991</v>
      </c>
      <c r="AA210" s="95" t="s">
        <v>348</v>
      </c>
      <c r="AB210" s="97">
        <f t="shared" si="78"/>
        <v>57911.040000000008</v>
      </c>
      <c r="AC210" s="97">
        <f t="shared" si="80"/>
        <v>3619.44</v>
      </c>
      <c r="AD210" s="97">
        <f t="shared" si="81"/>
        <v>3619.44</v>
      </c>
      <c r="AE210" s="97">
        <f t="shared" si="82"/>
        <v>3619.44</v>
      </c>
      <c r="AF210" s="97">
        <f t="shared" si="83"/>
        <v>3619.44</v>
      </c>
      <c r="AG210" s="97">
        <f t="shared" si="84"/>
        <v>3619.44</v>
      </c>
      <c r="AH210" s="97">
        <f t="shared" si="85"/>
        <v>3619.44</v>
      </c>
      <c r="AI210" s="97">
        <f t="shared" si="86"/>
        <v>3619.44</v>
      </c>
      <c r="AJ210" s="97">
        <f t="shared" si="87"/>
        <v>3619.44</v>
      </c>
      <c r="AK210" s="97">
        <f t="shared" si="88"/>
        <v>3619.44</v>
      </c>
      <c r="AL210" s="97">
        <f t="shared" si="89"/>
        <v>3619.44</v>
      </c>
      <c r="AM210" s="97">
        <f t="shared" si="90"/>
        <v>3619.44</v>
      </c>
      <c r="AN210" s="97">
        <f t="shared" si="91"/>
        <v>3619.44</v>
      </c>
      <c r="AO210" s="97">
        <f t="shared" si="92"/>
        <v>3619.44</v>
      </c>
      <c r="AP210" s="97">
        <f t="shared" si="93"/>
        <v>3619.44</v>
      </c>
      <c r="AQ210" s="97">
        <f t="shared" si="94"/>
        <v>3619.44</v>
      </c>
      <c r="AR210" s="97">
        <f t="shared" si="95"/>
        <v>3619.44</v>
      </c>
    </row>
    <row r="211" spans="1:44" s="98" customFormat="1" ht="13" outlineLevel="2" x14ac:dyDescent="0.35">
      <c r="A211" s="89" t="s">
        <v>204</v>
      </c>
      <c r="B211" s="90" t="s">
        <v>254</v>
      </c>
      <c r="C211" s="93">
        <f>8760/216.7</f>
        <v>40.424550069220125</v>
      </c>
      <c r="D211" s="92">
        <v>8760</v>
      </c>
      <c r="E211" s="92">
        <v>8760</v>
      </c>
      <c r="F211" s="92">
        <v>8760</v>
      </c>
      <c r="G211" s="92">
        <v>8760</v>
      </c>
      <c r="H211" s="92">
        <v>8760</v>
      </c>
      <c r="I211" s="92">
        <v>8760</v>
      </c>
      <c r="J211" s="92">
        <v>8760</v>
      </c>
      <c r="K211" s="92">
        <v>8760</v>
      </c>
      <c r="L211" s="92">
        <v>8760</v>
      </c>
      <c r="M211" s="92">
        <v>8760</v>
      </c>
      <c r="N211" s="92">
        <v>8760</v>
      </c>
      <c r="O211" s="92">
        <v>8760</v>
      </c>
      <c r="P211" s="92">
        <v>8760</v>
      </c>
      <c r="Q211" s="92">
        <v>8760</v>
      </c>
      <c r="R211" s="92">
        <v>8760</v>
      </c>
      <c r="S211" s="92">
        <v>8760</v>
      </c>
      <c r="T211" s="93">
        <v>1</v>
      </c>
      <c r="U211" s="93">
        <f t="shared" si="77"/>
        <v>4.7366666666666672</v>
      </c>
      <c r="V211" s="107">
        <v>5</v>
      </c>
      <c r="W211" s="107">
        <v>6</v>
      </c>
      <c r="X211" s="107">
        <v>3.21</v>
      </c>
      <c r="Y211" s="92">
        <v>177</v>
      </c>
      <c r="Z211" s="92">
        <f>C211/$T211*$U211</f>
        <v>191.47761882787267</v>
      </c>
      <c r="AA211" s="95" t="s">
        <v>348</v>
      </c>
      <c r="AB211" s="97">
        <f t="shared" si="78"/>
        <v>663891.19999999995</v>
      </c>
      <c r="AC211" s="97">
        <f t="shared" si="80"/>
        <v>41493.200000000004</v>
      </c>
      <c r="AD211" s="97">
        <f t="shared" si="81"/>
        <v>41493.200000000004</v>
      </c>
      <c r="AE211" s="97">
        <f t="shared" si="82"/>
        <v>41493.200000000004</v>
      </c>
      <c r="AF211" s="97">
        <f t="shared" si="83"/>
        <v>41493.200000000004</v>
      </c>
      <c r="AG211" s="97">
        <f t="shared" si="84"/>
        <v>41493.200000000004</v>
      </c>
      <c r="AH211" s="97">
        <f t="shared" si="85"/>
        <v>41493.200000000004</v>
      </c>
      <c r="AI211" s="97">
        <f t="shared" si="86"/>
        <v>41493.200000000004</v>
      </c>
      <c r="AJ211" s="97">
        <f t="shared" si="87"/>
        <v>41493.200000000004</v>
      </c>
      <c r="AK211" s="97">
        <f t="shared" si="88"/>
        <v>41493.200000000004</v>
      </c>
      <c r="AL211" s="97">
        <f t="shared" si="89"/>
        <v>41493.200000000004</v>
      </c>
      <c r="AM211" s="97">
        <f t="shared" si="90"/>
        <v>41493.200000000004</v>
      </c>
      <c r="AN211" s="97">
        <f t="shared" si="91"/>
        <v>41493.200000000004</v>
      </c>
      <c r="AO211" s="97">
        <f t="shared" si="92"/>
        <v>41493.200000000004</v>
      </c>
      <c r="AP211" s="97">
        <f t="shared" si="93"/>
        <v>41493.200000000004</v>
      </c>
      <c r="AQ211" s="97">
        <f t="shared" si="94"/>
        <v>41493.200000000004</v>
      </c>
      <c r="AR211" s="97">
        <f t="shared" si="95"/>
        <v>41493.200000000004</v>
      </c>
    </row>
    <row r="212" spans="1:44" s="98" customFormat="1" ht="13" outlineLevel="2" x14ac:dyDescent="0.35">
      <c r="A212" s="89" t="s">
        <v>205</v>
      </c>
      <c r="B212" s="90" t="s">
        <v>254</v>
      </c>
      <c r="C212" s="93">
        <f>8760/216.7</f>
        <v>40.424550069220125</v>
      </c>
      <c r="D212" s="92">
        <v>8760</v>
      </c>
      <c r="E212" s="92">
        <v>8760</v>
      </c>
      <c r="F212" s="92">
        <v>8760</v>
      </c>
      <c r="G212" s="92">
        <v>8760</v>
      </c>
      <c r="H212" s="92">
        <v>8760</v>
      </c>
      <c r="I212" s="92">
        <v>8760</v>
      </c>
      <c r="J212" s="92">
        <v>8760</v>
      </c>
      <c r="K212" s="92">
        <v>8760</v>
      </c>
      <c r="L212" s="92">
        <v>8760</v>
      </c>
      <c r="M212" s="92">
        <v>8760</v>
      </c>
      <c r="N212" s="92">
        <v>8760</v>
      </c>
      <c r="O212" s="92">
        <v>8760</v>
      </c>
      <c r="P212" s="92">
        <v>8760</v>
      </c>
      <c r="Q212" s="92">
        <v>8760</v>
      </c>
      <c r="R212" s="92">
        <v>8760</v>
      </c>
      <c r="S212" s="92">
        <v>8760</v>
      </c>
      <c r="T212" s="93">
        <v>1</v>
      </c>
      <c r="U212" s="93">
        <f t="shared" si="77"/>
        <v>5.1466666666666674</v>
      </c>
      <c r="V212" s="107">
        <v>5</v>
      </c>
      <c r="W212" s="107">
        <v>6</v>
      </c>
      <c r="X212" s="107">
        <v>4.4400000000000004</v>
      </c>
      <c r="Y212" s="92">
        <v>178</v>
      </c>
      <c r="Z212" s="92">
        <f>C212/$T212*$U212</f>
        <v>208.05168435625293</v>
      </c>
      <c r="AA212" s="95" t="s">
        <v>348</v>
      </c>
      <c r="AB212" s="97">
        <f t="shared" si="78"/>
        <v>721356.80000000016</v>
      </c>
      <c r="AC212" s="97">
        <f t="shared" si="80"/>
        <v>45084.800000000003</v>
      </c>
      <c r="AD212" s="97">
        <f t="shared" si="81"/>
        <v>45084.800000000003</v>
      </c>
      <c r="AE212" s="97">
        <f t="shared" si="82"/>
        <v>45084.800000000003</v>
      </c>
      <c r="AF212" s="97">
        <f t="shared" si="83"/>
        <v>45084.800000000003</v>
      </c>
      <c r="AG212" s="97">
        <f t="shared" si="84"/>
        <v>45084.800000000003</v>
      </c>
      <c r="AH212" s="97">
        <f t="shared" si="85"/>
        <v>45084.800000000003</v>
      </c>
      <c r="AI212" s="97">
        <f t="shared" si="86"/>
        <v>45084.800000000003</v>
      </c>
      <c r="AJ212" s="97">
        <f t="shared" si="87"/>
        <v>45084.800000000003</v>
      </c>
      <c r="AK212" s="97">
        <f t="shared" si="88"/>
        <v>45084.800000000003</v>
      </c>
      <c r="AL212" s="97">
        <f t="shared" si="89"/>
        <v>45084.800000000003</v>
      </c>
      <c r="AM212" s="97">
        <f t="shared" si="90"/>
        <v>45084.800000000003</v>
      </c>
      <c r="AN212" s="97">
        <f t="shared" si="91"/>
        <v>45084.800000000003</v>
      </c>
      <c r="AO212" s="97">
        <f t="shared" si="92"/>
        <v>45084.800000000003</v>
      </c>
      <c r="AP212" s="97">
        <f t="shared" si="93"/>
        <v>45084.800000000003</v>
      </c>
      <c r="AQ212" s="97">
        <f t="shared" si="94"/>
        <v>45084.800000000003</v>
      </c>
      <c r="AR212" s="97">
        <f t="shared" si="95"/>
        <v>45084.800000000003</v>
      </c>
    </row>
    <row r="213" spans="1:44" s="98" customFormat="1" ht="13" outlineLevel="2" x14ac:dyDescent="0.35">
      <c r="A213" s="89" t="s">
        <v>337</v>
      </c>
      <c r="B213" s="90" t="s">
        <v>254</v>
      </c>
      <c r="C213" s="93">
        <f>8760*2/216.7</f>
        <v>80.849100138440249</v>
      </c>
      <c r="D213" s="92">
        <v>8760</v>
      </c>
      <c r="E213" s="92"/>
      <c r="F213" s="92"/>
      <c r="G213" s="92"/>
      <c r="H213" s="92"/>
      <c r="I213" s="92"/>
      <c r="J213" s="92"/>
      <c r="K213" s="92"/>
      <c r="L213" s="92">
        <f>8760*2</f>
        <v>17520</v>
      </c>
      <c r="M213" s="92"/>
      <c r="N213" s="92"/>
      <c r="O213" s="92"/>
      <c r="P213" s="92"/>
      <c r="Q213" s="92"/>
      <c r="R213" s="92">
        <v>8760</v>
      </c>
      <c r="S213" s="92">
        <v>8760</v>
      </c>
      <c r="T213" s="93">
        <v>1</v>
      </c>
      <c r="U213" s="93">
        <f t="shared" si="77"/>
        <v>4.7366666666666672</v>
      </c>
      <c r="V213" s="107">
        <v>5</v>
      </c>
      <c r="W213" s="107">
        <v>6</v>
      </c>
      <c r="X213" s="107">
        <v>3.21</v>
      </c>
      <c r="Y213" s="92">
        <v>179</v>
      </c>
      <c r="Z213" s="92">
        <f t="shared" si="74"/>
        <v>382.95523765574535</v>
      </c>
      <c r="AA213" s="95" t="s">
        <v>348</v>
      </c>
      <c r="AB213" s="97">
        <f t="shared" si="78"/>
        <v>207466.00000000003</v>
      </c>
      <c r="AC213" s="97">
        <f t="shared" si="80"/>
        <v>41493.200000000004</v>
      </c>
      <c r="AD213" s="97">
        <f t="shared" si="81"/>
        <v>0</v>
      </c>
      <c r="AE213" s="97">
        <f t="shared" si="82"/>
        <v>0</v>
      </c>
      <c r="AF213" s="97">
        <f t="shared" si="83"/>
        <v>0</v>
      </c>
      <c r="AG213" s="97">
        <f t="shared" si="84"/>
        <v>0</v>
      </c>
      <c r="AH213" s="97">
        <f t="shared" si="85"/>
        <v>0</v>
      </c>
      <c r="AI213" s="97">
        <f t="shared" si="86"/>
        <v>0</v>
      </c>
      <c r="AJ213" s="97">
        <f t="shared" si="87"/>
        <v>0</v>
      </c>
      <c r="AK213" s="97">
        <f t="shared" si="88"/>
        <v>82986.400000000009</v>
      </c>
      <c r="AL213" s="97">
        <f t="shared" si="89"/>
        <v>0</v>
      </c>
      <c r="AM213" s="97">
        <f t="shared" si="90"/>
        <v>0</v>
      </c>
      <c r="AN213" s="97">
        <f t="shared" si="91"/>
        <v>0</v>
      </c>
      <c r="AO213" s="97">
        <f t="shared" si="92"/>
        <v>0</v>
      </c>
      <c r="AP213" s="97">
        <f t="shared" si="93"/>
        <v>0</v>
      </c>
      <c r="AQ213" s="97">
        <f t="shared" si="94"/>
        <v>41493.200000000004</v>
      </c>
      <c r="AR213" s="97">
        <f t="shared" si="95"/>
        <v>41493.200000000004</v>
      </c>
    </row>
    <row r="214" spans="1:44" s="98" customFormat="1" ht="26" outlineLevel="2" x14ac:dyDescent="0.35">
      <c r="A214" s="89" t="s">
        <v>207</v>
      </c>
      <c r="B214" s="90" t="s">
        <v>254</v>
      </c>
      <c r="C214" s="93">
        <f>1/216.7</f>
        <v>4.6146746654360873E-3</v>
      </c>
      <c r="D214" s="92">
        <v>1</v>
      </c>
      <c r="E214" s="92">
        <v>1</v>
      </c>
      <c r="F214" s="92">
        <v>1</v>
      </c>
      <c r="G214" s="92">
        <v>1</v>
      </c>
      <c r="H214" s="92">
        <v>1</v>
      </c>
      <c r="I214" s="92">
        <v>1</v>
      </c>
      <c r="J214" s="92">
        <v>1</v>
      </c>
      <c r="K214" s="92">
        <v>1</v>
      </c>
      <c r="L214" s="92">
        <v>1</v>
      </c>
      <c r="M214" s="92">
        <v>1</v>
      </c>
      <c r="N214" s="92">
        <v>1</v>
      </c>
      <c r="O214" s="92">
        <v>1</v>
      </c>
      <c r="P214" s="92">
        <v>1</v>
      </c>
      <c r="Q214" s="92">
        <v>1</v>
      </c>
      <c r="R214" s="92">
        <v>1</v>
      </c>
      <c r="S214" s="92">
        <v>1</v>
      </c>
      <c r="T214" s="93">
        <v>1</v>
      </c>
      <c r="U214" s="93">
        <f t="shared" si="77"/>
        <v>17631.633333333335</v>
      </c>
      <c r="V214" s="107">
        <v>15334.9</v>
      </c>
      <c r="W214" s="107">
        <v>18000</v>
      </c>
      <c r="X214" s="107">
        <v>19560</v>
      </c>
      <c r="Y214" s="92">
        <v>180</v>
      </c>
      <c r="Z214" s="92">
        <f t="shared" si="74"/>
        <v>81.364251653591779</v>
      </c>
      <c r="AA214" s="95" t="s">
        <v>348</v>
      </c>
      <c r="AB214" s="97">
        <f t="shared" si="78"/>
        <v>282106.13333333336</v>
      </c>
      <c r="AC214" s="97">
        <f t="shared" si="80"/>
        <v>17631.633333333335</v>
      </c>
      <c r="AD214" s="97">
        <f t="shared" si="81"/>
        <v>17631.633333333335</v>
      </c>
      <c r="AE214" s="97">
        <f t="shared" si="82"/>
        <v>17631.633333333335</v>
      </c>
      <c r="AF214" s="97">
        <f t="shared" si="83"/>
        <v>17631.633333333335</v>
      </c>
      <c r="AG214" s="97">
        <f t="shared" si="84"/>
        <v>17631.633333333335</v>
      </c>
      <c r="AH214" s="97">
        <f t="shared" si="85"/>
        <v>17631.633333333335</v>
      </c>
      <c r="AI214" s="97">
        <f t="shared" si="86"/>
        <v>17631.633333333335</v>
      </c>
      <c r="AJ214" s="97">
        <f t="shared" si="87"/>
        <v>17631.633333333335</v>
      </c>
      <c r="AK214" s="97">
        <f t="shared" si="88"/>
        <v>17631.633333333335</v>
      </c>
      <c r="AL214" s="97">
        <f t="shared" si="89"/>
        <v>17631.633333333335</v>
      </c>
      <c r="AM214" s="97">
        <f t="shared" si="90"/>
        <v>17631.633333333335</v>
      </c>
      <c r="AN214" s="97">
        <f t="shared" si="91"/>
        <v>17631.633333333335</v>
      </c>
      <c r="AO214" s="97">
        <f t="shared" si="92"/>
        <v>17631.633333333335</v>
      </c>
      <c r="AP214" s="97">
        <f t="shared" si="93"/>
        <v>17631.633333333335</v>
      </c>
      <c r="AQ214" s="97">
        <f t="shared" si="94"/>
        <v>17631.633333333335</v>
      </c>
      <c r="AR214" s="97">
        <f t="shared" si="95"/>
        <v>17631.633333333335</v>
      </c>
    </row>
    <row r="215" spans="1:44" s="98" customFormat="1" ht="26" outlineLevel="2" x14ac:dyDescent="0.35">
      <c r="A215" s="89" t="s">
        <v>208</v>
      </c>
      <c r="B215" s="90" t="s">
        <v>254</v>
      </c>
      <c r="C215" s="93">
        <f>1/216.7</f>
        <v>4.6146746654360873E-3</v>
      </c>
      <c r="D215" s="92">
        <v>1</v>
      </c>
      <c r="E215" s="92">
        <v>1</v>
      </c>
      <c r="F215" s="92">
        <v>1</v>
      </c>
      <c r="G215" s="92">
        <v>1</v>
      </c>
      <c r="H215" s="92">
        <v>1</v>
      </c>
      <c r="I215" s="92">
        <v>1</v>
      </c>
      <c r="J215" s="92">
        <v>1</v>
      </c>
      <c r="K215" s="92">
        <v>1</v>
      </c>
      <c r="L215" s="92">
        <v>1</v>
      </c>
      <c r="M215" s="92">
        <v>1</v>
      </c>
      <c r="N215" s="92">
        <v>1</v>
      </c>
      <c r="O215" s="92">
        <v>1</v>
      </c>
      <c r="P215" s="92">
        <v>1</v>
      </c>
      <c r="Q215" s="92">
        <v>1</v>
      </c>
      <c r="R215" s="92">
        <v>1</v>
      </c>
      <c r="S215" s="92">
        <v>1</v>
      </c>
      <c r="T215" s="93">
        <v>1</v>
      </c>
      <c r="U215" s="93">
        <f>AVERAGE(V215:X215)*12</f>
        <v>19521.88</v>
      </c>
      <c r="V215" s="107">
        <v>1460.47</v>
      </c>
      <c r="W215" s="107">
        <v>1800</v>
      </c>
      <c r="X215" s="107">
        <v>1620</v>
      </c>
      <c r="Y215" s="92">
        <v>181</v>
      </c>
      <c r="Z215" s="92">
        <f t="shared" si="74"/>
        <v>90.087125057683451</v>
      </c>
      <c r="AA215" s="95" t="s">
        <v>348</v>
      </c>
      <c r="AB215" s="97">
        <f t="shared" si="78"/>
        <v>312350.08000000002</v>
      </c>
      <c r="AC215" s="97">
        <f t="shared" si="80"/>
        <v>19521.88</v>
      </c>
      <c r="AD215" s="97">
        <f t="shared" si="81"/>
        <v>19521.88</v>
      </c>
      <c r="AE215" s="97">
        <f t="shared" si="82"/>
        <v>19521.88</v>
      </c>
      <c r="AF215" s="97">
        <f t="shared" si="83"/>
        <v>19521.88</v>
      </c>
      <c r="AG215" s="97">
        <f t="shared" si="84"/>
        <v>19521.88</v>
      </c>
      <c r="AH215" s="97">
        <f t="shared" si="85"/>
        <v>19521.88</v>
      </c>
      <c r="AI215" s="97">
        <f t="shared" si="86"/>
        <v>19521.88</v>
      </c>
      <c r="AJ215" s="97">
        <f t="shared" si="87"/>
        <v>19521.88</v>
      </c>
      <c r="AK215" s="97">
        <f t="shared" si="88"/>
        <v>19521.88</v>
      </c>
      <c r="AL215" s="97">
        <f t="shared" si="89"/>
        <v>19521.88</v>
      </c>
      <c r="AM215" s="97">
        <f t="shared" si="90"/>
        <v>19521.88</v>
      </c>
      <c r="AN215" s="97">
        <f t="shared" si="91"/>
        <v>19521.88</v>
      </c>
      <c r="AO215" s="97">
        <f t="shared" si="92"/>
        <v>19521.88</v>
      </c>
      <c r="AP215" s="97">
        <f t="shared" si="93"/>
        <v>19521.88</v>
      </c>
      <c r="AQ215" s="97">
        <f t="shared" si="94"/>
        <v>19521.88</v>
      </c>
      <c r="AR215" s="97">
        <f t="shared" si="95"/>
        <v>19521.88</v>
      </c>
    </row>
    <row r="216" spans="1:44" s="98" customFormat="1" ht="13" outlineLevel="2" x14ac:dyDescent="0.35">
      <c r="A216" s="89" t="s">
        <v>215</v>
      </c>
      <c r="B216" s="90" t="s">
        <v>216</v>
      </c>
      <c r="C216" s="93">
        <f>143.26/216.7</f>
        <v>0.66109829257037378</v>
      </c>
      <c r="D216" s="92">
        <v>76.569999999999993</v>
      </c>
      <c r="E216" s="92">
        <v>125.97</v>
      </c>
      <c r="F216" s="92">
        <v>83.98</v>
      </c>
      <c r="G216" s="92">
        <v>66.69</v>
      </c>
      <c r="H216" s="92">
        <v>140.79</v>
      </c>
      <c r="I216" s="92">
        <v>79.040000000000006</v>
      </c>
      <c r="J216" s="92">
        <v>61.75</v>
      </c>
      <c r="K216" s="92">
        <v>79.040000000000006</v>
      </c>
      <c r="L216" s="92">
        <f>66.69+76.57</f>
        <v>143.26</v>
      </c>
      <c r="M216" s="92">
        <v>76.569999999999993</v>
      </c>
      <c r="N216" s="92">
        <v>81.510000000000005</v>
      </c>
      <c r="O216" s="92">
        <v>46.96</v>
      </c>
      <c r="P216" s="92">
        <v>51.87</v>
      </c>
      <c r="Q216" s="92">
        <v>69.16</v>
      </c>
      <c r="R216" s="92">
        <v>69.16</v>
      </c>
      <c r="S216" s="92">
        <v>56.81</v>
      </c>
      <c r="T216" s="93">
        <v>1</v>
      </c>
      <c r="U216" s="93">
        <f t="shared" si="77"/>
        <v>651</v>
      </c>
      <c r="V216" s="107">
        <v>651</v>
      </c>
      <c r="W216" s="107"/>
      <c r="X216" s="107"/>
      <c r="Y216" s="92">
        <v>182</v>
      </c>
      <c r="Z216" s="92">
        <f t="shared" si="74"/>
        <v>430.37498846331334</v>
      </c>
      <c r="AA216" s="95" t="s">
        <v>348</v>
      </c>
      <c r="AB216" s="97">
        <f t="shared" si="78"/>
        <v>852243.63</v>
      </c>
      <c r="AC216" s="97">
        <f t="shared" si="80"/>
        <v>49847.069999999992</v>
      </c>
      <c r="AD216" s="97">
        <f t="shared" si="81"/>
        <v>82006.47</v>
      </c>
      <c r="AE216" s="97">
        <f t="shared" si="82"/>
        <v>54670.98</v>
      </c>
      <c r="AF216" s="97">
        <f t="shared" si="83"/>
        <v>43415.189999999995</v>
      </c>
      <c r="AG216" s="97">
        <f t="shared" si="84"/>
        <v>91654.29</v>
      </c>
      <c r="AH216" s="97">
        <f t="shared" si="85"/>
        <v>51455.040000000001</v>
      </c>
      <c r="AI216" s="97">
        <f t="shared" si="86"/>
        <v>40199.25</v>
      </c>
      <c r="AJ216" s="97">
        <f t="shared" si="87"/>
        <v>51455.040000000001</v>
      </c>
      <c r="AK216" s="97">
        <f t="shared" si="88"/>
        <v>93262.26</v>
      </c>
      <c r="AL216" s="97">
        <f t="shared" si="89"/>
        <v>49847.069999999992</v>
      </c>
      <c r="AM216" s="97">
        <f t="shared" si="90"/>
        <v>53063.01</v>
      </c>
      <c r="AN216" s="97">
        <f t="shared" si="91"/>
        <v>30570.959999999999</v>
      </c>
      <c r="AO216" s="97">
        <f t="shared" si="92"/>
        <v>33767.369999999995</v>
      </c>
      <c r="AP216" s="97">
        <f t="shared" si="93"/>
        <v>45023.159999999996</v>
      </c>
      <c r="AQ216" s="97">
        <f t="shared" si="94"/>
        <v>45023.159999999996</v>
      </c>
      <c r="AR216" s="97">
        <f t="shared" si="95"/>
        <v>36983.310000000005</v>
      </c>
    </row>
    <row r="217" spans="1:44" s="98" customFormat="1" ht="26" outlineLevel="2" x14ac:dyDescent="0.35">
      <c r="A217" s="89" t="s">
        <v>217</v>
      </c>
      <c r="B217" s="90" t="s">
        <v>254</v>
      </c>
      <c r="C217" s="93">
        <f>1/216.7</f>
        <v>4.6146746654360873E-3</v>
      </c>
      <c r="D217" s="92">
        <v>1</v>
      </c>
      <c r="E217" s="92">
        <v>1</v>
      </c>
      <c r="F217" s="92">
        <v>1</v>
      </c>
      <c r="G217" s="92">
        <v>1</v>
      </c>
      <c r="H217" s="92">
        <v>1</v>
      </c>
      <c r="I217" s="92">
        <v>1</v>
      </c>
      <c r="J217" s="92">
        <v>1</v>
      </c>
      <c r="K217" s="92">
        <v>1</v>
      </c>
      <c r="L217" s="92">
        <v>1</v>
      </c>
      <c r="M217" s="92">
        <v>1</v>
      </c>
      <c r="N217" s="92">
        <v>1</v>
      </c>
      <c r="O217" s="92">
        <v>1</v>
      </c>
      <c r="P217" s="92">
        <v>1</v>
      </c>
      <c r="Q217" s="92">
        <v>1</v>
      </c>
      <c r="R217" s="92">
        <v>1</v>
      </c>
      <c r="S217" s="92">
        <v>1</v>
      </c>
      <c r="T217" s="93">
        <v>1</v>
      </c>
      <c r="U217" s="93">
        <f t="shared" si="77"/>
        <v>27379.039999999997</v>
      </c>
      <c r="V217" s="107">
        <v>30000</v>
      </c>
      <c r="W217" s="107">
        <v>26937.119999999999</v>
      </c>
      <c r="X217" s="107">
        <v>25200</v>
      </c>
      <c r="Y217" s="92">
        <v>184</v>
      </c>
      <c r="Z217" s="92">
        <f t="shared" si="74"/>
        <v>126.34536225196123</v>
      </c>
      <c r="AA217" s="95" t="s">
        <v>348</v>
      </c>
      <c r="AB217" s="97">
        <f t="shared" si="78"/>
        <v>438064.6399999999</v>
      </c>
      <c r="AC217" s="97">
        <f t="shared" si="80"/>
        <v>27379.039999999997</v>
      </c>
      <c r="AD217" s="97">
        <f t="shared" si="81"/>
        <v>27379.039999999997</v>
      </c>
      <c r="AE217" s="97">
        <f t="shared" si="82"/>
        <v>27379.039999999997</v>
      </c>
      <c r="AF217" s="97">
        <f t="shared" si="83"/>
        <v>27379.039999999997</v>
      </c>
      <c r="AG217" s="97">
        <f t="shared" si="84"/>
        <v>27379.039999999997</v>
      </c>
      <c r="AH217" s="97">
        <f t="shared" si="85"/>
        <v>27379.039999999997</v>
      </c>
      <c r="AI217" s="97">
        <f t="shared" si="86"/>
        <v>27379.039999999997</v>
      </c>
      <c r="AJ217" s="97">
        <f t="shared" si="87"/>
        <v>27379.039999999997</v>
      </c>
      <c r="AK217" s="97">
        <f t="shared" si="88"/>
        <v>27379.039999999997</v>
      </c>
      <c r="AL217" s="97">
        <f t="shared" si="89"/>
        <v>27379.039999999997</v>
      </c>
      <c r="AM217" s="97">
        <f t="shared" si="90"/>
        <v>27379.039999999997</v>
      </c>
      <c r="AN217" s="97">
        <f t="shared" si="91"/>
        <v>27379.039999999997</v>
      </c>
      <c r="AO217" s="97">
        <f t="shared" si="92"/>
        <v>27379.039999999997</v>
      </c>
      <c r="AP217" s="97">
        <f t="shared" si="93"/>
        <v>27379.039999999997</v>
      </c>
      <c r="AQ217" s="97">
        <f t="shared" si="94"/>
        <v>27379.039999999997</v>
      </c>
      <c r="AR217" s="97">
        <f t="shared" si="95"/>
        <v>27379.039999999997</v>
      </c>
    </row>
    <row r="218" spans="1:44" s="129" customFormat="1" ht="26" outlineLevel="2" x14ac:dyDescent="0.35">
      <c r="A218" s="126" t="s">
        <v>219</v>
      </c>
      <c r="B218" s="127" t="s">
        <v>199</v>
      </c>
      <c r="C218" s="110">
        <v>0</v>
      </c>
      <c r="D218" s="111"/>
      <c r="E218" s="111"/>
      <c r="F218" s="111">
        <v>1600</v>
      </c>
      <c r="G218" s="111"/>
      <c r="H218" s="111"/>
      <c r="I218" s="111"/>
      <c r="J218" s="111"/>
      <c r="K218" s="111"/>
      <c r="L218" s="111"/>
      <c r="M218" s="111"/>
      <c r="N218" s="111"/>
      <c r="O218" s="111"/>
      <c r="P218" s="111"/>
      <c r="Q218" s="111"/>
      <c r="R218" s="111"/>
      <c r="S218" s="111"/>
      <c r="T218" s="110">
        <v>1</v>
      </c>
      <c r="U218" s="110">
        <f t="shared" si="77"/>
        <v>38</v>
      </c>
      <c r="V218" s="111">
        <v>50</v>
      </c>
      <c r="W218" s="111">
        <v>30</v>
      </c>
      <c r="X218" s="111">
        <v>34</v>
      </c>
      <c r="Y218" s="111">
        <v>185</v>
      </c>
      <c r="Z218" s="111">
        <f t="shared" si="74"/>
        <v>0</v>
      </c>
      <c r="AA218" s="128" t="s">
        <v>348</v>
      </c>
      <c r="AB218" s="111">
        <f t="shared" si="78"/>
        <v>60800</v>
      </c>
      <c r="AC218" s="111">
        <f t="shared" si="80"/>
        <v>0</v>
      </c>
      <c r="AD218" s="111">
        <f t="shared" si="81"/>
        <v>0</v>
      </c>
      <c r="AE218" s="111">
        <f t="shared" si="82"/>
        <v>60800</v>
      </c>
      <c r="AF218" s="111">
        <f t="shared" si="83"/>
        <v>0</v>
      </c>
      <c r="AG218" s="111">
        <f t="shared" si="84"/>
        <v>0</v>
      </c>
      <c r="AH218" s="111">
        <f t="shared" si="85"/>
        <v>0</v>
      </c>
      <c r="AI218" s="111">
        <f t="shared" si="86"/>
        <v>0</v>
      </c>
      <c r="AJ218" s="111">
        <f t="shared" si="87"/>
        <v>0</v>
      </c>
      <c r="AK218" s="111">
        <f t="shared" si="88"/>
        <v>0</v>
      </c>
      <c r="AL218" s="111">
        <f t="shared" si="89"/>
        <v>0</v>
      </c>
      <c r="AM218" s="111">
        <f t="shared" si="90"/>
        <v>0</v>
      </c>
      <c r="AN218" s="111">
        <f t="shared" si="91"/>
        <v>0</v>
      </c>
      <c r="AO218" s="111">
        <f t="shared" si="92"/>
        <v>0</v>
      </c>
      <c r="AP218" s="111">
        <f t="shared" si="93"/>
        <v>0</v>
      </c>
      <c r="AQ218" s="111">
        <f t="shared" si="94"/>
        <v>0</v>
      </c>
      <c r="AR218" s="111">
        <f t="shared" si="95"/>
        <v>0</v>
      </c>
    </row>
    <row r="219" spans="1:44" s="98" customFormat="1" ht="18.75" customHeight="1" outlineLevel="2" x14ac:dyDescent="0.35">
      <c r="A219" s="89" t="s">
        <v>229</v>
      </c>
      <c r="B219" s="90" t="s">
        <v>254</v>
      </c>
      <c r="C219" s="93">
        <v>0</v>
      </c>
      <c r="D219" s="92"/>
      <c r="E219" s="92"/>
      <c r="F219" s="92"/>
      <c r="G219" s="92"/>
      <c r="H219" s="92"/>
      <c r="I219" s="92"/>
      <c r="J219" s="92"/>
      <c r="K219" s="92"/>
      <c r="L219" s="92"/>
      <c r="M219" s="92"/>
      <c r="N219" s="92">
        <v>1</v>
      </c>
      <c r="O219" s="92"/>
      <c r="P219" s="92"/>
      <c r="Q219" s="92"/>
      <c r="R219" s="92"/>
      <c r="S219" s="92"/>
      <c r="T219" s="93">
        <v>1</v>
      </c>
      <c r="U219" s="93">
        <f t="shared" si="77"/>
        <v>10987</v>
      </c>
      <c r="V219" s="107">
        <v>10987</v>
      </c>
      <c r="W219" s="107"/>
      <c r="X219" s="107"/>
      <c r="Y219" s="92">
        <v>186</v>
      </c>
      <c r="Z219" s="92">
        <f t="shared" si="74"/>
        <v>0</v>
      </c>
      <c r="AA219" s="95" t="s">
        <v>348</v>
      </c>
      <c r="AB219" s="97">
        <f t="shared" si="78"/>
        <v>10987</v>
      </c>
      <c r="AC219" s="97">
        <f t="shared" si="80"/>
        <v>0</v>
      </c>
      <c r="AD219" s="97">
        <f t="shared" si="81"/>
        <v>0</v>
      </c>
      <c r="AE219" s="97">
        <f t="shared" si="82"/>
        <v>0</v>
      </c>
      <c r="AF219" s="97">
        <f t="shared" si="83"/>
        <v>0</v>
      </c>
      <c r="AG219" s="97">
        <f t="shared" si="84"/>
        <v>0</v>
      </c>
      <c r="AH219" s="97">
        <f t="shared" si="85"/>
        <v>0</v>
      </c>
      <c r="AI219" s="97">
        <f t="shared" si="86"/>
        <v>0</v>
      </c>
      <c r="AJ219" s="97">
        <f t="shared" si="87"/>
        <v>0</v>
      </c>
      <c r="AK219" s="97">
        <f t="shared" si="88"/>
        <v>0</v>
      </c>
      <c r="AL219" s="97">
        <f t="shared" si="89"/>
        <v>0</v>
      </c>
      <c r="AM219" s="97">
        <f t="shared" si="90"/>
        <v>10987</v>
      </c>
      <c r="AN219" s="97">
        <f t="shared" si="91"/>
        <v>0</v>
      </c>
      <c r="AO219" s="97">
        <f t="shared" si="92"/>
        <v>0</v>
      </c>
      <c r="AP219" s="97">
        <f t="shared" si="93"/>
        <v>0</v>
      </c>
      <c r="AQ219" s="97">
        <f t="shared" si="94"/>
        <v>0</v>
      </c>
      <c r="AR219" s="97">
        <f t="shared" si="95"/>
        <v>0</v>
      </c>
    </row>
    <row r="220" spans="1:44" s="129" customFormat="1" ht="26" outlineLevel="2" x14ac:dyDescent="0.35">
      <c r="A220" s="126" t="s">
        <v>209</v>
      </c>
      <c r="B220" s="127" t="s">
        <v>254</v>
      </c>
      <c r="C220" s="110">
        <f>2/216.7</f>
        <v>9.2293493308721747E-3</v>
      </c>
      <c r="D220" s="111">
        <v>2</v>
      </c>
      <c r="E220" s="111">
        <v>2</v>
      </c>
      <c r="F220" s="111">
        <v>2</v>
      </c>
      <c r="G220" s="111">
        <v>2</v>
      </c>
      <c r="H220" s="111">
        <v>2</v>
      </c>
      <c r="I220" s="111">
        <v>2</v>
      </c>
      <c r="J220" s="111">
        <v>2</v>
      </c>
      <c r="K220" s="111">
        <v>2</v>
      </c>
      <c r="L220" s="111">
        <v>2</v>
      </c>
      <c r="M220" s="111">
        <v>2</v>
      </c>
      <c r="N220" s="111">
        <v>2</v>
      </c>
      <c r="O220" s="111">
        <v>2</v>
      </c>
      <c r="P220" s="111">
        <v>2</v>
      </c>
      <c r="Q220" s="111">
        <v>2</v>
      </c>
      <c r="R220" s="111">
        <v>2</v>
      </c>
      <c r="S220" s="111">
        <v>2</v>
      </c>
      <c r="T220" s="110">
        <v>1</v>
      </c>
      <c r="U220" s="110">
        <f t="shared" si="77"/>
        <v>5450.5466666666662</v>
      </c>
      <c r="V220" s="111">
        <v>4200</v>
      </c>
      <c r="W220" s="111">
        <v>2500</v>
      </c>
      <c r="X220" s="111">
        <v>9651.64</v>
      </c>
      <c r="Y220" s="111">
        <v>187</v>
      </c>
      <c r="Z220" s="111">
        <f>C220/$T220*$U220</f>
        <v>50.30499923088756</v>
      </c>
      <c r="AA220" s="128" t="s">
        <v>348</v>
      </c>
      <c r="AB220" s="111">
        <f t="shared" si="78"/>
        <v>174417.49333333332</v>
      </c>
      <c r="AC220" s="111">
        <f t="shared" si="80"/>
        <v>10901.093333333332</v>
      </c>
      <c r="AD220" s="111">
        <f t="shared" si="81"/>
        <v>10901.093333333332</v>
      </c>
      <c r="AE220" s="111">
        <f t="shared" si="82"/>
        <v>10901.093333333332</v>
      </c>
      <c r="AF220" s="111">
        <f t="shared" si="83"/>
        <v>10901.093333333332</v>
      </c>
      <c r="AG220" s="111">
        <f t="shared" si="84"/>
        <v>10901.093333333332</v>
      </c>
      <c r="AH220" s="111">
        <f t="shared" si="85"/>
        <v>10901.093333333332</v>
      </c>
      <c r="AI220" s="111">
        <f t="shared" si="86"/>
        <v>10901.093333333332</v>
      </c>
      <c r="AJ220" s="111">
        <f t="shared" si="87"/>
        <v>10901.093333333332</v>
      </c>
      <c r="AK220" s="111">
        <f t="shared" si="88"/>
        <v>10901.093333333332</v>
      </c>
      <c r="AL220" s="111">
        <f t="shared" si="89"/>
        <v>10901.093333333332</v>
      </c>
      <c r="AM220" s="111">
        <f t="shared" si="90"/>
        <v>10901.093333333332</v>
      </c>
      <c r="AN220" s="111">
        <f t="shared" si="91"/>
        <v>10901.093333333332</v>
      </c>
      <c r="AO220" s="111">
        <f t="shared" si="92"/>
        <v>10901.093333333332</v>
      </c>
      <c r="AP220" s="111">
        <f t="shared" si="93"/>
        <v>10901.093333333332</v>
      </c>
      <c r="AQ220" s="111">
        <f t="shared" si="94"/>
        <v>10901.093333333332</v>
      </c>
      <c r="AR220" s="111">
        <f t="shared" si="95"/>
        <v>10901.093333333332</v>
      </c>
    </row>
    <row r="221" spans="1:44" s="98" customFormat="1" ht="26" outlineLevel="2" x14ac:dyDescent="0.35">
      <c r="A221" s="89" t="s">
        <v>253</v>
      </c>
      <c r="B221" s="90" t="s">
        <v>254</v>
      </c>
      <c r="C221" s="93">
        <v>0</v>
      </c>
      <c r="D221" s="92"/>
      <c r="E221" s="92">
        <v>1</v>
      </c>
      <c r="F221" s="92"/>
      <c r="G221" s="92"/>
      <c r="H221" s="92"/>
      <c r="I221" s="92"/>
      <c r="J221" s="92"/>
      <c r="K221" s="92">
        <v>1</v>
      </c>
      <c r="L221" s="92"/>
      <c r="M221" s="92"/>
      <c r="N221" s="92">
        <v>1</v>
      </c>
      <c r="O221" s="92"/>
      <c r="P221" s="92"/>
      <c r="Q221" s="92"/>
      <c r="R221" s="92">
        <v>1</v>
      </c>
      <c r="S221" s="92"/>
      <c r="T221" s="93">
        <v>1</v>
      </c>
      <c r="U221" s="93">
        <f t="shared" si="77"/>
        <v>8966.6666666666661</v>
      </c>
      <c r="V221" s="107">
        <v>8000</v>
      </c>
      <c r="W221" s="107">
        <v>8900</v>
      </c>
      <c r="X221" s="107">
        <v>10000</v>
      </c>
      <c r="Y221" s="92">
        <v>188</v>
      </c>
      <c r="Z221" s="92">
        <f t="shared" si="74"/>
        <v>0</v>
      </c>
      <c r="AA221" s="95" t="s">
        <v>348</v>
      </c>
      <c r="AB221" s="97">
        <f t="shared" si="78"/>
        <v>35866.666666666664</v>
      </c>
      <c r="AC221" s="97">
        <f t="shared" si="80"/>
        <v>0</v>
      </c>
      <c r="AD221" s="97">
        <f t="shared" si="81"/>
        <v>8966.6666666666661</v>
      </c>
      <c r="AE221" s="97">
        <f t="shared" si="82"/>
        <v>0</v>
      </c>
      <c r="AF221" s="97">
        <f t="shared" si="83"/>
        <v>0</v>
      </c>
      <c r="AG221" s="97">
        <f t="shared" si="84"/>
        <v>0</v>
      </c>
      <c r="AH221" s="97">
        <f t="shared" si="85"/>
        <v>0</v>
      </c>
      <c r="AI221" s="97">
        <f t="shared" si="86"/>
        <v>0</v>
      </c>
      <c r="AJ221" s="97">
        <f t="shared" si="87"/>
        <v>8966.6666666666661</v>
      </c>
      <c r="AK221" s="97">
        <f t="shared" si="88"/>
        <v>0</v>
      </c>
      <c r="AL221" s="97">
        <f t="shared" si="89"/>
        <v>0</v>
      </c>
      <c r="AM221" s="97">
        <f t="shared" si="90"/>
        <v>8966.6666666666661</v>
      </c>
      <c r="AN221" s="97">
        <f t="shared" si="91"/>
        <v>0</v>
      </c>
      <c r="AO221" s="97">
        <f t="shared" si="92"/>
        <v>0</v>
      </c>
      <c r="AP221" s="97">
        <f t="shared" si="93"/>
        <v>0</v>
      </c>
      <c r="AQ221" s="97">
        <f t="shared" si="94"/>
        <v>8966.6666666666661</v>
      </c>
      <c r="AR221" s="97">
        <f t="shared" si="95"/>
        <v>0</v>
      </c>
    </row>
    <row r="222" spans="1:44" ht="104" outlineLevel="1" x14ac:dyDescent="0.35">
      <c r="A222" s="86" t="s">
        <v>42</v>
      </c>
      <c r="B222" s="87" t="s">
        <v>3</v>
      </c>
      <c r="C222" s="83" t="s">
        <v>3</v>
      </c>
      <c r="D222" s="83" t="s">
        <v>3</v>
      </c>
      <c r="E222" s="83" t="s">
        <v>3</v>
      </c>
      <c r="F222" s="83" t="s">
        <v>3</v>
      </c>
      <c r="G222" s="83" t="s">
        <v>3</v>
      </c>
      <c r="H222" s="83" t="s">
        <v>3</v>
      </c>
      <c r="I222" s="83" t="s">
        <v>3</v>
      </c>
      <c r="J222" s="83" t="s">
        <v>3</v>
      </c>
      <c r="K222" s="83" t="s">
        <v>3</v>
      </c>
      <c r="L222" s="83" t="s">
        <v>3</v>
      </c>
      <c r="M222" s="83" t="s">
        <v>3</v>
      </c>
      <c r="N222" s="83" t="s">
        <v>3</v>
      </c>
      <c r="O222" s="83" t="s">
        <v>3</v>
      </c>
      <c r="P222" s="83" t="s">
        <v>3</v>
      </c>
      <c r="Q222" s="83" t="s">
        <v>3</v>
      </c>
      <c r="R222" s="83" t="s">
        <v>3</v>
      </c>
      <c r="S222" s="83" t="s">
        <v>3</v>
      </c>
      <c r="T222" s="83" t="s">
        <v>3</v>
      </c>
      <c r="U222" s="83" t="s">
        <v>3</v>
      </c>
      <c r="V222" s="83" t="s">
        <v>3</v>
      </c>
      <c r="W222" s="83" t="s">
        <v>3</v>
      </c>
      <c r="X222" s="83" t="s">
        <v>3</v>
      </c>
      <c r="Y222" s="83" t="s">
        <v>3</v>
      </c>
      <c r="Z222" s="83" t="s">
        <v>3</v>
      </c>
      <c r="AA222" s="83" t="s">
        <v>3</v>
      </c>
      <c r="AB222" s="84">
        <f t="shared" ref="AB222:AB233" si="96">SUM(AC222:AR222)</f>
        <v>27800</v>
      </c>
      <c r="AC222" s="88">
        <f>SUM(AC223:AC224)</f>
        <v>4933.333333333333</v>
      </c>
      <c r="AD222" s="88">
        <f t="shared" ref="AD222:AR222" si="97">SUM(AD223:AD224)</f>
        <v>13000</v>
      </c>
      <c r="AE222" s="88">
        <f t="shared" si="97"/>
        <v>2466.6666666666665</v>
      </c>
      <c r="AF222" s="88">
        <f t="shared" si="97"/>
        <v>0</v>
      </c>
      <c r="AG222" s="88">
        <f t="shared" si="97"/>
        <v>0</v>
      </c>
      <c r="AH222" s="88">
        <f t="shared" si="97"/>
        <v>2466.6666666666665</v>
      </c>
      <c r="AI222" s="88">
        <f t="shared" si="97"/>
        <v>0</v>
      </c>
      <c r="AJ222" s="88">
        <f t="shared" si="97"/>
        <v>1233.3333333333333</v>
      </c>
      <c r="AK222" s="88">
        <f t="shared" si="97"/>
        <v>1233.3333333333333</v>
      </c>
      <c r="AL222" s="88">
        <f t="shared" si="97"/>
        <v>0</v>
      </c>
      <c r="AM222" s="88">
        <f t="shared" si="97"/>
        <v>2466.6666666666665</v>
      </c>
      <c r="AN222" s="88">
        <f t="shared" si="97"/>
        <v>0</v>
      </c>
      <c r="AO222" s="88">
        <f t="shared" si="97"/>
        <v>0</v>
      </c>
      <c r="AP222" s="88">
        <f t="shared" si="97"/>
        <v>0</v>
      </c>
      <c r="AQ222" s="88">
        <f t="shared" si="97"/>
        <v>0</v>
      </c>
      <c r="AR222" s="88">
        <f t="shared" si="97"/>
        <v>0</v>
      </c>
    </row>
    <row r="223" spans="1:44" s="106" customFormat="1" ht="26" outlineLevel="2" x14ac:dyDescent="0.35">
      <c r="A223" s="89" t="s">
        <v>230</v>
      </c>
      <c r="B223" s="90" t="s">
        <v>20</v>
      </c>
      <c r="C223" s="93">
        <f>1/216.7</f>
        <v>4.6146746654360873E-3</v>
      </c>
      <c r="D223" s="92">
        <v>4</v>
      </c>
      <c r="E223" s="92"/>
      <c r="F223" s="92">
        <v>2</v>
      </c>
      <c r="G223" s="92"/>
      <c r="H223" s="92"/>
      <c r="I223" s="92">
        <v>2</v>
      </c>
      <c r="J223" s="92"/>
      <c r="K223" s="92">
        <v>1</v>
      </c>
      <c r="L223" s="92">
        <v>1</v>
      </c>
      <c r="M223" s="92"/>
      <c r="N223" s="92">
        <v>2</v>
      </c>
      <c r="O223" s="92"/>
      <c r="P223" s="92"/>
      <c r="Q223" s="92"/>
      <c r="R223" s="92"/>
      <c r="S223" s="92"/>
      <c r="T223" s="93">
        <v>1</v>
      </c>
      <c r="U223" s="93">
        <f t="shared" si="77"/>
        <v>1233.3333333333333</v>
      </c>
      <c r="V223" s="92">
        <v>1000</v>
      </c>
      <c r="W223" s="92">
        <v>1500</v>
      </c>
      <c r="X223" s="92">
        <v>1200</v>
      </c>
      <c r="Y223" s="92">
        <v>189</v>
      </c>
      <c r="Z223" s="92">
        <f t="shared" si="74"/>
        <v>5.6914320873711741</v>
      </c>
      <c r="AA223" s="95" t="s">
        <v>349</v>
      </c>
      <c r="AB223" s="97">
        <f t="shared" si="96"/>
        <v>14800</v>
      </c>
      <c r="AC223" s="97">
        <f t="shared" ref="AC223:AR224" si="98">D223*$U223</f>
        <v>4933.333333333333</v>
      </c>
      <c r="AD223" s="97">
        <f t="shared" si="98"/>
        <v>0</v>
      </c>
      <c r="AE223" s="97">
        <f t="shared" si="98"/>
        <v>2466.6666666666665</v>
      </c>
      <c r="AF223" s="97">
        <f t="shared" si="98"/>
        <v>0</v>
      </c>
      <c r="AG223" s="97">
        <f t="shared" si="98"/>
        <v>0</v>
      </c>
      <c r="AH223" s="97">
        <f t="shared" si="98"/>
        <v>2466.6666666666665</v>
      </c>
      <c r="AI223" s="97">
        <f t="shared" si="98"/>
        <v>0</v>
      </c>
      <c r="AJ223" s="97">
        <f t="shared" si="98"/>
        <v>1233.3333333333333</v>
      </c>
      <c r="AK223" s="97">
        <f t="shared" si="98"/>
        <v>1233.3333333333333</v>
      </c>
      <c r="AL223" s="97">
        <f t="shared" si="98"/>
        <v>0</v>
      </c>
      <c r="AM223" s="97">
        <f t="shared" si="98"/>
        <v>2466.6666666666665</v>
      </c>
      <c r="AN223" s="97">
        <f t="shared" si="98"/>
        <v>0</v>
      </c>
      <c r="AO223" s="97">
        <f t="shared" si="98"/>
        <v>0</v>
      </c>
      <c r="AP223" s="97">
        <f t="shared" si="98"/>
        <v>0</v>
      </c>
      <c r="AQ223" s="97">
        <f t="shared" si="98"/>
        <v>0</v>
      </c>
      <c r="AR223" s="97">
        <f t="shared" si="98"/>
        <v>0</v>
      </c>
    </row>
    <row r="224" spans="1:44" s="98" customFormat="1" ht="26" outlineLevel="2" x14ac:dyDescent="0.35">
      <c r="A224" s="89" t="s">
        <v>228</v>
      </c>
      <c r="B224" s="90" t="s">
        <v>199</v>
      </c>
      <c r="C224" s="93">
        <v>0</v>
      </c>
      <c r="D224" s="92"/>
      <c r="E224" s="92">
        <v>300</v>
      </c>
      <c r="F224" s="92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3">
        <v>1</v>
      </c>
      <c r="U224" s="93">
        <f t="shared" si="77"/>
        <v>43.333333333333336</v>
      </c>
      <c r="V224" s="107">
        <v>34</v>
      </c>
      <c r="W224" s="107">
        <v>50</v>
      </c>
      <c r="X224" s="107">
        <v>46</v>
      </c>
      <c r="Y224" s="92">
        <v>190</v>
      </c>
      <c r="Z224" s="92">
        <f t="shared" si="74"/>
        <v>0</v>
      </c>
      <c r="AA224" s="95" t="s">
        <v>349</v>
      </c>
      <c r="AB224" s="97">
        <f t="shared" si="96"/>
        <v>13000</v>
      </c>
      <c r="AC224" s="97">
        <f t="shared" si="98"/>
        <v>0</v>
      </c>
      <c r="AD224" s="97">
        <f>E224*$U224</f>
        <v>13000</v>
      </c>
      <c r="AE224" s="97">
        <f t="shared" si="98"/>
        <v>0</v>
      </c>
      <c r="AF224" s="97">
        <f t="shared" si="98"/>
        <v>0</v>
      </c>
      <c r="AG224" s="97">
        <f t="shared" si="98"/>
        <v>0</v>
      </c>
      <c r="AH224" s="97">
        <f t="shared" si="98"/>
        <v>0</v>
      </c>
      <c r="AI224" s="97">
        <f t="shared" si="98"/>
        <v>0</v>
      </c>
      <c r="AJ224" s="97">
        <f t="shared" si="98"/>
        <v>0</v>
      </c>
      <c r="AK224" s="97">
        <f t="shared" si="98"/>
        <v>0</v>
      </c>
      <c r="AL224" s="97">
        <f t="shared" si="98"/>
        <v>0</v>
      </c>
      <c r="AM224" s="97">
        <f t="shared" si="98"/>
        <v>0</v>
      </c>
      <c r="AN224" s="97">
        <f t="shared" si="98"/>
        <v>0</v>
      </c>
      <c r="AO224" s="97">
        <f t="shared" si="98"/>
        <v>0</v>
      </c>
      <c r="AP224" s="97">
        <f t="shared" si="98"/>
        <v>0</v>
      </c>
      <c r="AQ224" s="97">
        <f t="shared" si="98"/>
        <v>0</v>
      </c>
      <c r="AR224" s="97">
        <f t="shared" si="98"/>
        <v>0</v>
      </c>
    </row>
    <row r="225" spans="1:44" ht="26" outlineLevel="1" x14ac:dyDescent="0.35">
      <c r="A225" s="86" t="s">
        <v>44</v>
      </c>
      <c r="B225" s="87" t="s">
        <v>3</v>
      </c>
      <c r="C225" s="83" t="s">
        <v>3</v>
      </c>
      <c r="D225" s="83" t="s">
        <v>3</v>
      </c>
      <c r="E225" s="83" t="s">
        <v>3</v>
      </c>
      <c r="F225" s="83" t="s">
        <v>3</v>
      </c>
      <c r="G225" s="83" t="s">
        <v>3</v>
      </c>
      <c r="H225" s="83" t="s">
        <v>3</v>
      </c>
      <c r="I225" s="83" t="s">
        <v>3</v>
      </c>
      <c r="J225" s="83" t="s">
        <v>3</v>
      </c>
      <c r="K225" s="83" t="s">
        <v>3</v>
      </c>
      <c r="L225" s="83" t="s">
        <v>3</v>
      </c>
      <c r="M225" s="83" t="s">
        <v>3</v>
      </c>
      <c r="N225" s="83" t="s">
        <v>3</v>
      </c>
      <c r="O225" s="83" t="s">
        <v>3</v>
      </c>
      <c r="P225" s="83" t="s">
        <v>3</v>
      </c>
      <c r="Q225" s="83" t="s">
        <v>3</v>
      </c>
      <c r="R225" s="83" t="s">
        <v>3</v>
      </c>
      <c r="S225" s="83" t="s">
        <v>3</v>
      </c>
      <c r="T225" s="83" t="s">
        <v>3</v>
      </c>
      <c r="U225" s="83" t="s">
        <v>3</v>
      </c>
      <c r="V225" s="83" t="s">
        <v>3</v>
      </c>
      <c r="W225" s="83" t="s">
        <v>3</v>
      </c>
      <c r="X225" s="83" t="s">
        <v>3</v>
      </c>
      <c r="Y225" s="83" t="s">
        <v>3</v>
      </c>
      <c r="Z225" s="83" t="s">
        <v>3</v>
      </c>
      <c r="AA225" s="83" t="s">
        <v>3</v>
      </c>
      <c r="AB225" s="84">
        <f t="shared" si="96"/>
        <v>447456</v>
      </c>
      <c r="AC225" s="88">
        <f>SUM(AC226:AC227)</f>
        <v>27966</v>
      </c>
      <c r="AD225" s="88">
        <f t="shared" ref="AD225:AR225" si="99">SUM(AD226:AD227)</f>
        <v>27966</v>
      </c>
      <c r="AE225" s="88">
        <f t="shared" si="99"/>
        <v>27966</v>
      </c>
      <c r="AF225" s="88">
        <f t="shared" si="99"/>
        <v>27966</v>
      </c>
      <c r="AG225" s="88">
        <f t="shared" si="99"/>
        <v>27966</v>
      </c>
      <c r="AH225" s="88">
        <f t="shared" si="99"/>
        <v>27966</v>
      </c>
      <c r="AI225" s="88">
        <f t="shared" si="99"/>
        <v>27966</v>
      </c>
      <c r="AJ225" s="88">
        <f t="shared" si="99"/>
        <v>27966</v>
      </c>
      <c r="AK225" s="88">
        <f t="shared" si="99"/>
        <v>27966</v>
      </c>
      <c r="AL225" s="88">
        <f t="shared" si="99"/>
        <v>27966</v>
      </c>
      <c r="AM225" s="88">
        <f t="shared" si="99"/>
        <v>27966</v>
      </c>
      <c r="AN225" s="88">
        <f t="shared" si="99"/>
        <v>27966</v>
      </c>
      <c r="AO225" s="88">
        <f t="shared" si="99"/>
        <v>27966</v>
      </c>
      <c r="AP225" s="88">
        <f t="shared" si="99"/>
        <v>27966</v>
      </c>
      <c r="AQ225" s="88">
        <f t="shared" si="99"/>
        <v>27966</v>
      </c>
      <c r="AR225" s="88">
        <f t="shared" si="99"/>
        <v>27966</v>
      </c>
    </row>
    <row r="226" spans="1:44" ht="26" outlineLevel="2" x14ac:dyDescent="0.35">
      <c r="A226" s="114" t="s">
        <v>239</v>
      </c>
      <c r="B226" s="90" t="s">
        <v>254</v>
      </c>
      <c r="C226" s="93">
        <f>1/216.7</f>
        <v>4.6146746654360873E-3</v>
      </c>
      <c r="D226" s="130">
        <v>1</v>
      </c>
      <c r="E226" s="130">
        <v>1</v>
      </c>
      <c r="F226" s="130">
        <v>1</v>
      </c>
      <c r="G226" s="130">
        <v>1</v>
      </c>
      <c r="H226" s="130">
        <v>1</v>
      </c>
      <c r="I226" s="130">
        <v>1</v>
      </c>
      <c r="J226" s="130">
        <v>1</v>
      </c>
      <c r="K226" s="130">
        <v>1</v>
      </c>
      <c r="L226" s="130">
        <v>1</v>
      </c>
      <c r="M226" s="130">
        <v>1</v>
      </c>
      <c r="N226" s="130">
        <v>1</v>
      </c>
      <c r="O226" s="130">
        <v>1</v>
      </c>
      <c r="P226" s="130">
        <v>1</v>
      </c>
      <c r="Q226" s="130">
        <v>1</v>
      </c>
      <c r="R226" s="130">
        <v>1</v>
      </c>
      <c r="S226" s="130">
        <v>1</v>
      </c>
      <c r="T226" s="115">
        <v>1</v>
      </c>
      <c r="U226" s="93">
        <f>914.5*12</f>
        <v>10974</v>
      </c>
      <c r="V226" s="92"/>
      <c r="W226" s="92"/>
      <c r="X226" s="92"/>
      <c r="Y226" s="92" t="e">
        <f>AVERAGE(V226:X226)</f>
        <v>#DIV/0!</v>
      </c>
      <c r="Z226" s="92">
        <f t="shared" si="74"/>
        <v>50.641439778495624</v>
      </c>
      <c r="AA226" s="95" t="s">
        <v>349</v>
      </c>
      <c r="AB226" s="97">
        <f t="shared" si="96"/>
        <v>175584</v>
      </c>
      <c r="AC226" s="97">
        <f t="shared" ref="AC226:AR227" si="100">D226*$U226</f>
        <v>10974</v>
      </c>
      <c r="AD226" s="97">
        <f t="shared" si="100"/>
        <v>10974</v>
      </c>
      <c r="AE226" s="97">
        <f t="shared" si="100"/>
        <v>10974</v>
      </c>
      <c r="AF226" s="97">
        <f t="shared" si="100"/>
        <v>10974</v>
      </c>
      <c r="AG226" s="97">
        <f t="shared" si="100"/>
        <v>10974</v>
      </c>
      <c r="AH226" s="97">
        <f t="shared" si="100"/>
        <v>10974</v>
      </c>
      <c r="AI226" s="97">
        <f t="shared" si="100"/>
        <v>10974</v>
      </c>
      <c r="AJ226" s="97">
        <f t="shared" si="100"/>
        <v>10974</v>
      </c>
      <c r="AK226" s="97">
        <f t="shared" si="100"/>
        <v>10974</v>
      </c>
      <c r="AL226" s="97">
        <f t="shared" si="100"/>
        <v>10974</v>
      </c>
      <c r="AM226" s="97">
        <f t="shared" si="100"/>
        <v>10974</v>
      </c>
      <c r="AN226" s="97">
        <f t="shared" si="100"/>
        <v>10974</v>
      </c>
      <c r="AO226" s="97">
        <f t="shared" si="100"/>
        <v>10974</v>
      </c>
      <c r="AP226" s="97">
        <f t="shared" si="100"/>
        <v>10974</v>
      </c>
      <c r="AQ226" s="97">
        <f t="shared" si="100"/>
        <v>10974</v>
      </c>
      <c r="AR226" s="97">
        <f t="shared" si="100"/>
        <v>10974</v>
      </c>
    </row>
    <row r="227" spans="1:44" ht="26" outlineLevel="2" x14ac:dyDescent="0.35">
      <c r="A227" s="114" t="s">
        <v>240</v>
      </c>
      <c r="B227" s="90" t="s">
        <v>254</v>
      </c>
      <c r="C227" s="93">
        <f>1/216.7</f>
        <v>4.6146746654360873E-3</v>
      </c>
      <c r="D227" s="130">
        <v>1</v>
      </c>
      <c r="E227" s="130">
        <v>1</v>
      </c>
      <c r="F227" s="130">
        <v>1</v>
      </c>
      <c r="G227" s="130">
        <v>1</v>
      </c>
      <c r="H227" s="130">
        <v>1</v>
      </c>
      <c r="I227" s="130">
        <v>1</v>
      </c>
      <c r="J227" s="130">
        <v>1</v>
      </c>
      <c r="K227" s="130">
        <v>1</v>
      </c>
      <c r="L227" s="130">
        <v>1</v>
      </c>
      <c r="M227" s="130">
        <v>1</v>
      </c>
      <c r="N227" s="130">
        <v>1</v>
      </c>
      <c r="O227" s="130">
        <v>1</v>
      </c>
      <c r="P227" s="130">
        <v>1</v>
      </c>
      <c r="Q227" s="130">
        <v>1</v>
      </c>
      <c r="R227" s="130">
        <v>1</v>
      </c>
      <c r="S227" s="130">
        <v>1</v>
      </c>
      <c r="T227" s="115">
        <v>1</v>
      </c>
      <c r="U227" s="93">
        <f>1416*12</f>
        <v>16992</v>
      </c>
      <c r="V227" s="92"/>
      <c r="W227" s="92"/>
      <c r="X227" s="92"/>
      <c r="Y227" s="92" t="e">
        <f>AVERAGE(V227:X227)</f>
        <v>#DIV/0!</v>
      </c>
      <c r="Z227" s="92">
        <f t="shared" si="74"/>
        <v>78.412551915089992</v>
      </c>
      <c r="AA227" s="95" t="s">
        <v>349</v>
      </c>
      <c r="AB227" s="97">
        <f t="shared" si="96"/>
        <v>271872</v>
      </c>
      <c r="AC227" s="97">
        <f t="shared" si="100"/>
        <v>16992</v>
      </c>
      <c r="AD227" s="97">
        <f t="shared" si="100"/>
        <v>16992</v>
      </c>
      <c r="AE227" s="97">
        <f t="shared" si="100"/>
        <v>16992</v>
      </c>
      <c r="AF227" s="97">
        <f t="shared" si="100"/>
        <v>16992</v>
      </c>
      <c r="AG227" s="97">
        <f t="shared" si="100"/>
        <v>16992</v>
      </c>
      <c r="AH227" s="97">
        <f t="shared" si="100"/>
        <v>16992</v>
      </c>
      <c r="AI227" s="97">
        <f t="shared" si="100"/>
        <v>16992</v>
      </c>
      <c r="AJ227" s="97">
        <f t="shared" si="100"/>
        <v>16992</v>
      </c>
      <c r="AK227" s="97">
        <f t="shared" si="100"/>
        <v>16992</v>
      </c>
      <c r="AL227" s="97">
        <f t="shared" si="100"/>
        <v>16992</v>
      </c>
      <c r="AM227" s="97">
        <f t="shared" si="100"/>
        <v>16992</v>
      </c>
      <c r="AN227" s="97">
        <f t="shared" si="100"/>
        <v>16992</v>
      </c>
      <c r="AO227" s="97">
        <f t="shared" si="100"/>
        <v>16992</v>
      </c>
      <c r="AP227" s="97">
        <f t="shared" si="100"/>
        <v>16992</v>
      </c>
      <c r="AQ227" s="97">
        <f t="shared" si="100"/>
        <v>16992</v>
      </c>
      <c r="AR227" s="97">
        <f t="shared" si="100"/>
        <v>16992</v>
      </c>
    </row>
    <row r="228" spans="1:44" ht="39" outlineLevel="1" x14ac:dyDescent="0.35">
      <c r="A228" s="86" t="s">
        <v>49</v>
      </c>
      <c r="B228" s="87" t="s">
        <v>3</v>
      </c>
      <c r="C228" s="83" t="s">
        <v>3</v>
      </c>
      <c r="D228" s="83" t="s">
        <v>3</v>
      </c>
      <c r="E228" s="83" t="s">
        <v>3</v>
      </c>
      <c r="F228" s="83" t="s">
        <v>3</v>
      </c>
      <c r="G228" s="83" t="s">
        <v>3</v>
      </c>
      <c r="H228" s="83" t="s">
        <v>3</v>
      </c>
      <c r="I228" s="83" t="s">
        <v>3</v>
      </c>
      <c r="J228" s="83" t="s">
        <v>3</v>
      </c>
      <c r="K228" s="83" t="s">
        <v>3</v>
      </c>
      <c r="L228" s="83" t="s">
        <v>3</v>
      </c>
      <c r="M228" s="83" t="s">
        <v>3</v>
      </c>
      <c r="N228" s="83" t="s">
        <v>3</v>
      </c>
      <c r="O228" s="83" t="s">
        <v>3</v>
      </c>
      <c r="P228" s="83" t="s">
        <v>3</v>
      </c>
      <c r="Q228" s="83" t="s">
        <v>3</v>
      </c>
      <c r="R228" s="83" t="s">
        <v>3</v>
      </c>
      <c r="S228" s="83" t="s">
        <v>3</v>
      </c>
      <c r="T228" s="83" t="s">
        <v>3</v>
      </c>
      <c r="U228" s="83" t="s">
        <v>3</v>
      </c>
      <c r="V228" s="83" t="s">
        <v>3</v>
      </c>
      <c r="W228" s="83" t="s">
        <v>3</v>
      </c>
      <c r="X228" s="83" t="s">
        <v>3</v>
      </c>
      <c r="Y228" s="83" t="s">
        <v>3</v>
      </c>
      <c r="Z228" s="83" t="s">
        <v>3</v>
      </c>
      <c r="AA228" s="83" t="s">
        <v>3</v>
      </c>
      <c r="AB228" s="84">
        <f t="shared" si="96"/>
        <v>0</v>
      </c>
      <c r="AC228" s="88">
        <f t="shared" ref="AC228:AR228" si="101">SUM(AC229:AC229)</f>
        <v>0</v>
      </c>
      <c r="AD228" s="88">
        <f t="shared" si="101"/>
        <v>0</v>
      </c>
      <c r="AE228" s="88">
        <f t="shared" si="101"/>
        <v>0</v>
      </c>
      <c r="AF228" s="88">
        <f t="shared" si="101"/>
        <v>0</v>
      </c>
      <c r="AG228" s="88">
        <f t="shared" si="101"/>
        <v>0</v>
      </c>
      <c r="AH228" s="88">
        <f t="shared" si="101"/>
        <v>0</v>
      </c>
      <c r="AI228" s="88">
        <f t="shared" si="101"/>
        <v>0</v>
      </c>
      <c r="AJ228" s="88">
        <f t="shared" si="101"/>
        <v>0</v>
      </c>
      <c r="AK228" s="88">
        <f t="shared" si="101"/>
        <v>0</v>
      </c>
      <c r="AL228" s="88">
        <f t="shared" si="101"/>
        <v>0</v>
      </c>
      <c r="AM228" s="88">
        <f t="shared" si="101"/>
        <v>0</v>
      </c>
      <c r="AN228" s="88">
        <f t="shared" si="101"/>
        <v>0</v>
      </c>
      <c r="AO228" s="88">
        <f t="shared" si="101"/>
        <v>0</v>
      </c>
      <c r="AP228" s="88">
        <f t="shared" si="101"/>
        <v>0</v>
      </c>
      <c r="AQ228" s="88">
        <f t="shared" si="101"/>
        <v>0</v>
      </c>
      <c r="AR228" s="88">
        <f t="shared" si="101"/>
        <v>0</v>
      </c>
    </row>
    <row r="229" spans="1:44" s="98" customFormat="1" ht="13" outlineLevel="2" x14ac:dyDescent="0.35">
      <c r="A229" s="89"/>
      <c r="B229" s="90"/>
      <c r="C229" s="93">
        <f>SUM(D229:S229)</f>
        <v>0</v>
      </c>
      <c r="D229" s="92"/>
      <c r="E229" s="92"/>
      <c r="F229" s="92"/>
      <c r="G229" s="92"/>
      <c r="H229" s="92"/>
      <c r="I229" s="92"/>
      <c r="J229" s="92"/>
      <c r="K229" s="92"/>
      <c r="L229" s="92"/>
      <c r="M229" s="92"/>
      <c r="N229" s="92"/>
      <c r="O229" s="92"/>
      <c r="P229" s="92"/>
      <c r="Q229" s="92"/>
      <c r="R229" s="92"/>
      <c r="S229" s="92"/>
      <c r="T229" s="93"/>
      <c r="U229" s="93">
        <v>0</v>
      </c>
      <c r="V229" s="92"/>
      <c r="W229" s="92"/>
      <c r="X229" s="92"/>
      <c r="Y229" s="94" t="s">
        <v>3</v>
      </c>
      <c r="Z229" s="92"/>
      <c r="AA229" s="95"/>
      <c r="AB229" s="97">
        <f t="shared" si="96"/>
        <v>0</v>
      </c>
      <c r="AC229" s="97">
        <f t="shared" ref="AC229:AR229" si="102">D229*$U229</f>
        <v>0</v>
      </c>
      <c r="AD229" s="97">
        <f t="shared" si="102"/>
        <v>0</v>
      </c>
      <c r="AE229" s="97">
        <f t="shared" si="102"/>
        <v>0</v>
      </c>
      <c r="AF229" s="97">
        <f t="shared" si="102"/>
        <v>0</v>
      </c>
      <c r="AG229" s="97">
        <f t="shared" si="102"/>
        <v>0</v>
      </c>
      <c r="AH229" s="97">
        <f t="shared" si="102"/>
        <v>0</v>
      </c>
      <c r="AI229" s="97">
        <f t="shared" si="102"/>
        <v>0</v>
      </c>
      <c r="AJ229" s="97">
        <f t="shared" si="102"/>
        <v>0</v>
      </c>
      <c r="AK229" s="97">
        <f t="shared" si="102"/>
        <v>0</v>
      </c>
      <c r="AL229" s="97">
        <f t="shared" si="102"/>
        <v>0</v>
      </c>
      <c r="AM229" s="97">
        <f t="shared" si="102"/>
        <v>0</v>
      </c>
      <c r="AN229" s="97">
        <f t="shared" si="102"/>
        <v>0</v>
      </c>
      <c r="AO229" s="97">
        <f t="shared" si="102"/>
        <v>0</v>
      </c>
      <c r="AP229" s="97">
        <f t="shared" si="102"/>
        <v>0</v>
      </c>
      <c r="AQ229" s="97">
        <f t="shared" si="102"/>
        <v>0</v>
      </c>
      <c r="AR229" s="97">
        <f t="shared" si="102"/>
        <v>0</v>
      </c>
    </row>
    <row r="230" spans="1:44" ht="104" outlineLevel="1" x14ac:dyDescent="0.35">
      <c r="A230" s="86" t="s">
        <v>65</v>
      </c>
      <c r="B230" s="87" t="s">
        <v>3</v>
      </c>
      <c r="C230" s="83" t="s">
        <v>3</v>
      </c>
      <c r="D230" s="83" t="s">
        <v>3</v>
      </c>
      <c r="E230" s="83" t="s">
        <v>3</v>
      </c>
      <c r="F230" s="83" t="s">
        <v>3</v>
      </c>
      <c r="G230" s="83" t="s">
        <v>3</v>
      </c>
      <c r="H230" s="83" t="s">
        <v>3</v>
      </c>
      <c r="I230" s="83" t="s">
        <v>3</v>
      </c>
      <c r="J230" s="83" t="s">
        <v>3</v>
      </c>
      <c r="K230" s="83" t="s">
        <v>3</v>
      </c>
      <c r="L230" s="83" t="s">
        <v>3</v>
      </c>
      <c r="M230" s="83" t="s">
        <v>3</v>
      </c>
      <c r="N230" s="83" t="s">
        <v>3</v>
      </c>
      <c r="O230" s="83" t="s">
        <v>3</v>
      </c>
      <c r="P230" s="83" t="s">
        <v>3</v>
      </c>
      <c r="Q230" s="83" t="s">
        <v>3</v>
      </c>
      <c r="R230" s="83" t="s">
        <v>3</v>
      </c>
      <c r="S230" s="83" t="s">
        <v>3</v>
      </c>
      <c r="T230" s="83" t="s">
        <v>3</v>
      </c>
      <c r="U230" s="83" t="s">
        <v>3</v>
      </c>
      <c r="V230" s="83" t="s">
        <v>3</v>
      </c>
      <c r="W230" s="83" t="s">
        <v>3</v>
      </c>
      <c r="X230" s="83" t="s">
        <v>3</v>
      </c>
      <c r="Y230" s="83" t="s">
        <v>3</v>
      </c>
      <c r="Z230" s="83" t="s">
        <v>3</v>
      </c>
      <c r="AA230" s="83" t="s">
        <v>3</v>
      </c>
      <c r="AB230" s="84">
        <f t="shared" si="96"/>
        <v>59199024</v>
      </c>
      <c r="AC230" s="88">
        <f t="shared" ref="AC230:AR230" si="103">SUM(AC231:AC232)</f>
        <v>2757700</v>
      </c>
      <c r="AD230" s="88">
        <f t="shared" si="103"/>
        <v>5628503</v>
      </c>
      <c r="AE230" s="88">
        <f t="shared" si="103"/>
        <v>3831199</v>
      </c>
      <c r="AF230" s="88">
        <f t="shared" si="103"/>
        <v>3487690</v>
      </c>
      <c r="AG230" s="88">
        <f t="shared" si="103"/>
        <v>5851359</v>
      </c>
      <c r="AH230" s="88">
        <f t="shared" si="103"/>
        <v>3719887</v>
      </c>
      <c r="AI230" s="88">
        <f t="shared" si="103"/>
        <v>3413904</v>
      </c>
      <c r="AJ230" s="88">
        <f t="shared" si="103"/>
        <v>3446592</v>
      </c>
      <c r="AK230" s="88">
        <f t="shared" si="103"/>
        <v>5161877</v>
      </c>
      <c r="AL230" s="88">
        <f t="shared" si="103"/>
        <v>3299372</v>
      </c>
      <c r="AM230" s="88">
        <f t="shared" si="103"/>
        <v>3565703</v>
      </c>
      <c r="AN230" s="88">
        <f t="shared" si="103"/>
        <v>3444026</v>
      </c>
      <c r="AO230" s="88">
        <f t="shared" si="103"/>
        <v>3419043</v>
      </c>
      <c r="AP230" s="88">
        <f t="shared" si="103"/>
        <v>3335366</v>
      </c>
      <c r="AQ230" s="88">
        <f t="shared" si="103"/>
        <v>2537967</v>
      </c>
      <c r="AR230" s="88">
        <f t="shared" si="103"/>
        <v>2298836</v>
      </c>
    </row>
    <row r="231" spans="1:44" s="98" customFormat="1" ht="26.25" customHeight="1" outlineLevel="2" x14ac:dyDescent="0.35">
      <c r="A231" s="89" t="s">
        <v>491</v>
      </c>
      <c r="B231" s="90" t="s">
        <v>480</v>
      </c>
      <c r="C231" s="99">
        <f>2/216.7</f>
        <v>9.2293493308721747E-3</v>
      </c>
      <c r="D231" s="92"/>
      <c r="E231" s="92"/>
      <c r="F231" s="92"/>
      <c r="G231" s="92"/>
      <c r="H231" s="92"/>
      <c r="I231" s="92"/>
      <c r="J231" s="92"/>
      <c r="K231" s="92"/>
      <c r="L231" s="92"/>
      <c r="M231" s="92"/>
      <c r="N231" s="92"/>
      <c r="O231" s="92"/>
      <c r="P231" s="92"/>
      <c r="Q231" s="92"/>
      <c r="R231" s="92"/>
      <c r="S231" s="92"/>
      <c r="T231" s="93">
        <v>1</v>
      </c>
      <c r="U231" s="100">
        <f>1998292/2</f>
        <v>999146</v>
      </c>
      <c r="V231" s="92"/>
      <c r="W231" s="92"/>
      <c r="X231" s="92"/>
      <c r="Y231" s="94" t="s">
        <v>3</v>
      </c>
      <c r="Z231" s="92">
        <f>C231/$T231*$U231</f>
        <v>9221.4674665436105</v>
      </c>
      <c r="AA231" s="95" t="s">
        <v>348</v>
      </c>
      <c r="AB231" s="92">
        <f t="shared" si="96"/>
        <v>19761781</v>
      </c>
      <c r="AC231" s="92">
        <v>1141200</v>
      </c>
      <c r="AD231" s="92">
        <v>2112213</v>
      </c>
      <c r="AE231" s="92">
        <v>1141200</v>
      </c>
      <c r="AF231" s="92">
        <v>1020766</v>
      </c>
      <c r="AG231" s="92">
        <v>2112213</v>
      </c>
      <c r="AH231" s="92">
        <v>1141200</v>
      </c>
      <c r="AI231" s="92">
        <v>951000</v>
      </c>
      <c r="AJ231" s="92">
        <v>1090368</v>
      </c>
      <c r="AK231" s="92">
        <v>1998292</v>
      </c>
      <c r="AL231" s="92">
        <v>951000</v>
      </c>
      <c r="AM231" s="92">
        <v>1093650</v>
      </c>
      <c r="AN231" s="92">
        <v>1109528</v>
      </c>
      <c r="AO231" s="92">
        <v>1109528</v>
      </c>
      <c r="AP231" s="92">
        <v>951000</v>
      </c>
      <c r="AQ231" s="92">
        <v>951000</v>
      </c>
      <c r="AR231" s="92">
        <v>887623</v>
      </c>
    </row>
    <row r="232" spans="1:44" s="98" customFormat="1" ht="27.75" customHeight="1" outlineLevel="2" x14ac:dyDescent="0.35">
      <c r="A232" s="89" t="s">
        <v>492</v>
      </c>
      <c r="B232" s="90" t="s">
        <v>480</v>
      </c>
      <c r="C232" s="99">
        <v>6.2298107983387176E-2</v>
      </c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3">
        <v>1</v>
      </c>
      <c r="U232" s="100">
        <f>3163585/13.5</f>
        <v>234339.62962962964</v>
      </c>
      <c r="V232" s="92"/>
      <c r="W232" s="92"/>
      <c r="X232" s="92"/>
      <c r="Y232" s="94" t="s">
        <v>3</v>
      </c>
      <c r="Z232" s="92">
        <f>C232/$T232*$U232</f>
        <v>14598.915551453623</v>
      </c>
      <c r="AA232" s="95" t="s">
        <v>348</v>
      </c>
      <c r="AB232" s="92">
        <f t="shared" si="96"/>
        <v>39437243</v>
      </c>
      <c r="AC232" s="92">
        <v>1616500</v>
      </c>
      <c r="AD232" s="92">
        <v>3516290</v>
      </c>
      <c r="AE232" s="92">
        <v>2689999</v>
      </c>
      <c r="AF232" s="92">
        <v>2466924</v>
      </c>
      <c r="AG232" s="92">
        <v>3739146</v>
      </c>
      <c r="AH232" s="92">
        <v>2578687</v>
      </c>
      <c r="AI232" s="92">
        <v>2462904</v>
      </c>
      <c r="AJ232" s="92">
        <v>2356224</v>
      </c>
      <c r="AK232" s="92">
        <v>3163585</v>
      </c>
      <c r="AL232" s="92">
        <v>2348372</v>
      </c>
      <c r="AM232" s="92">
        <v>2472053</v>
      </c>
      <c r="AN232" s="92">
        <v>2334498</v>
      </c>
      <c r="AO232" s="92">
        <v>2309515</v>
      </c>
      <c r="AP232" s="92">
        <v>2384366</v>
      </c>
      <c r="AQ232" s="92">
        <v>1586967</v>
      </c>
      <c r="AR232" s="92">
        <v>1411213</v>
      </c>
    </row>
    <row r="233" spans="1:44" ht="52" outlineLevel="1" x14ac:dyDescent="0.35">
      <c r="A233" s="86" t="s">
        <v>82</v>
      </c>
      <c r="B233" s="87" t="s">
        <v>3</v>
      </c>
      <c r="C233" s="83" t="s">
        <v>3</v>
      </c>
      <c r="D233" s="83" t="s">
        <v>3</v>
      </c>
      <c r="E233" s="83" t="s">
        <v>3</v>
      </c>
      <c r="F233" s="83" t="s">
        <v>3</v>
      </c>
      <c r="G233" s="83" t="s">
        <v>3</v>
      </c>
      <c r="H233" s="83" t="s">
        <v>3</v>
      </c>
      <c r="I233" s="83" t="s">
        <v>3</v>
      </c>
      <c r="J233" s="83" t="s">
        <v>3</v>
      </c>
      <c r="K233" s="83" t="s">
        <v>3</v>
      </c>
      <c r="L233" s="83" t="s">
        <v>3</v>
      </c>
      <c r="M233" s="83" t="s">
        <v>3</v>
      </c>
      <c r="N233" s="83" t="s">
        <v>3</v>
      </c>
      <c r="O233" s="83" t="s">
        <v>3</v>
      </c>
      <c r="P233" s="83" t="s">
        <v>3</v>
      </c>
      <c r="Q233" s="83" t="s">
        <v>3</v>
      </c>
      <c r="R233" s="83" t="s">
        <v>3</v>
      </c>
      <c r="S233" s="83" t="s">
        <v>3</v>
      </c>
      <c r="T233" s="83" t="s">
        <v>3</v>
      </c>
      <c r="U233" s="83" t="s">
        <v>3</v>
      </c>
      <c r="V233" s="83" t="s">
        <v>3</v>
      </c>
      <c r="W233" s="83" t="s">
        <v>3</v>
      </c>
      <c r="X233" s="83" t="s">
        <v>3</v>
      </c>
      <c r="Y233" s="83" t="s">
        <v>3</v>
      </c>
      <c r="Z233" s="83" t="s">
        <v>3</v>
      </c>
      <c r="AA233" s="83" t="s">
        <v>3</v>
      </c>
      <c r="AB233" s="84">
        <f t="shared" si="96"/>
        <v>317461.45333333337</v>
      </c>
      <c r="AC233" s="88">
        <f t="shared" ref="AC233:AR233" si="104">SUM(AC234:AC266)</f>
        <v>18497.963333333333</v>
      </c>
      <c r="AD233" s="88">
        <f t="shared" si="104"/>
        <v>39880.273333333331</v>
      </c>
      <c r="AE233" s="88">
        <f t="shared" si="104"/>
        <v>32064.156666666666</v>
      </c>
      <c r="AF233" s="88">
        <f t="shared" si="104"/>
        <v>20785.086666666666</v>
      </c>
      <c r="AG233" s="88">
        <f t="shared" si="104"/>
        <v>9082.619999999999</v>
      </c>
      <c r="AH233" s="88">
        <f t="shared" si="104"/>
        <v>14657.726666666666</v>
      </c>
      <c r="AI233" s="88">
        <f t="shared" si="104"/>
        <v>16663.21</v>
      </c>
      <c r="AJ233" s="88">
        <f t="shared" si="104"/>
        <v>10018.82</v>
      </c>
      <c r="AK233" s="88">
        <f t="shared" si="104"/>
        <v>3359.81</v>
      </c>
      <c r="AL233" s="88">
        <f t="shared" si="104"/>
        <v>16362.17</v>
      </c>
      <c r="AM233" s="88">
        <f t="shared" si="104"/>
        <v>45300.919999999991</v>
      </c>
      <c r="AN233" s="88">
        <f t="shared" si="104"/>
        <v>11549.81</v>
      </c>
      <c r="AO233" s="88">
        <f t="shared" si="104"/>
        <v>20859.810000000001</v>
      </c>
      <c r="AP233" s="88">
        <f t="shared" si="104"/>
        <v>9973.27</v>
      </c>
      <c r="AQ233" s="88">
        <f t="shared" si="104"/>
        <v>10178.933333333334</v>
      </c>
      <c r="AR233" s="88">
        <f t="shared" si="104"/>
        <v>38226.873333333329</v>
      </c>
    </row>
    <row r="234" spans="1:44" s="98" customFormat="1" ht="26" outlineLevel="2" x14ac:dyDescent="0.35">
      <c r="A234" s="89" t="s">
        <v>12</v>
      </c>
      <c r="B234" s="90" t="s">
        <v>254</v>
      </c>
      <c r="C234" s="93">
        <f>1/216.7</f>
        <v>4.6146746654360873E-3</v>
      </c>
      <c r="D234" s="92">
        <v>1</v>
      </c>
      <c r="E234" s="92">
        <v>1</v>
      </c>
      <c r="F234" s="92">
        <v>1</v>
      </c>
      <c r="G234" s="92">
        <v>1</v>
      </c>
      <c r="H234" s="92">
        <v>1</v>
      </c>
      <c r="I234" s="92">
        <v>1</v>
      </c>
      <c r="J234" s="92">
        <v>1</v>
      </c>
      <c r="K234" s="92">
        <v>1</v>
      </c>
      <c r="L234" s="92">
        <v>1</v>
      </c>
      <c r="M234" s="92">
        <v>1</v>
      </c>
      <c r="N234" s="92">
        <v>1</v>
      </c>
      <c r="O234" s="92">
        <v>1</v>
      </c>
      <c r="P234" s="92">
        <v>1</v>
      </c>
      <c r="Q234" s="92">
        <v>1</v>
      </c>
      <c r="R234" s="92">
        <v>1</v>
      </c>
      <c r="S234" s="92">
        <v>1</v>
      </c>
      <c r="T234" s="93">
        <v>1</v>
      </c>
      <c r="U234" s="93">
        <f t="shared" ref="U234:U247" si="105">AVERAGE(V234:X234)</f>
        <v>2670.58</v>
      </c>
      <c r="V234" s="92">
        <v>2670.58</v>
      </c>
      <c r="W234" s="92"/>
      <c r="X234" s="92"/>
      <c r="Y234" s="92">
        <v>191</v>
      </c>
      <c r="Z234" s="92">
        <f t="shared" ref="Z234:Z266" si="106">C234/$T234*$U234</f>
        <v>12.323857868020307</v>
      </c>
      <c r="AA234" s="95" t="s">
        <v>349</v>
      </c>
      <c r="AB234" s="92">
        <f t="shared" ref="AB234:AB266" si="107">SUM(AC234:AR234)</f>
        <v>42729.280000000013</v>
      </c>
      <c r="AC234" s="92">
        <f t="shared" ref="AC234:AC244" si="108">D234*$U234</f>
        <v>2670.58</v>
      </c>
      <c r="AD234" s="92">
        <f t="shared" ref="AD234:AD244" si="109">E234*$U234</f>
        <v>2670.58</v>
      </c>
      <c r="AE234" s="92">
        <f t="shared" ref="AE234:AE244" si="110">F234*$U234</f>
        <v>2670.58</v>
      </c>
      <c r="AF234" s="92">
        <f t="shared" ref="AF234:AF244" si="111">G234*$U234</f>
        <v>2670.58</v>
      </c>
      <c r="AG234" s="92">
        <f t="shared" ref="AG234:AG244" si="112">H234*$U234</f>
        <v>2670.58</v>
      </c>
      <c r="AH234" s="92">
        <f t="shared" ref="AH234:AH244" si="113">I234*$U234</f>
        <v>2670.58</v>
      </c>
      <c r="AI234" s="92">
        <f t="shared" ref="AI234:AI244" si="114">J234*$U234</f>
        <v>2670.58</v>
      </c>
      <c r="AJ234" s="92">
        <f t="shared" ref="AJ234:AJ244" si="115">K234*$U234</f>
        <v>2670.58</v>
      </c>
      <c r="AK234" s="92">
        <f t="shared" ref="AK234:AK244" si="116">L234*$U234</f>
        <v>2670.58</v>
      </c>
      <c r="AL234" s="92">
        <f t="shared" ref="AL234:AL244" si="117">M234*$U234</f>
        <v>2670.58</v>
      </c>
      <c r="AM234" s="92">
        <f t="shared" ref="AM234:AM244" si="118">N234*$U234</f>
        <v>2670.58</v>
      </c>
      <c r="AN234" s="92">
        <f t="shared" ref="AN234:AN244" si="119">O234*$U234</f>
        <v>2670.58</v>
      </c>
      <c r="AO234" s="92">
        <f t="shared" ref="AO234:AO244" si="120">P234*$U234</f>
        <v>2670.58</v>
      </c>
      <c r="AP234" s="92">
        <f t="shared" ref="AP234:AP244" si="121">Q234*$U234</f>
        <v>2670.58</v>
      </c>
      <c r="AQ234" s="92">
        <f t="shared" ref="AQ234:AQ244" si="122">R234*$U234</f>
        <v>2670.58</v>
      </c>
      <c r="AR234" s="92">
        <f t="shared" ref="AR234:AR244" si="123">S234*$U234</f>
        <v>2670.58</v>
      </c>
    </row>
    <row r="235" spans="1:44" s="98" customFormat="1" ht="26" outlineLevel="2" x14ac:dyDescent="0.35">
      <c r="A235" s="89" t="s">
        <v>13</v>
      </c>
      <c r="B235" s="90" t="s">
        <v>254</v>
      </c>
      <c r="C235" s="93">
        <f>1/216.7</f>
        <v>4.6146746654360873E-3</v>
      </c>
      <c r="D235" s="92">
        <v>1</v>
      </c>
      <c r="E235" s="92">
        <v>1</v>
      </c>
      <c r="F235" s="92">
        <v>1</v>
      </c>
      <c r="G235" s="92">
        <v>1</v>
      </c>
      <c r="H235" s="92">
        <v>1</v>
      </c>
      <c r="I235" s="92">
        <v>1</v>
      </c>
      <c r="J235" s="92">
        <v>1</v>
      </c>
      <c r="K235" s="92">
        <v>1</v>
      </c>
      <c r="L235" s="92">
        <v>1</v>
      </c>
      <c r="M235" s="92">
        <v>1</v>
      </c>
      <c r="N235" s="92">
        <v>1</v>
      </c>
      <c r="O235" s="92">
        <v>1</v>
      </c>
      <c r="P235" s="92">
        <v>1</v>
      </c>
      <c r="Q235" s="92">
        <v>1</v>
      </c>
      <c r="R235" s="92">
        <v>1</v>
      </c>
      <c r="S235" s="92">
        <v>1</v>
      </c>
      <c r="T235" s="93">
        <v>1</v>
      </c>
      <c r="U235" s="93">
        <f t="shared" si="105"/>
        <v>689.23</v>
      </c>
      <c r="V235" s="92">
        <v>689.23</v>
      </c>
      <c r="W235" s="92"/>
      <c r="X235" s="92"/>
      <c r="Y235" s="92">
        <v>192</v>
      </c>
      <c r="Z235" s="92">
        <f t="shared" si="106"/>
        <v>3.1805722196585147</v>
      </c>
      <c r="AA235" s="95" t="s">
        <v>349</v>
      </c>
      <c r="AB235" s="92">
        <f t="shared" si="107"/>
        <v>11027.679999999997</v>
      </c>
      <c r="AC235" s="92">
        <f t="shared" si="108"/>
        <v>689.23</v>
      </c>
      <c r="AD235" s="92">
        <f t="shared" si="109"/>
        <v>689.23</v>
      </c>
      <c r="AE235" s="92">
        <f t="shared" si="110"/>
        <v>689.23</v>
      </c>
      <c r="AF235" s="92">
        <f t="shared" si="111"/>
        <v>689.23</v>
      </c>
      <c r="AG235" s="92">
        <f t="shared" si="112"/>
        <v>689.23</v>
      </c>
      <c r="AH235" s="92">
        <f t="shared" si="113"/>
        <v>689.23</v>
      </c>
      <c r="AI235" s="92">
        <f t="shared" si="114"/>
        <v>689.23</v>
      </c>
      <c r="AJ235" s="92">
        <f t="shared" si="115"/>
        <v>689.23</v>
      </c>
      <c r="AK235" s="92">
        <f t="shared" si="116"/>
        <v>689.23</v>
      </c>
      <c r="AL235" s="92">
        <f t="shared" si="117"/>
        <v>689.23</v>
      </c>
      <c r="AM235" s="92">
        <f t="shared" si="118"/>
        <v>689.23</v>
      </c>
      <c r="AN235" s="92">
        <f t="shared" si="119"/>
        <v>689.23</v>
      </c>
      <c r="AO235" s="92">
        <f t="shared" si="120"/>
        <v>689.23</v>
      </c>
      <c r="AP235" s="92">
        <f t="shared" si="121"/>
        <v>689.23</v>
      </c>
      <c r="AQ235" s="92">
        <f t="shared" si="122"/>
        <v>689.23</v>
      </c>
      <c r="AR235" s="92">
        <f t="shared" si="123"/>
        <v>689.23</v>
      </c>
    </row>
    <row r="236" spans="1:44" s="98" customFormat="1" ht="26" outlineLevel="2" x14ac:dyDescent="0.35">
      <c r="A236" s="89" t="s">
        <v>10</v>
      </c>
      <c r="B236" s="90" t="s">
        <v>254</v>
      </c>
      <c r="C236" s="93">
        <v>0</v>
      </c>
      <c r="D236" s="92">
        <v>1</v>
      </c>
      <c r="E236" s="92"/>
      <c r="F236" s="92"/>
      <c r="G236" s="92">
        <v>1</v>
      </c>
      <c r="H236" s="92"/>
      <c r="I236" s="92"/>
      <c r="J236" s="92"/>
      <c r="K236" s="92">
        <v>1</v>
      </c>
      <c r="L236" s="92"/>
      <c r="M236" s="92"/>
      <c r="N236" s="92"/>
      <c r="O236" s="92"/>
      <c r="P236" s="92"/>
      <c r="Q236" s="92"/>
      <c r="R236" s="92"/>
      <c r="S236" s="92"/>
      <c r="T236" s="93">
        <v>1</v>
      </c>
      <c r="U236" s="93">
        <f t="shared" si="105"/>
        <v>6659.01</v>
      </c>
      <c r="V236" s="92">
        <v>6659.01</v>
      </c>
      <c r="W236" s="92"/>
      <c r="X236" s="92"/>
      <c r="Y236" s="92">
        <v>193</v>
      </c>
      <c r="Z236" s="92">
        <f t="shared" si="106"/>
        <v>0</v>
      </c>
      <c r="AA236" s="95" t="s">
        <v>349</v>
      </c>
      <c r="AB236" s="92">
        <f t="shared" si="107"/>
        <v>19977.03</v>
      </c>
      <c r="AC236" s="92">
        <f t="shared" si="108"/>
        <v>6659.01</v>
      </c>
      <c r="AD236" s="92">
        <f t="shared" si="109"/>
        <v>0</v>
      </c>
      <c r="AE236" s="92">
        <f t="shared" si="110"/>
        <v>0</v>
      </c>
      <c r="AF236" s="92">
        <f t="shared" si="111"/>
        <v>6659.01</v>
      </c>
      <c r="AG236" s="92">
        <f t="shared" si="112"/>
        <v>0</v>
      </c>
      <c r="AH236" s="92">
        <f t="shared" si="113"/>
        <v>0</v>
      </c>
      <c r="AI236" s="92">
        <f t="shared" si="114"/>
        <v>0</v>
      </c>
      <c r="AJ236" s="92">
        <f t="shared" si="115"/>
        <v>6659.01</v>
      </c>
      <c r="AK236" s="92">
        <f t="shared" si="116"/>
        <v>0</v>
      </c>
      <c r="AL236" s="92">
        <f t="shared" si="117"/>
        <v>0</v>
      </c>
      <c r="AM236" s="92">
        <f t="shared" si="118"/>
        <v>0</v>
      </c>
      <c r="AN236" s="92">
        <f t="shared" si="119"/>
        <v>0</v>
      </c>
      <c r="AO236" s="92">
        <f t="shared" si="120"/>
        <v>0</v>
      </c>
      <c r="AP236" s="92">
        <f t="shared" si="121"/>
        <v>0</v>
      </c>
      <c r="AQ236" s="92">
        <f t="shared" si="122"/>
        <v>0</v>
      </c>
      <c r="AR236" s="92">
        <f t="shared" si="123"/>
        <v>0</v>
      </c>
    </row>
    <row r="237" spans="1:44" s="98" customFormat="1" ht="26" outlineLevel="2" x14ac:dyDescent="0.35">
      <c r="A237" s="89" t="s">
        <v>218</v>
      </c>
      <c r="B237" s="90" t="s">
        <v>206</v>
      </c>
      <c r="C237" s="93">
        <v>0</v>
      </c>
      <c r="D237" s="92"/>
      <c r="E237" s="92">
        <v>16</v>
      </c>
      <c r="F237" s="92"/>
      <c r="G237" s="92"/>
      <c r="H237" s="92"/>
      <c r="I237" s="92"/>
      <c r="J237" s="92"/>
      <c r="K237" s="92"/>
      <c r="L237" s="92"/>
      <c r="M237" s="92"/>
      <c r="N237" s="92"/>
      <c r="O237" s="92">
        <v>9</v>
      </c>
      <c r="P237" s="92"/>
      <c r="Q237" s="92"/>
      <c r="R237" s="92"/>
      <c r="S237" s="92">
        <v>10</v>
      </c>
      <c r="T237" s="93">
        <v>1</v>
      </c>
      <c r="U237" s="93">
        <f t="shared" si="105"/>
        <v>910</v>
      </c>
      <c r="V237" s="92">
        <v>900</v>
      </c>
      <c r="W237" s="92">
        <v>980</v>
      </c>
      <c r="X237" s="92">
        <v>850</v>
      </c>
      <c r="Y237" s="92">
        <v>194</v>
      </c>
      <c r="Z237" s="92">
        <f t="shared" si="106"/>
        <v>0</v>
      </c>
      <c r="AA237" s="95" t="s">
        <v>349</v>
      </c>
      <c r="AB237" s="97">
        <f t="shared" si="107"/>
        <v>31850</v>
      </c>
      <c r="AC237" s="97">
        <f t="shared" si="108"/>
        <v>0</v>
      </c>
      <c r="AD237" s="97">
        <f t="shared" si="109"/>
        <v>14560</v>
      </c>
      <c r="AE237" s="97">
        <f t="shared" si="110"/>
        <v>0</v>
      </c>
      <c r="AF237" s="97">
        <f t="shared" si="111"/>
        <v>0</v>
      </c>
      <c r="AG237" s="97">
        <f t="shared" si="112"/>
        <v>0</v>
      </c>
      <c r="AH237" s="97">
        <f t="shared" si="113"/>
        <v>0</v>
      </c>
      <c r="AI237" s="97">
        <f t="shared" si="114"/>
        <v>0</v>
      </c>
      <c r="AJ237" s="97">
        <f t="shared" si="115"/>
        <v>0</v>
      </c>
      <c r="AK237" s="97">
        <f t="shared" si="116"/>
        <v>0</v>
      </c>
      <c r="AL237" s="97">
        <f t="shared" si="117"/>
        <v>0</v>
      </c>
      <c r="AM237" s="97">
        <f t="shared" si="118"/>
        <v>0</v>
      </c>
      <c r="AN237" s="97">
        <f t="shared" si="119"/>
        <v>8190</v>
      </c>
      <c r="AO237" s="97">
        <f t="shared" si="120"/>
        <v>0</v>
      </c>
      <c r="AP237" s="97">
        <f t="shared" si="121"/>
        <v>0</v>
      </c>
      <c r="AQ237" s="97">
        <f t="shared" si="122"/>
        <v>0</v>
      </c>
      <c r="AR237" s="97">
        <f t="shared" si="123"/>
        <v>9100</v>
      </c>
    </row>
    <row r="238" spans="1:44" s="106" customFormat="1" ht="26" outlineLevel="2" x14ac:dyDescent="0.35">
      <c r="A238" s="89" t="s">
        <v>210</v>
      </c>
      <c r="B238" s="90" t="s">
        <v>20</v>
      </c>
      <c r="C238" s="93">
        <v>0</v>
      </c>
      <c r="D238" s="92"/>
      <c r="E238" s="92"/>
      <c r="F238" s="92"/>
      <c r="G238" s="92"/>
      <c r="H238" s="92"/>
      <c r="I238" s="92"/>
      <c r="J238" s="92"/>
      <c r="K238" s="92"/>
      <c r="L238" s="92"/>
      <c r="M238" s="92"/>
      <c r="N238" s="92">
        <v>5</v>
      </c>
      <c r="O238" s="92"/>
      <c r="P238" s="92"/>
      <c r="Q238" s="92"/>
      <c r="R238" s="92"/>
      <c r="S238" s="92"/>
      <c r="T238" s="93">
        <v>1</v>
      </c>
      <c r="U238" s="93">
        <f t="shared" si="105"/>
        <v>633.33333333333337</v>
      </c>
      <c r="V238" s="92">
        <v>500</v>
      </c>
      <c r="W238" s="92">
        <v>700</v>
      </c>
      <c r="X238" s="92">
        <v>700</v>
      </c>
      <c r="Y238" s="92">
        <v>199</v>
      </c>
      <c r="Z238" s="92">
        <f t="shared" si="106"/>
        <v>0</v>
      </c>
      <c r="AA238" s="95" t="s">
        <v>349</v>
      </c>
      <c r="AB238" s="97">
        <f t="shared" si="107"/>
        <v>3166.666666666667</v>
      </c>
      <c r="AC238" s="97">
        <f t="shared" si="108"/>
        <v>0</v>
      </c>
      <c r="AD238" s="97">
        <f t="shared" si="109"/>
        <v>0</v>
      </c>
      <c r="AE238" s="97">
        <f t="shared" si="110"/>
        <v>0</v>
      </c>
      <c r="AF238" s="97">
        <f t="shared" si="111"/>
        <v>0</v>
      </c>
      <c r="AG238" s="97">
        <f t="shared" si="112"/>
        <v>0</v>
      </c>
      <c r="AH238" s="97">
        <f t="shared" si="113"/>
        <v>0</v>
      </c>
      <c r="AI238" s="97">
        <f t="shared" si="114"/>
        <v>0</v>
      </c>
      <c r="AJ238" s="97">
        <f t="shared" si="115"/>
        <v>0</v>
      </c>
      <c r="AK238" s="97">
        <f t="shared" si="116"/>
        <v>0</v>
      </c>
      <c r="AL238" s="97">
        <f t="shared" si="117"/>
        <v>0</v>
      </c>
      <c r="AM238" s="97">
        <f t="shared" si="118"/>
        <v>3166.666666666667</v>
      </c>
      <c r="AN238" s="97">
        <f t="shared" si="119"/>
        <v>0</v>
      </c>
      <c r="AO238" s="97">
        <f t="shared" si="120"/>
        <v>0</v>
      </c>
      <c r="AP238" s="97">
        <f t="shared" si="121"/>
        <v>0</v>
      </c>
      <c r="AQ238" s="97">
        <f t="shared" si="122"/>
        <v>0</v>
      </c>
      <c r="AR238" s="97">
        <f t="shared" si="123"/>
        <v>0</v>
      </c>
    </row>
    <row r="239" spans="1:44" s="106" customFormat="1" ht="26" outlineLevel="2" x14ac:dyDescent="0.35">
      <c r="A239" s="89" t="s">
        <v>211</v>
      </c>
      <c r="B239" s="90" t="s">
        <v>20</v>
      </c>
      <c r="C239" s="93">
        <v>0</v>
      </c>
      <c r="D239" s="92"/>
      <c r="E239" s="92"/>
      <c r="F239" s="92"/>
      <c r="G239" s="92"/>
      <c r="H239" s="92"/>
      <c r="I239" s="92"/>
      <c r="J239" s="92"/>
      <c r="K239" s="92"/>
      <c r="L239" s="92"/>
      <c r="M239" s="92"/>
      <c r="N239" s="92">
        <v>5</v>
      </c>
      <c r="O239" s="92"/>
      <c r="P239" s="92"/>
      <c r="Q239" s="92"/>
      <c r="R239" s="92"/>
      <c r="S239" s="92"/>
      <c r="T239" s="93">
        <v>1</v>
      </c>
      <c r="U239" s="93">
        <f t="shared" si="105"/>
        <v>950</v>
      </c>
      <c r="V239" s="92">
        <v>850</v>
      </c>
      <c r="W239" s="92">
        <v>900</v>
      </c>
      <c r="X239" s="92">
        <v>1100</v>
      </c>
      <c r="Y239" s="92">
        <v>200</v>
      </c>
      <c r="Z239" s="92">
        <f t="shared" si="106"/>
        <v>0</v>
      </c>
      <c r="AA239" s="95" t="s">
        <v>349</v>
      </c>
      <c r="AB239" s="97">
        <f t="shared" si="107"/>
        <v>4750</v>
      </c>
      <c r="AC239" s="97">
        <f t="shared" si="108"/>
        <v>0</v>
      </c>
      <c r="AD239" s="97">
        <f t="shared" si="109"/>
        <v>0</v>
      </c>
      <c r="AE239" s="97">
        <f t="shared" si="110"/>
        <v>0</v>
      </c>
      <c r="AF239" s="97">
        <f t="shared" si="111"/>
        <v>0</v>
      </c>
      <c r="AG239" s="97">
        <f t="shared" si="112"/>
        <v>0</v>
      </c>
      <c r="AH239" s="97">
        <f t="shared" si="113"/>
        <v>0</v>
      </c>
      <c r="AI239" s="97">
        <f t="shared" si="114"/>
        <v>0</v>
      </c>
      <c r="AJ239" s="97">
        <f t="shared" si="115"/>
        <v>0</v>
      </c>
      <c r="AK239" s="97">
        <f t="shared" si="116"/>
        <v>0</v>
      </c>
      <c r="AL239" s="97">
        <f t="shared" si="117"/>
        <v>0</v>
      </c>
      <c r="AM239" s="97">
        <f t="shared" si="118"/>
        <v>4750</v>
      </c>
      <c r="AN239" s="97">
        <f t="shared" si="119"/>
        <v>0</v>
      </c>
      <c r="AO239" s="97">
        <f t="shared" si="120"/>
        <v>0</v>
      </c>
      <c r="AP239" s="97">
        <f t="shared" si="121"/>
        <v>0</v>
      </c>
      <c r="AQ239" s="97">
        <f t="shared" si="122"/>
        <v>0</v>
      </c>
      <c r="AR239" s="97">
        <f t="shared" si="123"/>
        <v>0</v>
      </c>
    </row>
    <row r="240" spans="1:44" s="106" customFormat="1" ht="26" outlineLevel="2" x14ac:dyDescent="0.35">
      <c r="A240" s="89" t="s">
        <v>212</v>
      </c>
      <c r="B240" s="90" t="s">
        <v>20</v>
      </c>
      <c r="C240" s="93">
        <v>0</v>
      </c>
      <c r="D240" s="92"/>
      <c r="E240" s="92"/>
      <c r="F240" s="92"/>
      <c r="G240" s="92"/>
      <c r="H240" s="92"/>
      <c r="I240" s="92"/>
      <c r="J240" s="92"/>
      <c r="K240" s="92"/>
      <c r="L240" s="92"/>
      <c r="M240" s="92"/>
      <c r="N240" s="92">
        <v>5</v>
      </c>
      <c r="O240" s="92"/>
      <c r="P240" s="92"/>
      <c r="Q240" s="92"/>
      <c r="R240" s="92"/>
      <c r="S240" s="92"/>
      <c r="T240" s="93">
        <v>1</v>
      </c>
      <c r="U240" s="93">
        <f t="shared" si="105"/>
        <v>400</v>
      </c>
      <c r="V240" s="92">
        <v>350</v>
      </c>
      <c r="W240" s="92">
        <v>450</v>
      </c>
      <c r="X240" s="92">
        <v>400</v>
      </c>
      <c r="Y240" s="92">
        <v>201</v>
      </c>
      <c r="Z240" s="92">
        <f t="shared" si="106"/>
        <v>0</v>
      </c>
      <c r="AA240" s="95" t="s">
        <v>349</v>
      </c>
      <c r="AB240" s="97">
        <f t="shared" si="107"/>
        <v>2000</v>
      </c>
      <c r="AC240" s="97">
        <f t="shared" si="108"/>
        <v>0</v>
      </c>
      <c r="AD240" s="97">
        <f t="shared" si="109"/>
        <v>0</v>
      </c>
      <c r="AE240" s="97">
        <f t="shared" si="110"/>
        <v>0</v>
      </c>
      <c r="AF240" s="97">
        <f t="shared" si="111"/>
        <v>0</v>
      </c>
      <c r="AG240" s="97">
        <f t="shared" si="112"/>
        <v>0</v>
      </c>
      <c r="AH240" s="97">
        <f t="shared" si="113"/>
        <v>0</v>
      </c>
      <c r="AI240" s="97">
        <f t="shared" si="114"/>
        <v>0</v>
      </c>
      <c r="AJ240" s="97">
        <f t="shared" si="115"/>
        <v>0</v>
      </c>
      <c r="AK240" s="97">
        <f t="shared" si="116"/>
        <v>0</v>
      </c>
      <c r="AL240" s="97">
        <f t="shared" si="117"/>
        <v>0</v>
      </c>
      <c r="AM240" s="97">
        <f t="shared" si="118"/>
        <v>2000</v>
      </c>
      <c r="AN240" s="97">
        <f t="shared" si="119"/>
        <v>0</v>
      </c>
      <c r="AO240" s="97">
        <f t="shared" si="120"/>
        <v>0</v>
      </c>
      <c r="AP240" s="97">
        <f t="shared" si="121"/>
        <v>0</v>
      </c>
      <c r="AQ240" s="97">
        <f t="shared" si="122"/>
        <v>0</v>
      </c>
      <c r="AR240" s="97">
        <f t="shared" si="123"/>
        <v>0</v>
      </c>
    </row>
    <row r="241" spans="1:44" s="131" customFormat="1" ht="26" outlineLevel="2" x14ac:dyDescent="0.35">
      <c r="A241" s="126" t="s">
        <v>213</v>
      </c>
      <c r="B241" s="127" t="s">
        <v>20</v>
      </c>
      <c r="C241" s="110">
        <v>0</v>
      </c>
      <c r="D241" s="111"/>
      <c r="E241" s="111"/>
      <c r="F241" s="111">
        <v>4</v>
      </c>
      <c r="G241" s="111">
        <v>3</v>
      </c>
      <c r="H241" s="111"/>
      <c r="I241" s="111"/>
      <c r="J241" s="111">
        <v>6</v>
      </c>
      <c r="K241" s="111"/>
      <c r="L241" s="111"/>
      <c r="M241" s="111">
        <v>3</v>
      </c>
      <c r="N241" s="111"/>
      <c r="O241" s="111"/>
      <c r="P241" s="111"/>
      <c r="Q241" s="111">
        <v>3</v>
      </c>
      <c r="R241" s="111"/>
      <c r="S241" s="111"/>
      <c r="T241" s="110">
        <v>1</v>
      </c>
      <c r="U241" s="110">
        <f t="shared" si="105"/>
        <v>1089.3333333333333</v>
      </c>
      <c r="V241" s="111">
        <v>788</v>
      </c>
      <c r="W241" s="111">
        <v>1300</v>
      </c>
      <c r="X241" s="111">
        <v>1180</v>
      </c>
      <c r="Y241" s="111">
        <v>202</v>
      </c>
      <c r="Z241" s="111">
        <f t="shared" si="106"/>
        <v>0</v>
      </c>
      <c r="AA241" s="128" t="s">
        <v>349</v>
      </c>
      <c r="AB241" s="111">
        <f t="shared" si="107"/>
        <v>20697.333333333332</v>
      </c>
      <c r="AC241" s="111">
        <f t="shared" si="108"/>
        <v>0</v>
      </c>
      <c r="AD241" s="111">
        <f t="shared" si="109"/>
        <v>0</v>
      </c>
      <c r="AE241" s="111">
        <f t="shared" si="110"/>
        <v>4357.333333333333</v>
      </c>
      <c r="AF241" s="111">
        <f t="shared" si="111"/>
        <v>3268</v>
      </c>
      <c r="AG241" s="111">
        <f t="shared" si="112"/>
        <v>0</v>
      </c>
      <c r="AH241" s="111">
        <f t="shared" si="113"/>
        <v>0</v>
      </c>
      <c r="AI241" s="111">
        <f t="shared" si="114"/>
        <v>6536</v>
      </c>
      <c r="AJ241" s="111">
        <f t="shared" si="115"/>
        <v>0</v>
      </c>
      <c r="AK241" s="111">
        <f t="shared" si="116"/>
        <v>0</v>
      </c>
      <c r="AL241" s="111">
        <f t="shared" si="117"/>
        <v>3268</v>
      </c>
      <c r="AM241" s="111">
        <f t="shared" si="118"/>
        <v>0</v>
      </c>
      <c r="AN241" s="111">
        <f t="shared" si="119"/>
        <v>0</v>
      </c>
      <c r="AO241" s="111">
        <f t="shared" si="120"/>
        <v>0</v>
      </c>
      <c r="AP241" s="111">
        <f t="shared" si="121"/>
        <v>3268</v>
      </c>
      <c r="AQ241" s="111">
        <f t="shared" si="122"/>
        <v>0</v>
      </c>
      <c r="AR241" s="111">
        <f t="shared" si="123"/>
        <v>0</v>
      </c>
    </row>
    <row r="242" spans="1:44" s="98" customFormat="1" ht="26" outlineLevel="2" x14ac:dyDescent="0.35">
      <c r="A242" s="89" t="s">
        <v>220</v>
      </c>
      <c r="B242" s="90" t="s">
        <v>20</v>
      </c>
      <c r="C242" s="93">
        <v>0</v>
      </c>
      <c r="D242" s="92">
        <v>1</v>
      </c>
      <c r="E242" s="92">
        <v>1</v>
      </c>
      <c r="F242" s="92"/>
      <c r="G242" s="92"/>
      <c r="H242" s="92">
        <v>1</v>
      </c>
      <c r="I242" s="92"/>
      <c r="J242" s="92"/>
      <c r="K242" s="92"/>
      <c r="L242" s="92"/>
      <c r="M242" s="92"/>
      <c r="N242" s="92"/>
      <c r="O242" s="92"/>
      <c r="P242" s="92"/>
      <c r="Q242" s="92"/>
      <c r="R242" s="92"/>
      <c r="S242" s="92"/>
      <c r="T242" s="93">
        <v>1</v>
      </c>
      <c r="U242" s="93">
        <v>1209.6400000000001</v>
      </c>
      <c r="V242" s="111"/>
      <c r="W242" s="111"/>
      <c r="X242" s="111"/>
      <c r="Y242" s="92" t="e">
        <f>AVERAGE(V242:X242)</f>
        <v>#DIV/0!</v>
      </c>
      <c r="Z242" s="92">
        <f t="shared" si="106"/>
        <v>0</v>
      </c>
      <c r="AA242" s="95" t="s">
        <v>349</v>
      </c>
      <c r="AB242" s="97">
        <f t="shared" si="107"/>
        <v>3628.92</v>
      </c>
      <c r="AC242" s="97">
        <f t="shared" si="108"/>
        <v>1209.6400000000001</v>
      </c>
      <c r="AD242" s="97">
        <f t="shared" si="109"/>
        <v>1209.6400000000001</v>
      </c>
      <c r="AE242" s="97">
        <f t="shared" si="110"/>
        <v>0</v>
      </c>
      <c r="AF242" s="97">
        <f t="shared" si="111"/>
        <v>0</v>
      </c>
      <c r="AG242" s="97">
        <f t="shared" si="112"/>
        <v>1209.6400000000001</v>
      </c>
      <c r="AH242" s="97">
        <f t="shared" si="113"/>
        <v>0</v>
      </c>
      <c r="AI242" s="97">
        <f t="shared" si="114"/>
        <v>0</v>
      </c>
      <c r="AJ242" s="97">
        <f t="shared" si="115"/>
        <v>0</v>
      </c>
      <c r="AK242" s="97">
        <f t="shared" si="116"/>
        <v>0</v>
      </c>
      <c r="AL242" s="97">
        <f t="shared" si="117"/>
        <v>0</v>
      </c>
      <c r="AM242" s="97">
        <f t="shared" si="118"/>
        <v>0</v>
      </c>
      <c r="AN242" s="97">
        <f t="shared" si="119"/>
        <v>0</v>
      </c>
      <c r="AO242" s="97">
        <f t="shared" si="120"/>
        <v>0</v>
      </c>
      <c r="AP242" s="97">
        <f t="shared" si="121"/>
        <v>0</v>
      </c>
      <c r="AQ242" s="97">
        <f t="shared" si="122"/>
        <v>0</v>
      </c>
      <c r="AR242" s="97">
        <f t="shared" si="123"/>
        <v>0</v>
      </c>
    </row>
    <row r="243" spans="1:44" s="98" customFormat="1" ht="26" outlineLevel="2" x14ac:dyDescent="0.35">
      <c r="A243" s="89" t="s">
        <v>221</v>
      </c>
      <c r="B243" s="90" t="s">
        <v>20</v>
      </c>
      <c r="C243" s="93">
        <v>0</v>
      </c>
      <c r="D243" s="92">
        <v>1</v>
      </c>
      <c r="E243" s="92">
        <v>1</v>
      </c>
      <c r="F243" s="92">
        <v>4</v>
      </c>
      <c r="G243" s="92"/>
      <c r="H243" s="92">
        <v>1</v>
      </c>
      <c r="I243" s="92"/>
      <c r="J243" s="92">
        <v>1</v>
      </c>
      <c r="K243" s="92"/>
      <c r="L243" s="92"/>
      <c r="M243" s="92"/>
      <c r="N243" s="92">
        <v>1</v>
      </c>
      <c r="O243" s="92"/>
      <c r="P243" s="92"/>
      <c r="Q243" s="92"/>
      <c r="R243" s="92">
        <v>3</v>
      </c>
      <c r="S243" s="92">
        <v>1</v>
      </c>
      <c r="T243" s="93">
        <v>1</v>
      </c>
      <c r="U243" s="93">
        <f t="shared" si="105"/>
        <v>1186.0933333333332</v>
      </c>
      <c r="V243" s="111">
        <v>1178.28</v>
      </c>
      <c r="W243" s="111">
        <v>1180</v>
      </c>
      <c r="X243" s="111">
        <v>1200</v>
      </c>
      <c r="Y243" s="92">
        <f>AVERAGE(V243:X243)</f>
        <v>1186.0933333333332</v>
      </c>
      <c r="Z243" s="92">
        <f t="shared" si="106"/>
        <v>0</v>
      </c>
      <c r="AA243" s="95" t="s">
        <v>349</v>
      </c>
      <c r="AB243" s="97">
        <f t="shared" si="107"/>
        <v>15419.213333333333</v>
      </c>
      <c r="AC243" s="97">
        <f t="shared" si="108"/>
        <v>1186.0933333333332</v>
      </c>
      <c r="AD243" s="97">
        <f t="shared" si="109"/>
        <v>1186.0933333333332</v>
      </c>
      <c r="AE243" s="97">
        <f t="shared" si="110"/>
        <v>4744.373333333333</v>
      </c>
      <c r="AF243" s="97">
        <f t="shared" si="111"/>
        <v>0</v>
      </c>
      <c r="AG243" s="97">
        <f t="shared" si="112"/>
        <v>1186.0933333333332</v>
      </c>
      <c r="AH243" s="97">
        <f t="shared" si="113"/>
        <v>0</v>
      </c>
      <c r="AI243" s="97">
        <f t="shared" si="114"/>
        <v>1186.0933333333332</v>
      </c>
      <c r="AJ243" s="97">
        <f t="shared" si="115"/>
        <v>0</v>
      </c>
      <c r="AK243" s="97">
        <f t="shared" si="116"/>
        <v>0</v>
      </c>
      <c r="AL243" s="97">
        <f t="shared" si="117"/>
        <v>0</v>
      </c>
      <c r="AM243" s="97">
        <f t="shared" si="118"/>
        <v>1186.0933333333332</v>
      </c>
      <c r="AN243" s="97">
        <f t="shared" si="119"/>
        <v>0</v>
      </c>
      <c r="AO243" s="97">
        <f t="shared" si="120"/>
        <v>0</v>
      </c>
      <c r="AP243" s="97">
        <f t="shared" si="121"/>
        <v>0</v>
      </c>
      <c r="AQ243" s="97">
        <f t="shared" si="122"/>
        <v>3558.2799999999997</v>
      </c>
      <c r="AR243" s="97">
        <f t="shared" si="123"/>
        <v>1186.0933333333332</v>
      </c>
    </row>
    <row r="244" spans="1:44" s="98" customFormat="1" ht="26" outlineLevel="2" x14ac:dyDescent="0.35">
      <c r="A244" s="89" t="s">
        <v>222</v>
      </c>
      <c r="B244" s="90" t="s">
        <v>20</v>
      </c>
      <c r="C244" s="93">
        <v>0</v>
      </c>
      <c r="D244" s="92">
        <v>1</v>
      </c>
      <c r="E244" s="92">
        <v>1</v>
      </c>
      <c r="F244" s="92">
        <v>1</v>
      </c>
      <c r="G244" s="92"/>
      <c r="H244" s="92">
        <v>1</v>
      </c>
      <c r="I244" s="92"/>
      <c r="J244" s="92">
        <v>1</v>
      </c>
      <c r="K244" s="92"/>
      <c r="L244" s="92"/>
      <c r="M244" s="92"/>
      <c r="N244" s="92"/>
      <c r="O244" s="92"/>
      <c r="P244" s="92"/>
      <c r="Q244" s="92"/>
      <c r="R244" s="92">
        <v>1</v>
      </c>
      <c r="S244" s="92">
        <v>1</v>
      </c>
      <c r="T244" s="93">
        <v>1</v>
      </c>
      <c r="U244" s="93">
        <f t="shared" si="105"/>
        <v>944.91</v>
      </c>
      <c r="V244" s="107">
        <v>919.73</v>
      </c>
      <c r="W244" s="107">
        <v>965</v>
      </c>
      <c r="X244" s="107">
        <v>950</v>
      </c>
      <c r="Y244" s="92">
        <v>207</v>
      </c>
      <c r="Z244" s="92">
        <f t="shared" si="106"/>
        <v>0</v>
      </c>
      <c r="AA244" s="95" t="s">
        <v>349</v>
      </c>
      <c r="AB244" s="97">
        <f t="shared" si="107"/>
        <v>6614.37</v>
      </c>
      <c r="AC244" s="97">
        <f t="shared" si="108"/>
        <v>944.91</v>
      </c>
      <c r="AD244" s="97">
        <f t="shared" si="109"/>
        <v>944.91</v>
      </c>
      <c r="AE244" s="97">
        <f t="shared" si="110"/>
        <v>944.91</v>
      </c>
      <c r="AF244" s="97">
        <f t="shared" si="111"/>
        <v>0</v>
      </c>
      <c r="AG244" s="97">
        <f t="shared" si="112"/>
        <v>944.91</v>
      </c>
      <c r="AH244" s="97">
        <f t="shared" si="113"/>
        <v>0</v>
      </c>
      <c r="AI244" s="97">
        <f t="shared" si="114"/>
        <v>944.91</v>
      </c>
      <c r="AJ244" s="97">
        <f t="shared" si="115"/>
        <v>0</v>
      </c>
      <c r="AK244" s="97">
        <f t="shared" si="116"/>
        <v>0</v>
      </c>
      <c r="AL244" s="97">
        <f t="shared" si="117"/>
        <v>0</v>
      </c>
      <c r="AM244" s="97">
        <f t="shared" si="118"/>
        <v>0</v>
      </c>
      <c r="AN244" s="97">
        <f t="shared" si="119"/>
        <v>0</v>
      </c>
      <c r="AO244" s="97">
        <f t="shared" si="120"/>
        <v>0</v>
      </c>
      <c r="AP244" s="97">
        <f t="shared" si="121"/>
        <v>0</v>
      </c>
      <c r="AQ244" s="97">
        <f t="shared" si="122"/>
        <v>944.91</v>
      </c>
      <c r="AR244" s="97">
        <f t="shared" si="123"/>
        <v>944.91</v>
      </c>
    </row>
    <row r="245" spans="1:44" s="98" customFormat="1" ht="39" outlineLevel="2" x14ac:dyDescent="0.35">
      <c r="A245" s="89" t="s">
        <v>223</v>
      </c>
      <c r="B245" s="90" t="s">
        <v>20</v>
      </c>
      <c r="C245" s="93">
        <v>0</v>
      </c>
      <c r="D245" s="92">
        <v>1</v>
      </c>
      <c r="E245" s="92"/>
      <c r="F245" s="92">
        <v>1</v>
      </c>
      <c r="G245" s="92"/>
      <c r="H245" s="92">
        <v>1</v>
      </c>
      <c r="I245" s="92"/>
      <c r="J245" s="92">
        <v>1</v>
      </c>
      <c r="K245" s="92"/>
      <c r="L245" s="92"/>
      <c r="M245" s="92"/>
      <c r="N245" s="92">
        <v>1</v>
      </c>
      <c r="O245" s="92"/>
      <c r="P245" s="92"/>
      <c r="Q245" s="92"/>
      <c r="R245" s="92"/>
      <c r="S245" s="92">
        <v>2</v>
      </c>
      <c r="T245" s="93">
        <v>1</v>
      </c>
      <c r="U245" s="93">
        <f t="shared" si="105"/>
        <v>1157.73</v>
      </c>
      <c r="V245" s="107">
        <v>1200</v>
      </c>
      <c r="W245" s="107">
        <v>1150</v>
      </c>
      <c r="X245" s="107">
        <v>1123.19</v>
      </c>
      <c r="Y245" s="92">
        <f>AVERAGE(V245:X245)</f>
        <v>1157.73</v>
      </c>
      <c r="Z245" s="92">
        <f t="shared" si="106"/>
        <v>0</v>
      </c>
      <c r="AA245" s="95" t="s">
        <v>349</v>
      </c>
      <c r="AB245" s="97">
        <f t="shared" si="107"/>
        <v>8104.11</v>
      </c>
      <c r="AC245" s="97">
        <f t="shared" ref="AC245:AC266" si="124">D245*$U245</f>
        <v>1157.73</v>
      </c>
      <c r="AD245" s="97">
        <f t="shared" ref="AD245:AD266" si="125">E245*$U245</f>
        <v>0</v>
      </c>
      <c r="AE245" s="97">
        <f t="shared" ref="AE245:AE266" si="126">F245*$U245</f>
        <v>1157.73</v>
      </c>
      <c r="AF245" s="97">
        <f t="shared" ref="AF245:AF266" si="127">G245*$U245</f>
        <v>0</v>
      </c>
      <c r="AG245" s="97">
        <f t="shared" ref="AG245:AG266" si="128">H245*$U245</f>
        <v>1157.73</v>
      </c>
      <c r="AH245" s="97">
        <f t="shared" ref="AH245:AH266" si="129">I245*$U245</f>
        <v>0</v>
      </c>
      <c r="AI245" s="97">
        <f t="shared" ref="AI245:AI266" si="130">J245*$U245</f>
        <v>1157.73</v>
      </c>
      <c r="AJ245" s="97">
        <f t="shared" ref="AJ245:AJ266" si="131">K245*$U245</f>
        <v>0</v>
      </c>
      <c r="AK245" s="97">
        <f t="shared" ref="AK245:AK266" si="132">L245*$U245</f>
        <v>0</v>
      </c>
      <c r="AL245" s="97">
        <f t="shared" ref="AL245:AL266" si="133">M245*$U245</f>
        <v>0</v>
      </c>
      <c r="AM245" s="97">
        <f t="shared" ref="AM245:AM266" si="134">N245*$U245</f>
        <v>1157.73</v>
      </c>
      <c r="AN245" s="97">
        <f t="shared" ref="AN245:AN266" si="135">O245*$U245</f>
        <v>0</v>
      </c>
      <c r="AO245" s="97">
        <f t="shared" ref="AO245:AO266" si="136">P245*$U245</f>
        <v>0</v>
      </c>
      <c r="AP245" s="97">
        <f t="shared" ref="AP245:AP266" si="137">Q245*$U245</f>
        <v>0</v>
      </c>
      <c r="AQ245" s="97">
        <f t="shared" ref="AQ245:AQ266" si="138">R245*$U245</f>
        <v>0</v>
      </c>
      <c r="AR245" s="97">
        <f t="shared" ref="AR245:AR266" si="139">S245*$U245</f>
        <v>2315.46</v>
      </c>
    </row>
    <row r="246" spans="1:44" s="98" customFormat="1" ht="52" outlineLevel="2" x14ac:dyDescent="0.35">
      <c r="A246" s="89" t="s">
        <v>224</v>
      </c>
      <c r="B246" s="90" t="s">
        <v>20</v>
      </c>
      <c r="C246" s="93">
        <v>0</v>
      </c>
      <c r="D246" s="92">
        <v>1</v>
      </c>
      <c r="E246" s="92"/>
      <c r="F246" s="92"/>
      <c r="G246" s="92"/>
      <c r="H246" s="92">
        <v>1</v>
      </c>
      <c r="I246" s="92"/>
      <c r="J246" s="92"/>
      <c r="K246" s="92"/>
      <c r="L246" s="92"/>
      <c r="M246" s="92"/>
      <c r="N246" s="92">
        <v>1</v>
      </c>
      <c r="O246" s="92"/>
      <c r="P246" s="92"/>
      <c r="Q246" s="92"/>
      <c r="R246" s="92">
        <v>2</v>
      </c>
      <c r="S246" s="92">
        <v>3</v>
      </c>
      <c r="T246" s="93">
        <v>1</v>
      </c>
      <c r="U246" s="93">
        <f t="shared" si="105"/>
        <v>1157.9666666666667</v>
      </c>
      <c r="V246" s="92">
        <v>1200</v>
      </c>
      <c r="W246" s="92">
        <v>1150</v>
      </c>
      <c r="X246" s="92">
        <v>1123.9000000000001</v>
      </c>
      <c r="Y246" s="92">
        <v>209</v>
      </c>
      <c r="Z246" s="92">
        <f t="shared" si="106"/>
        <v>0</v>
      </c>
      <c r="AA246" s="95" t="s">
        <v>349</v>
      </c>
      <c r="AB246" s="97">
        <f t="shared" si="107"/>
        <v>9263.7333333333336</v>
      </c>
      <c r="AC246" s="97">
        <f t="shared" si="124"/>
        <v>1157.9666666666667</v>
      </c>
      <c r="AD246" s="97">
        <f t="shared" si="125"/>
        <v>0</v>
      </c>
      <c r="AE246" s="97">
        <f t="shared" si="126"/>
        <v>0</v>
      </c>
      <c r="AF246" s="97">
        <f t="shared" si="127"/>
        <v>0</v>
      </c>
      <c r="AG246" s="97">
        <f t="shared" si="128"/>
        <v>1157.9666666666667</v>
      </c>
      <c r="AH246" s="97">
        <f t="shared" si="129"/>
        <v>0</v>
      </c>
      <c r="AI246" s="97">
        <f t="shared" si="130"/>
        <v>0</v>
      </c>
      <c r="AJ246" s="97">
        <f t="shared" si="131"/>
        <v>0</v>
      </c>
      <c r="AK246" s="97">
        <f t="shared" si="132"/>
        <v>0</v>
      </c>
      <c r="AL246" s="97">
        <f t="shared" si="133"/>
        <v>0</v>
      </c>
      <c r="AM246" s="97">
        <f t="shared" si="134"/>
        <v>1157.9666666666667</v>
      </c>
      <c r="AN246" s="97">
        <f t="shared" si="135"/>
        <v>0</v>
      </c>
      <c r="AO246" s="97">
        <f t="shared" si="136"/>
        <v>0</v>
      </c>
      <c r="AP246" s="97">
        <f t="shared" si="137"/>
        <v>0</v>
      </c>
      <c r="AQ246" s="97">
        <f t="shared" si="138"/>
        <v>2315.9333333333334</v>
      </c>
      <c r="AR246" s="97">
        <f t="shared" si="139"/>
        <v>3473.9</v>
      </c>
    </row>
    <row r="247" spans="1:44" s="98" customFormat="1" ht="52" outlineLevel="2" x14ac:dyDescent="0.35">
      <c r="A247" s="89" t="s">
        <v>225</v>
      </c>
      <c r="B247" s="90" t="s">
        <v>20</v>
      </c>
      <c r="C247" s="93">
        <v>0</v>
      </c>
      <c r="D247" s="92">
        <v>1</v>
      </c>
      <c r="E247" s="92">
        <v>2</v>
      </c>
      <c r="F247" s="92"/>
      <c r="G247" s="92"/>
      <c r="H247" s="92"/>
      <c r="I247" s="92"/>
      <c r="J247" s="92"/>
      <c r="K247" s="92"/>
      <c r="L247" s="92"/>
      <c r="M247" s="92"/>
      <c r="N247" s="92"/>
      <c r="O247" s="92"/>
      <c r="P247" s="92"/>
      <c r="Q247" s="92"/>
      <c r="R247" s="92"/>
      <c r="S247" s="92"/>
      <c r="T247" s="93">
        <v>1</v>
      </c>
      <c r="U247" s="93">
        <f t="shared" si="105"/>
        <v>1017</v>
      </c>
      <c r="V247" s="92">
        <v>1017</v>
      </c>
      <c r="W247" s="92"/>
      <c r="X247" s="92"/>
      <c r="Y247" s="92">
        <v>210</v>
      </c>
      <c r="Z247" s="92">
        <f t="shared" si="106"/>
        <v>0</v>
      </c>
      <c r="AA247" s="95" t="s">
        <v>349</v>
      </c>
      <c r="AB247" s="97">
        <f t="shared" si="107"/>
        <v>3051</v>
      </c>
      <c r="AC247" s="97">
        <f t="shared" si="124"/>
        <v>1017</v>
      </c>
      <c r="AD247" s="97">
        <f t="shared" si="125"/>
        <v>2034</v>
      </c>
      <c r="AE247" s="97">
        <f t="shared" si="126"/>
        <v>0</v>
      </c>
      <c r="AF247" s="97">
        <f t="shared" si="127"/>
        <v>0</v>
      </c>
      <c r="AG247" s="97">
        <f t="shared" si="128"/>
        <v>0</v>
      </c>
      <c r="AH247" s="97">
        <f t="shared" si="129"/>
        <v>0</v>
      </c>
      <c r="AI247" s="97">
        <f t="shared" si="130"/>
        <v>0</v>
      </c>
      <c r="AJ247" s="97">
        <f t="shared" si="131"/>
        <v>0</v>
      </c>
      <c r="AK247" s="97">
        <f t="shared" si="132"/>
        <v>0</v>
      </c>
      <c r="AL247" s="97">
        <f t="shared" si="133"/>
        <v>0</v>
      </c>
      <c r="AM247" s="97">
        <f t="shared" si="134"/>
        <v>0</v>
      </c>
      <c r="AN247" s="97">
        <f t="shared" si="135"/>
        <v>0</v>
      </c>
      <c r="AO247" s="97">
        <f t="shared" si="136"/>
        <v>0</v>
      </c>
      <c r="AP247" s="97">
        <f t="shared" si="137"/>
        <v>0</v>
      </c>
      <c r="AQ247" s="97">
        <f t="shared" si="138"/>
        <v>0</v>
      </c>
      <c r="AR247" s="97">
        <f t="shared" si="139"/>
        <v>0</v>
      </c>
    </row>
    <row r="248" spans="1:44" s="98" customFormat="1" ht="26" outlineLevel="2" x14ac:dyDescent="0.35">
      <c r="A248" s="89" t="s">
        <v>226</v>
      </c>
      <c r="B248" s="90" t="s">
        <v>20</v>
      </c>
      <c r="C248" s="93">
        <v>0</v>
      </c>
      <c r="D248" s="92">
        <v>1</v>
      </c>
      <c r="E248" s="92">
        <v>6</v>
      </c>
      <c r="F248" s="92"/>
      <c r="G248" s="92"/>
      <c r="H248" s="92">
        <v>1</v>
      </c>
      <c r="I248" s="92"/>
      <c r="J248" s="92"/>
      <c r="K248" s="92"/>
      <c r="L248" s="92"/>
      <c r="M248" s="92"/>
      <c r="N248" s="92"/>
      <c r="O248" s="92"/>
      <c r="P248" s="92"/>
      <c r="Q248" s="92"/>
      <c r="R248" s="92"/>
      <c r="S248" s="92"/>
      <c r="T248" s="93">
        <v>1</v>
      </c>
      <c r="U248" s="93">
        <v>66.47</v>
      </c>
      <c r="V248" s="111"/>
      <c r="W248" s="111"/>
      <c r="X248" s="111"/>
      <c r="Y248" s="92">
        <v>212</v>
      </c>
      <c r="Z248" s="92">
        <f t="shared" si="106"/>
        <v>0</v>
      </c>
      <c r="AA248" s="95" t="s">
        <v>349</v>
      </c>
      <c r="AB248" s="97">
        <f t="shared" si="107"/>
        <v>531.76</v>
      </c>
      <c r="AC248" s="97">
        <f t="shared" si="124"/>
        <v>66.47</v>
      </c>
      <c r="AD248" s="97">
        <f t="shared" si="125"/>
        <v>398.82</v>
      </c>
      <c r="AE248" s="97">
        <f t="shared" si="126"/>
        <v>0</v>
      </c>
      <c r="AF248" s="97">
        <f t="shared" si="127"/>
        <v>0</v>
      </c>
      <c r="AG248" s="97">
        <f t="shared" si="128"/>
        <v>66.47</v>
      </c>
      <c r="AH248" s="97">
        <f t="shared" si="129"/>
        <v>0</v>
      </c>
      <c r="AI248" s="97">
        <f t="shared" si="130"/>
        <v>0</v>
      </c>
      <c r="AJ248" s="97">
        <f t="shared" si="131"/>
        <v>0</v>
      </c>
      <c r="AK248" s="97">
        <f t="shared" si="132"/>
        <v>0</v>
      </c>
      <c r="AL248" s="97">
        <f t="shared" si="133"/>
        <v>0</v>
      </c>
      <c r="AM248" s="97">
        <f t="shared" si="134"/>
        <v>0</v>
      </c>
      <c r="AN248" s="97">
        <f t="shared" si="135"/>
        <v>0</v>
      </c>
      <c r="AO248" s="97">
        <f t="shared" si="136"/>
        <v>0</v>
      </c>
      <c r="AP248" s="97">
        <f t="shared" si="137"/>
        <v>0</v>
      </c>
      <c r="AQ248" s="97">
        <f t="shared" si="138"/>
        <v>0</v>
      </c>
      <c r="AR248" s="97">
        <f t="shared" si="139"/>
        <v>0</v>
      </c>
    </row>
    <row r="249" spans="1:44" s="98" customFormat="1" ht="39" outlineLevel="2" x14ac:dyDescent="0.35">
      <c r="A249" s="89" t="s">
        <v>227</v>
      </c>
      <c r="B249" s="90" t="s">
        <v>20</v>
      </c>
      <c r="C249" s="93">
        <v>0</v>
      </c>
      <c r="D249" s="92"/>
      <c r="E249" s="92">
        <v>2</v>
      </c>
      <c r="F249" s="92"/>
      <c r="G249" s="92"/>
      <c r="H249" s="92"/>
      <c r="I249" s="92"/>
      <c r="J249" s="92"/>
      <c r="K249" s="92"/>
      <c r="L249" s="92"/>
      <c r="M249" s="92"/>
      <c r="N249" s="92"/>
      <c r="O249" s="92"/>
      <c r="P249" s="92"/>
      <c r="Q249" s="92"/>
      <c r="R249" s="92"/>
      <c r="S249" s="92"/>
      <c r="T249" s="93">
        <v>1</v>
      </c>
      <c r="U249" s="93">
        <v>356</v>
      </c>
      <c r="V249" s="111"/>
      <c r="W249" s="111"/>
      <c r="X249" s="111"/>
      <c r="Y249" s="92">
        <v>215</v>
      </c>
      <c r="Z249" s="92">
        <f t="shared" si="106"/>
        <v>0</v>
      </c>
      <c r="AA249" s="95" t="s">
        <v>349</v>
      </c>
      <c r="AB249" s="97">
        <f t="shared" si="107"/>
        <v>712</v>
      </c>
      <c r="AC249" s="97">
        <f t="shared" si="124"/>
        <v>0</v>
      </c>
      <c r="AD249" s="97">
        <f t="shared" si="125"/>
        <v>712</v>
      </c>
      <c r="AE249" s="97">
        <f t="shared" si="126"/>
        <v>0</v>
      </c>
      <c r="AF249" s="97">
        <f t="shared" si="127"/>
        <v>0</v>
      </c>
      <c r="AG249" s="97">
        <f t="shared" si="128"/>
        <v>0</v>
      </c>
      <c r="AH249" s="97">
        <f t="shared" si="129"/>
        <v>0</v>
      </c>
      <c r="AI249" s="97">
        <f t="shared" si="130"/>
        <v>0</v>
      </c>
      <c r="AJ249" s="97">
        <f t="shared" si="131"/>
        <v>0</v>
      </c>
      <c r="AK249" s="97">
        <f t="shared" si="132"/>
        <v>0</v>
      </c>
      <c r="AL249" s="97">
        <f t="shared" si="133"/>
        <v>0</v>
      </c>
      <c r="AM249" s="97">
        <f t="shared" si="134"/>
        <v>0</v>
      </c>
      <c r="AN249" s="97">
        <f t="shared" si="135"/>
        <v>0</v>
      </c>
      <c r="AO249" s="97">
        <f t="shared" si="136"/>
        <v>0</v>
      </c>
      <c r="AP249" s="97">
        <f t="shared" si="137"/>
        <v>0</v>
      </c>
      <c r="AQ249" s="97">
        <f t="shared" si="138"/>
        <v>0</v>
      </c>
      <c r="AR249" s="97">
        <f t="shared" si="139"/>
        <v>0</v>
      </c>
    </row>
    <row r="250" spans="1:44" s="106" customFormat="1" ht="26" outlineLevel="2" x14ac:dyDescent="0.35">
      <c r="A250" s="89" t="s">
        <v>214</v>
      </c>
      <c r="B250" s="90" t="s">
        <v>254</v>
      </c>
      <c r="C250" s="93">
        <v>0</v>
      </c>
      <c r="D250" s="92"/>
      <c r="E250" s="92"/>
      <c r="F250" s="92">
        <v>1</v>
      </c>
      <c r="G250" s="92"/>
      <c r="H250" s="92"/>
      <c r="I250" s="92"/>
      <c r="J250" s="92"/>
      <c r="K250" s="92"/>
      <c r="L250" s="92"/>
      <c r="M250" s="92"/>
      <c r="N250" s="92">
        <v>1</v>
      </c>
      <c r="O250" s="92"/>
      <c r="P250" s="92">
        <v>1</v>
      </c>
      <c r="Q250" s="92"/>
      <c r="R250" s="92"/>
      <c r="S250" s="92">
        <v>1</v>
      </c>
      <c r="T250" s="93">
        <v>1</v>
      </c>
      <c r="U250" s="93">
        <f>AVERAGE(V250:X250)</f>
        <v>17500</v>
      </c>
      <c r="V250" s="111">
        <v>17500</v>
      </c>
      <c r="W250" s="111"/>
      <c r="X250" s="111"/>
      <c r="Y250" s="92">
        <v>217</v>
      </c>
      <c r="Z250" s="92">
        <f t="shared" si="106"/>
        <v>0</v>
      </c>
      <c r="AA250" s="95" t="s">
        <v>349</v>
      </c>
      <c r="AB250" s="97">
        <f t="shared" si="107"/>
        <v>70000</v>
      </c>
      <c r="AC250" s="97">
        <f t="shared" si="124"/>
        <v>0</v>
      </c>
      <c r="AD250" s="97">
        <f t="shared" si="125"/>
        <v>0</v>
      </c>
      <c r="AE250" s="97">
        <f t="shared" si="126"/>
        <v>17500</v>
      </c>
      <c r="AF250" s="97">
        <f t="shared" si="127"/>
        <v>0</v>
      </c>
      <c r="AG250" s="97">
        <f t="shared" si="128"/>
        <v>0</v>
      </c>
      <c r="AH250" s="97">
        <f t="shared" si="129"/>
        <v>0</v>
      </c>
      <c r="AI250" s="97">
        <f t="shared" si="130"/>
        <v>0</v>
      </c>
      <c r="AJ250" s="97">
        <f t="shared" si="131"/>
        <v>0</v>
      </c>
      <c r="AK250" s="97">
        <f t="shared" si="132"/>
        <v>0</v>
      </c>
      <c r="AL250" s="97">
        <f t="shared" si="133"/>
        <v>0</v>
      </c>
      <c r="AM250" s="97">
        <f t="shared" si="134"/>
        <v>17500</v>
      </c>
      <c r="AN250" s="97">
        <f t="shared" si="135"/>
        <v>0</v>
      </c>
      <c r="AO250" s="97">
        <f t="shared" si="136"/>
        <v>17500</v>
      </c>
      <c r="AP250" s="97">
        <f t="shared" si="137"/>
        <v>0</v>
      </c>
      <c r="AQ250" s="97">
        <f t="shared" si="138"/>
        <v>0</v>
      </c>
      <c r="AR250" s="97">
        <f t="shared" si="139"/>
        <v>17500</v>
      </c>
    </row>
    <row r="251" spans="1:44" s="106" customFormat="1" ht="26" outlineLevel="2" x14ac:dyDescent="0.35">
      <c r="A251" s="89" t="s">
        <v>231</v>
      </c>
      <c r="B251" s="90" t="s">
        <v>232</v>
      </c>
      <c r="C251" s="93">
        <v>0</v>
      </c>
      <c r="D251" s="92"/>
      <c r="E251" s="92">
        <v>100</v>
      </c>
      <c r="F251" s="92"/>
      <c r="G251" s="92"/>
      <c r="H251" s="92"/>
      <c r="I251" s="92">
        <v>50</v>
      </c>
      <c r="J251" s="92"/>
      <c r="K251" s="92"/>
      <c r="L251" s="92"/>
      <c r="M251" s="92">
        <v>100</v>
      </c>
      <c r="N251" s="92">
        <v>16</v>
      </c>
      <c r="O251" s="92"/>
      <c r="P251" s="92"/>
      <c r="Q251" s="92">
        <v>20</v>
      </c>
      <c r="R251" s="92"/>
      <c r="S251" s="92">
        <v>10</v>
      </c>
      <c r="T251" s="93">
        <v>1</v>
      </c>
      <c r="U251" s="93">
        <v>34.67</v>
      </c>
      <c r="V251" s="111"/>
      <c r="W251" s="111"/>
      <c r="X251" s="111"/>
      <c r="Y251" s="92">
        <v>218</v>
      </c>
      <c r="Z251" s="92">
        <f t="shared" si="106"/>
        <v>0</v>
      </c>
      <c r="AA251" s="95" t="s">
        <v>349</v>
      </c>
      <c r="AB251" s="97">
        <f t="shared" si="107"/>
        <v>10262.32</v>
      </c>
      <c r="AC251" s="97">
        <f t="shared" si="124"/>
        <v>0</v>
      </c>
      <c r="AD251" s="97">
        <f t="shared" si="125"/>
        <v>3467</v>
      </c>
      <c r="AE251" s="97">
        <f t="shared" si="126"/>
        <v>0</v>
      </c>
      <c r="AF251" s="97">
        <f t="shared" si="127"/>
        <v>0</v>
      </c>
      <c r="AG251" s="97">
        <f t="shared" si="128"/>
        <v>0</v>
      </c>
      <c r="AH251" s="97">
        <f t="shared" si="129"/>
        <v>1733.5</v>
      </c>
      <c r="AI251" s="97">
        <f t="shared" si="130"/>
        <v>0</v>
      </c>
      <c r="AJ251" s="97">
        <f t="shared" si="131"/>
        <v>0</v>
      </c>
      <c r="AK251" s="97">
        <f t="shared" si="132"/>
        <v>0</v>
      </c>
      <c r="AL251" s="97">
        <f t="shared" si="133"/>
        <v>3467</v>
      </c>
      <c r="AM251" s="97">
        <f t="shared" si="134"/>
        <v>554.72</v>
      </c>
      <c r="AN251" s="97">
        <f t="shared" si="135"/>
        <v>0</v>
      </c>
      <c r="AO251" s="97">
        <f t="shared" si="136"/>
        <v>0</v>
      </c>
      <c r="AP251" s="97">
        <f t="shared" si="137"/>
        <v>693.40000000000009</v>
      </c>
      <c r="AQ251" s="97">
        <f t="shared" si="138"/>
        <v>0</v>
      </c>
      <c r="AR251" s="97">
        <f t="shared" si="139"/>
        <v>346.70000000000005</v>
      </c>
    </row>
    <row r="252" spans="1:44" s="106" customFormat="1" ht="26" outlineLevel="2" x14ac:dyDescent="0.35">
      <c r="A252" s="89" t="s">
        <v>233</v>
      </c>
      <c r="B252" s="90" t="s">
        <v>140</v>
      </c>
      <c r="C252" s="93">
        <v>0</v>
      </c>
      <c r="D252" s="92"/>
      <c r="E252" s="92">
        <v>10</v>
      </c>
      <c r="F252" s="92"/>
      <c r="G252" s="92"/>
      <c r="H252" s="92"/>
      <c r="I252" s="92"/>
      <c r="J252" s="92"/>
      <c r="K252" s="92"/>
      <c r="L252" s="92"/>
      <c r="M252" s="92"/>
      <c r="N252" s="92"/>
      <c r="O252" s="92"/>
      <c r="P252" s="92"/>
      <c r="Q252" s="92"/>
      <c r="R252" s="92"/>
      <c r="S252" s="92"/>
      <c r="T252" s="93">
        <v>1</v>
      </c>
      <c r="U252" s="93">
        <f t="shared" ref="U252:U266" si="140">AVERAGE(V252:X252)</f>
        <v>153.33333333333334</v>
      </c>
      <c r="V252" s="92">
        <v>160</v>
      </c>
      <c r="W252" s="92">
        <v>150</v>
      </c>
      <c r="X252" s="92">
        <v>150</v>
      </c>
      <c r="Y252" s="92">
        <v>219</v>
      </c>
      <c r="Z252" s="92">
        <f t="shared" si="106"/>
        <v>0</v>
      </c>
      <c r="AA252" s="95" t="s">
        <v>349</v>
      </c>
      <c r="AB252" s="97">
        <f t="shared" si="107"/>
        <v>1533.3333333333335</v>
      </c>
      <c r="AC252" s="97">
        <f t="shared" si="124"/>
        <v>0</v>
      </c>
      <c r="AD252" s="97">
        <f t="shared" si="125"/>
        <v>1533.3333333333335</v>
      </c>
      <c r="AE252" s="97">
        <f t="shared" si="126"/>
        <v>0</v>
      </c>
      <c r="AF252" s="97">
        <f t="shared" si="127"/>
        <v>0</v>
      </c>
      <c r="AG252" s="97">
        <f t="shared" si="128"/>
        <v>0</v>
      </c>
      <c r="AH252" s="97">
        <f t="shared" si="129"/>
        <v>0</v>
      </c>
      <c r="AI252" s="97">
        <f t="shared" si="130"/>
        <v>0</v>
      </c>
      <c r="AJ252" s="97">
        <f t="shared" si="131"/>
        <v>0</v>
      </c>
      <c r="AK252" s="97">
        <f t="shared" si="132"/>
        <v>0</v>
      </c>
      <c r="AL252" s="97">
        <f t="shared" si="133"/>
        <v>0</v>
      </c>
      <c r="AM252" s="97">
        <f t="shared" si="134"/>
        <v>0</v>
      </c>
      <c r="AN252" s="97">
        <f t="shared" si="135"/>
        <v>0</v>
      </c>
      <c r="AO252" s="97">
        <f t="shared" si="136"/>
        <v>0</v>
      </c>
      <c r="AP252" s="97">
        <f t="shared" si="137"/>
        <v>0</v>
      </c>
      <c r="AQ252" s="97">
        <f t="shared" si="138"/>
        <v>0</v>
      </c>
      <c r="AR252" s="97">
        <f t="shared" si="139"/>
        <v>0</v>
      </c>
    </row>
    <row r="253" spans="1:44" s="106" customFormat="1" ht="26" outlineLevel="2" x14ac:dyDescent="0.35">
      <c r="A253" s="89" t="s">
        <v>234</v>
      </c>
      <c r="B253" s="90" t="s">
        <v>140</v>
      </c>
      <c r="C253" s="93">
        <v>0</v>
      </c>
      <c r="D253" s="92"/>
      <c r="E253" s="92">
        <v>10</v>
      </c>
      <c r="F253" s="92"/>
      <c r="G253" s="92"/>
      <c r="H253" s="92"/>
      <c r="I253" s="92"/>
      <c r="J253" s="92"/>
      <c r="K253" s="92"/>
      <c r="L253" s="92"/>
      <c r="M253" s="92"/>
      <c r="N253" s="92"/>
      <c r="O253" s="92"/>
      <c r="P253" s="92"/>
      <c r="Q253" s="92"/>
      <c r="R253" s="92"/>
      <c r="S253" s="92"/>
      <c r="T253" s="93">
        <v>1</v>
      </c>
      <c r="U253" s="93">
        <f t="shared" si="140"/>
        <v>80</v>
      </c>
      <c r="V253" s="92">
        <v>80</v>
      </c>
      <c r="W253" s="92">
        <v>80</v>
      </c>
      <c r="X253" s="92">
        <v>80</v>
      </c>
      <c r="Y253" s="92">
        <v>220</v>
      </c>
      <c r="Z253" s="92">
        <f t="shared" si="106"/>
        <v>0</v>
      </c>
      <c r="AA253" s="95" t="s">
        <v>349</v>
      </c>
      <c r="AB253" s="97">
        <f t="shared" si="107"/>
        <v>800</v>
      </c>
      <c r="AC253" s="97">
        <f t="shared" si="124"/>
        <v>0</v>
      </c>
      <c r="AD253" s="97">
        <f t="shared" si="125"/>
        <v>800</v>
      </c>
      <c r="AE253" s="97">
        <f t="shared" si="126"/>
        <v>0</v>
      </c>
      <c r="AF253" s="97">
        <f t="shared" si="127"/>
        <v>0</v>
      </c>
      <c r="AG253" s="97">
        <f t="shared" si="128"/>
        <v>0</v>
      </c>
      <c r="AH253" s="97">
        <f t="shared" si="129"/>
        <v>0</v>
      </c>
      <c r="AI253" s="97">
        <f t="shared" si="130"/>
        <v>0</v>
      </c>
      <c r="AJ253" s="97">
        <f t="shared" si="131"/>
        <v>0</v>
      </c>
      <c r="AK253" s="97">
        <f t="shared" si="132"/>
        <v>0</v>
      </c>
      <c r="AL253" s="97">
        <f t="shared" si="133"/>
        <v>0</v>
      </c>
      <c r="AM253" s="97">
        <f t="shared" si="134"/>
        <v>0</v>
      </c>
      <c r="AN253" s="97">
        <f t="shared" si="135"/>
        <v>0</v>
      </c>
      <c r="AO253" s="97">
        <f t="shared" si="136"/>
        <v>0</v>
      </c>
      <c r="AP253" s="97">
        <f t="shared" si="137"/>
        <v>0</v>
      </c>
      <c r="AQ253" s="97">
        <f t="shared" si="138"/>
        <v>0</v>
      </c>
      <c r="AR253" s="97">
        <f t="shared" si="139"/>
        <v>0</v>
      </c>
    </row>
    <row r="254" spans="1:44" s="106" customFormat="1" ht="26" outlineLevel="2" x14ac:dyDescent="0.35">
      <c r="A254" s="89" t="s">
        <v>235</v>
      </c>
      <c r="B254" s="90" t="s">
        <v>20</v>
      </c>
      <c r="C254" s="93">
        <v>0</v>
      </c>
      <c r="D254" s="92"/>
      <c r="E254" s="92">
        <v>8</v>
      </c>
      <c r="F254" s="92"/>
      <c r="G254" s="92"/>
      <c r="H254" s="92"/>
      <c r="I254" s="92"/>
      <c r="J254" s="92"/>
      <c r="K254" s="92"/>
      <c r="L254" s="92"/>
      <c r="M254" s="92"/>
      <c r="N254" s="92"/>
      <c r="O254" s="92"/>
      <c r="P254" s="92"/>
      <c r="Q254" s="92">
        <v>2</v>
      </c>
      <c r="R254" s="92"/>
      <c r="S254" s="92"/>
      <c r="T254" s="93">
        <v>5</v>
      </c>
      <c r="U254" s="93">
        <f t="shared" si="140"/>
        <v>183.33333333333334</v>
      </c>
      <c r="V254" s="92">
        <v>184</v>
      </c>
      <c r="W254" s="92">
        <v>183</v>
      </c>
      <c r="X254" s="92">
        <v>183</v>
      </c>
      <c r="Y254" s="92">
        <v>221</v>
      </c>
      <c r="Z254" s="92">
        <f t="shared" si="106"/>
        <v>0</v>
      </c>
      <c r="AA254" s="95" t="s">
        <v>349</v>
      </c>
      <c r="AB254" s="97">
        <f t="shared" si="107"/>
        <v>1833.3333333333335</v>
      </c>
      <c r="AC254" s="97">
        <f t="shared" si="124"/>
        <v>0</v>
      </c>
      <c r="AD254" s="97">
        <f t="shared" si="125"/>
        <v>1466.6666666666667</v>
      </c>
      <c r="AE254" s="97">
        <f t="shared" si="126"/>
        <v>0</v>
      </c>
      <c r="AF254" s="97">
        <f t="shared" si="127"/>
        <v>0</v>
      </c>
      <c r="AG254" s="97">
        <f t="shared" si="128"/>
        <v>0</v>
      </c>
      <c r="AH254" s="97">
        <f t="shared" si="129"/>
        <v>0</v>
      </c>
      <c r="AI254" s="97">
        <f t="shared" si="130"/>
        <v>0</v>
      </c>
      <c r="AJ254" s="97">
        <f t="shared" si="131"/>
        <v>0</v>
      </c>
      <c r="AK254" s="97">
        <f t="shared" si="132"/>
        <v>0</v>
      </c>
      <c r="AL254" s="97">
        <f t="shared" si="133"/>
        <v>0</v>
      </c>
      <c r="AM254" s="97">
        <f t="shared" si="134"/>
        <v>0</v>
      </c>
      <c r="AN254" s="97">
        <f t="shared" si="135"/>
        <v>0</v>
      </c>
      <c r="AO254" s="97">
        <f t="shared" si="136"/>
        <v>0</v>
      </c>
      <c r="AP254" s="97">
        <f t="shared" si="137"/>
        <v>366.66666666666669</v>
      </c>
      <c r="AQ254" s="97">
        <f t="shared" si="138"/>
        <v>0</v>
      </c>
      <c r="AR254" s="97">
        <f t="shared" si="139"/>
        <v>0</v>
      </c>
    </row>
    <row r="255" spans="1:44" s="106" customFormat="1" ht="26" outlineLevel="2" x14ac:dyDescent="0.35">
      <c r="A255" s="89" t="s">
        <v>139</v>
      </c>
      <c r="B255" s="90" t="s">
        <v>140</v>
      </c>
      <c r="C255" s="93">
        <v>0</v>
      </c>
      <c r="D255" s="92"/>
      <c r="E255" s="92">
        <v>108</v>
      </c>
      <c r="F255" s="92"/>
      <c r="G255" s="92"/>
      <c r="H255" s="92"/>
      <c r="I255" s="92"/>
      <c r="J255" s="92"/>
      <c r="K255" s="92"/>
      <c r="L255" s="92"/>
      <c r="M255" s="92"/>
      <c r="N255" s="92"/>
      <c r="O255" s="92"/>
      <c r="P255" s="92"/>
      <c r="Q255" s="92">
        <v>10</v>
      </c>
      <c r="R255" s="92"/>
      <c r="S255" s="92"/>
      <c r="T255" s="93">
        <v>1</v>
      </c>
      <c r="U255" s="93">
        <f t="shared" si="140"/>
        <v>76</v>
      </c>
      <c r="V255" s="111">
        <v>76</v>
      </c>
      <c r="W255" s="111">
        <v>76</v>
      </c>
      <c r="X255" s="111">
        <v>76</v>
      </c>
      <c r="Y255" s="92">
        <v>222</v>
      </c>
      <c r="Z255" s="92">
        <f t="shared" si="106"/>
        <v>0</v>
      </c>
      <c r="AA255" s="95" t="s">
        <v>349</v>
      </c>
      <c r="AB255" s="97">
        <f t="shared" si="107"/>
        <v>8968</v>
      </c>
      <c r="AC255" s="97">
        <f t="shared" si="124"/>
        <v>0</v>
      </c>
      <c r="AD255" s="97">
        <f t="shared" si="125"/>
        <v>8208</v>
      </c>
      <c r="AE255" s="97">
        <f t="shared" si="126"/>
        <v>0</v>
      </c>
      <c r="AF255" s="97">
        <f t="shared" si="127"/>
        <v>0</v>
      </c>
      <c r="AG255" s="97">
        <f t="shared" si="128"/>
        <v>0</v>
      </c>
      <c r="AH255" s="97">
        <f t="shared" si="129"/>
        <v>0</v>
      </c>
      <c r="AI255" s="97">
        <f t="shared" si="130"/>
        <v>0</v>
      </c>
      <c r="AJ255" s="97">
        <f t="shared" si="131"/>
        <v>0</v>
      </c>
      <c r="AK255" s="97">
        <f t="shared" si="132"/>
        <v>0</v>
      </c>
      <c r="AL255" s="97">
        <f t="shared" si="133"/>
        <v>0</v>
      </c>
      <c r="AM255" s="97">
        <f t="shared" si="134"/>
        <v>0</v>
      </c>
      <c r="AN255" s="97">
        <f t="shared" si="135"/>
        <v>0</v>
      </c>
      <c r="AO255" s="97">
        <f t="shared" si="136"/>
        <v>0</v>
      </c>
      <c r="AP255" s="97">
        <f t="shared" si="137"/>
        <v>760</v>
      </c>
      <c r="AQ255" s="97">
        <f t="shared" si="138"/>
        <v>0</v>
      </c>
      <c r="AR255" s="97">
        <f t="shared" si="139"/>
        <v>0</v>
      </c>
    </row>
    <row r="256" spans="1:44" s="106" customFormat="1" ht="26" outlineLevel="2" x14ac:dyDescent="0.35">
      <c r="A256" s="89" t="s">
        <v>236</v>
      </c>
      <c r="B256" s="90" t="s">
        <v>20</v>
      </c>
      <c r="C256" s="93">
        <v>0</v>
      </c>
      <c r="D256" s="92"/>
      <c r="E256" s="92"/>
      <c r="F256" s="92"/>
      <c r="G256" s="92"/>
      <c r="H256" s="92"/>
      <c r="I256" s="92">
        <v>8</v>
      </c>
      <c r="J256" s="92"/>
      <c r="K256" s="92"/>
      <c r="L256" s="92"/>
      <c r="M256" s="92">
        <v>3</v>
      </c>
      <c r="N256" s="92">
        <v>7</v>
      </c>
      <c r="O256" s="92"/>
      <c r="P256" s="92"/>
      <c r="Q256" s="92">
        <v>4</v>
      </c>
      <c r="R256" s="92"/>
      <c r="S256" s="92"/>
      <c r="T256" s="93">
        <v>5</v>
      </c>
      <c r="U256" s="93">
        <f t="shared" si="140"/>
        <v>305</v>
      </c>
      <c r="V256" s="111">
        <v>356</v>
      </c>
      <c r="W256" s="111">
        <v>235</v>
      </c>
      <c r="X256" s="111">
        <v>324</v>
      </c>
      <c r="Y256" s="92">
        <v>223</v>
      </c>
      <c r="Z256" s="92">
        <f t="shared" si="106"/>
        <v>0</v>
      </c>
      <c r="AA256" s="95" t="s">
        <v>349</v>
      </c>
      <c r="AB256" s="97">
        <f t="shared" si="107"/>
        <v>6710</v>
      </c>
      <c r="AC256" s="97">
        <f t="shared" si="124"/>
        <v>0</v>
      </c>
      <c r="AD256" s="97">
        <f t="shared" si="125"/>
        <v>0</v>
      </c>
      <c r="AE256" s="97">
        <f t="shared" si="126"/>
        <v>0</v>
      </c>
      <c r="AF256" s="97">
        <f t="shared" si="127"/>
        <v>0</v>
      </c>
      <c r="AG256" s="97">
        <f t="shared" si="128"/>
        <v>0</v>
      </c>
      <c r="AH256" s="97">
        <f t="shared" si="129"/>
        <v>2440</v>
      </c>
      <c r="AI256" s="97">
        <f t="shared" si="130"/>
        <v>0</v>
      </c>
      <c r="AJ256" s="97">
        <f t="shared" si="131"/>
        <v>0</v>
      </c>
      <c r="AK256" s="97">
        <f t="shared" si="132"/>
        <v>0</v>
      </c>
      <c r="AL256" s="97">
        <f t="shared" si="133"/>
        <v>915</v>
      </c>
      <c r="AM256" s="97">
        <f t="shared" si="134"/>
        <v>2135</v>
      </c>
      <c r="AN256" s="97">
        <f t="shared" si="135"/>
        <v>0</v>
      </c>
      <c r="AO256" s="97">
        <f t="shared" si="136"/>
        <v>0</v>
      </c>
      <c r="AP256" s="97">
        <f t="shared" si="137"/>
        <v>1220</v>
      </c>
      <c r="AQ256" s="97">
        <f t="shared" si="138"/>
        <v>0</v>
      </c>
      <c r="AR256" s="97">
        <f t="shared" si="139"/>
        <v>0</v>
      </c>
    </row>
    <row r="257" spans="1:44" s="106" customFormat="1" ht="26" outlineLevel="2" x14ac:dyDescent="0.35">
      <c r="A257" s="89" t="s">
        <v>237</v>
      </c>
      <c r="B257" s="90" t="s">
        <v>20</v>
      </c>
      <c r="C257" s="93">
        <v>0</v>
      </c>
      <c r="D257" s="92"/>
      <c r="E257" s="92"/>
      <c r="F257" s="92"/>
      <c r="G257" s="92"/>
      <c r="H257" s="92"/>
      <c r="I257" s="92"/>
      <c r="J257" s="92"/>
      <c r="K257" s="92"/>
      <c r="L257" s="92"/>
      <c r="M257" s="92"/>
      <c r="N257" s="92">
        <v>10</v>
      </c>
      <c r="O257" s="92"/>
      <c r="P257" s="92"/>
      <c r="Q257" s="92"/>
      <c r="R257" s="92"/>
      <c r="S257" s="92"/>
      <c r="T257" s="93">
        <v>1</v>
      </c>
      <c r="U257" s="93">
        <f t="shared" si="140"/>
        <v>139.66666666666666</v>
      </c>
      <c r="V257" s="92">
        <v>130</v>
      </c>
      <c r="W257" s="92">
        <v>156</v>
      </c>
      <c r="X257" s="92">
        <v>133</v>
      </c>
      <c r="Y257" s="92">
        <v>224</v>
      </c>
      <c r="Z257" s="92">
        <f t="shared" si="106"/>
        <v>0</v>
      </c>
      <c r="AA257" s="95" t="s">
        <v>349</v>
      </c>
      <c r="AB257" s="97">
        <f t="shared" si="107"/>
        <v>1396.6666666666665</v>
      </c>
      <c r="AC257" s="97">
        <f t="shared" si="124"/>
        <v>0</v>
      </c>
      <c r="AD257" s="97">
        <f t="shared" si="125"/>
        <v>0</v>
      </c>
      <c r="AE257" s="97">
        <f t="shared" si="126"/>
        <v>0</v>
      </c>
      <c r="AF257" s="97">
        <f t="shared" si="127"/>
        <v>0</v>
      </c>
      <c r="AG257" s="97">
        <f t="shared" si="128"/>
        <v>0</v>
      </c>
      <c r="AH257" s="97">
        <f t="shared" si="129"/>
        <v>0</v>
      </c>
      <c r="AI257" s="97">
        <f t="shared" si="130"/>
        <v>0</v>
      </c>
      <c r="AJ257" s="97">
        <f t="shared" si="131"/>
        <v>0</v>
      </c>
      <c r="AK257" s="97">
        <f t="shared" si="132"/>
        <v>0</v>
      </c>
      <c r="AL257" s="97">
        <f t="shared" si="133"/>
        <v>0</v>
      </c>
      <c r="AM257" s="97">
        <f t="shared" si="134"/>
        <v>1396.6666666666665</v>
      </c>
      <c r="AN257" s="97">
        <f t="shared" si="135"/>
        <v>0</v>
      </c>
      <c r="AO257" s="97">
        <f t="shared" si="136"/>
        <v>0</v>
      </c>
      <c r="AP257" s="97">
        <f t="shared" si="137"/>
        <v>0</v>
      </c>
      <c r="AQ257" s="97">
        <f t="shared" si="138"/>
        <v>0</v>
      </c>
      <c r="AR257" s="97">
        <f t="shared" si="139"/>
        <v>0</v>
      </c>
    </row>
    <row r="258" spans="1:44" s="106" customFormat="1" ht="26" outlineLevel="2" x14ac:dyDescent="0.35">
      <c r="A258" s="89" t="s">
        <v>238</v>
      </c>
      <c r="B258" s="90" t="s">
        <v>20</v>
      </c>
      <c r="C258" s="93">
        <v>0</v>
      </c>
      <c r="D258" s="92"/>
      <c r="E258" s="92"/>
      <c r="F258" s="92"/>
      <c r="G258" s="92"/>
      <c r="H258" s="92"/>
      <c r="I258" s="92"/>
      <c r="J258" s="92"/>
      <c r="K258" s="92"/>
      <c r="L258" s="92"/>
      <c r="M258" s="92"/>
      <c r="N258" s="92">
        <v>3</v>
      </c>
      <c r="O258" s="92"/>
      <c r="P258" s="92"/>
      <c r="Q258" s="92"/>
      <c r="R258" s="92"/>
      <c r="S258" s="92"/>
      <c r="T258" s="93">
        <v>5</v>
      </c>
      <c r="U258" s="93">
        <f t="shared" si="140"/>
        <v>834.66666666666663</v>
      </c>
      <c r="V258" s="92">
        <v>815</v>
      </c>
      <c r="W258" s="92">
        <v>850</v>
      </c>
      <c r="X258" s="92">
        <v>839</v>
      </c>
      <c r="Y258" s="92">
        <v>225</v>
      </c>
      <c r="Z258" s="92">
        <f t="shared" si="106"/>
        <v>0</v>
      </c>
      <c r="AA258" s="95" t="s">
        <v>349</v>
      </c>
      <c r="AB258" s="97">
        <f t="shared" si="107"/>
        <v>2504</v>
      </c>
      <c r="AC258" s="97">
        <f t="shared" si="124"/>
        <v>0</v>
      </c>
      <c r="AD258" s="97">
        <f t="shared" si="125"/>
        <v>0</v>
      </c>
      <c r="AE258" s="97">
        <f t="shared" si="126"/>
        <v>0</v>
      </c>
      <c r="AF258" s="97">
        <f t="shared" si="127"/>
        <v>0</v>
      </c>
      <c r="AG258" s="97">
        <f t="shared" si="128"/>
        <v>0</v>
      </c>
      <c r="AH258" s="97">
        <f t="shared" si="129"/>
        <v>0</v>
      </c>
      <c r="AI258" s="97">
        <f t="shared" si="130"/>
        <v>0</v>
      </c>
      <c r="AJ258" s="97">
        <f t="shared" si="131"/>
        <v>0</v>
      </c>
      <c r="AK258" s="97">
        <f t="shared" si="132"/>
        <v>0</v>
      </c>
      <c r="AL258" s="97">
        <f t="shared" si="133"/>
        <v>0</v>
      </c>
      <c r="AM258" s="97">
        <f t="shared" si="134"/>
        <v>2504</v>
      </c>
      <c r="AN258" s="97">
        <f t="shared" si="135"/>
        <v>0</v>
      </c>
      <c r="AO258" s="97">
        <f t="shared" si="136"/>
        <v>0</v>
      </c>
      <c r="AP258" s="97">
        <f t="shared" si="137"/>
        <v>0</v>
      </c>
      <c r="AQ258" s="97">
        <f t="shared" si="138"/>
        <v>0</v>
      </c>
      <c r="AR258" s="97">
        <f t="shared" si="139"/>
        <v>0</v>
      </c>
    </row>
    <row r="259" spans="1:44" s="106" customFormat="1" ht="26" outlineLevel="2" x14ac:dyDescent="0.35">
      <c r="A259" s="89" t="s">
        <v>78</v>
      </c>
      <c r="B259" s="90" t="s">
        <v>20</v>
      </c>
      <c r="C259" s="93">
        <v>0</v>
      </c>
      <c r="D259" s="92"/>
      <c r="E259" s="92"/>
      <c r="F259" s="92"/>
      <c r="G259" s="92">
        <v>20</v>
      </c>
      <c r="H259" s="92"/>
      <c r="I259" s="92">
        <v>10</v>
      </c>
      <c r="J259" s="92"/>
      <c r="K259" s="92"/>
      <c r="L259" s="92"/>
      <c r="M259" s="92">
        <v>10</v>
      </c>
      <c r="N259" s="92">
        <v>20</v>
      </c>
      <c r="O259" s="92"/>
      <c r="P259" s="92"/>
      <c r="Q259" s="92"/>
      <c r="R259" s="92"/>
      <c r="S259" s="92"/>
      <c r="T259" s="93">
        <v>1</v>
      </c>
      <c r="U259" s="93">
        <f t="shared" si="140"/>
        <v>98.13</v>
      </c>
      <c r="V259" s="107">
        <v>98</v>
      </c>
      <c r="W259" s="107">
        <v>100</v>
      </c>
      <c r="X259" s="107">
        <v>96.39</v>
      </c>
      <c r="Y259" s="92">
        <v>226</v>
      </c>
      <c r="Z259" s="92">
        <f t="shared" si="106"/>
        <v>0</v>
      </c>
      <c r="AA259" s="95" t="s">
        <v>349</v>
      </c>
      <c r="AB259" s="97">
        <f t="shared" si="107"/>
        <v>5887.7999999999993</v>
      </c>
      <c r="AC259" s="97">
        <f t="shared" si="124"/>
        <v>0</v>
      </c>
      <c r="AD259" s="97">
        <f t="shared" si="125"/>
        <v>0</v>
      </c>
      <c r="AE259" s="97">
        <f t="shared" si="126"/>
        <v>0</v>
      </c>
      <c r="AF259" s="97">
        <f t="shared" si="127"/>
        <v>1962.6</v>
      </c>
      <c r="AG259" s="97">
        <f t="shared" si="128"/>
        <v>0</v>
      </c>
      <c r="AH259" s="97">
        <f t="shared" si="129"/>
        <v>981.3</v>
      </c>
      <c r="AI259" s="97">
        <f t="shared" si="130"/>
        <v>0</v>
      </c>
      <c r="AJ259" s="97">
        <f t="shared" si="131"/>
        <v>0</v>
      </c>
      <c r="AK259" s="97">
        <f t="shared" si="132"/>
        <v>0</v>
      </c>
      <c r="AL259" s="97">
        <f t="shared" si="133"/>
        <v>981.3</v>
      </c>
      <c r="AM259" s="97">
        <f t="shared" si="134"/>
        <v>1962.6</v>
      </c>
      <c r="AN259" s="97">
        <f t="shared" si="135"/>
        <v>0</v>
      </c>
      <c r="AO259" s="97">
        <f t="shared" si="136"/>
        <v>0</v>
      </c>
      <c r="AP259" s="97">
        <f t="shared" si="137"/>
        <v>0</v>
      </c>
      <c r="AQ259" s="97">
        <f t="shared" si="138"/>
        <v>0</v>
      </c>
      <c r="AR259" s="97">
        <f t="shared" si="139"/>
        <v>0</v>
      </c>
    </row>
    <row r="260" spans="1:44" s="106" customFormat="1" ht="26" outlineLevel="2" x14ac:dyDescent="0.35">
      <c r="A260" s="89" t="s">
        <v>79</v>
      </c>
      <c r="B260" s="90" t="s">
        <v>20</v>
      </c>
      <c r="C260" s="93">
        <v>0</v>
      </c>
      <c r="D260" s="92"/>
      <c r="E260" s="92"/>
      <c r="F260" s="92"/>
      <c r="G260" s="92"/>
      <c r="H260" s="92"/>
      <c r="I260" s="92">
        <v>1</v>
      </c>
      <c r="J260" s="92"/>
      <c r="K260" s="92"/>
      <c r="L260" s="92"/>
      <c r="M260" s="92"/>
      <c r="N260" s="92"/>
      <c r="O260" s="92"/>
      <c r="P260" s="92"/>
      <c r="Q260" s="92"/>
      <c r="R260" s="92"/>
      <c r="S260" s="92"/>
      <c r="T260" s="93">
        <v>5</v>
      </c>
      <c r="U260" s="93">
        <f t="shared" si="140"/>
        <v>975.5</v>
      </c>
      <c r="V260" s="107">
        <v>1012</v>
      </c>
      <c r="W260" s="107">
        <v>910</v>
      </c>
      <c r="X260" s="107">
        <v>1004.5</v>
      </c>
      <c r="Y260" s="92">
        <v>227</v>
      </c>
      <c r="Z260" s="92">
        <f t="shared" si="106"/>
        <v>0</v>
      </c>
      <c r="AA260" s="95" t="s">
        <v>349</v>
      </c>
      <c r="AB260" s="97">
        <f t="shared" si="107"/>
        <v>975.5</v>
      </c>
      <c r="AC260" s="97">
        <f t="shared" si="124"/>
        <v>0</v>
      </c>
      <c r="AD260" s="97">
        <f t="shared" si="125"/>
        <v>0</v>
      </c>
      <c r="AE260" s="97">
        <f t="shared" si="126"/>
        <v>0</v>
      </c>
      <c r="AF260" s="97">
        <f t="shared" si="127"/>
        <v>0</v>
      </c>
      <c r="AG260" s="97">
        <f t="shared" si="128"/>
        <v>0</v>
      </c>
      <c r="AH260" s="97">
        <f t="shared" si="129"/>
        <v>975.5</v>
      </c>
      <c r="AI260" s="97">
        <f t="shared" si="130"/>
        <v>0</v>
      </c>
      <c r="AJ260" s="97">
        <f t="shared" si="131"/>
        <v>0</v>
      </c>
      <c r="AK260" s="97">
        <f t="shared" si="132"/>
        <v>0</v>
      </c>
      <c r="AL260" s="97">
        <f t="shared" si="133"/>
        <v>0</v>
      </c>
      <c r="AM260" s="97">
        <f t="shared" si="134"/>
        <v>0</v>
      </c>
      <c r="AN260" s="97">
        <f t="shared" si="135"/>
        <v>0</v>
      </c>
      <c r="AO260" s="97">
        <f t="shared" si="136"/>
        <v>0</v>
      </c>
      <c r="AP260" s="97">
        <f t="shared" si="137"/>
        <v>0</v>
      </c>
      <c r="AQ260" s="97">
        <f t="shared" si="138"/>
        <v>0</v>
      </c>
      <c r="AR260" s="97">
        <f t="shared" si="139"/>
        <v>0</v>
      </c>
    </row>
    <row r="261" spans="1:44" s="106" customFormat="1" ht="26" outlineLevel="2" x14ac:dyDescent="0.35">
      <c r="A261" s="89" t="s">
        <v>80</v>
      </c>
      <c r="B261" s="90" t="s">
        <v>20</v>
      </c>
      <c r="C261" s="93">
        <v>0</v>
      </c>
      <c r="D261" s="92"/>
      <c r="E261" s="92"/>
      <c r="F261" s="92"/>
      <c r="G261" s="92"/>
      <c r="H261" s="92"/>
      <c r="I261" s="92">
        <v>5</v>
      </c>
      <c r="J261" s="92"/>
      <c r="K261" s="92"/>
      <c r="L261" s="92"/>
      <c r="M261" s="92">
        <v>2</v>
      </c>
      <c r="N261" s="92"/>
      <c r="O261" s="92"/>
      <c r="P261" s="92"/>
      <c r="Q261" s="92">
        <v>2</v>
      </c>
      <c r="R261" s="92"/>
      <c r="S261" s="92"/>
      <c r="T261" s="93">
        <v>5</v>
      </c>
      <c r="U261" s="93">
        <f t="shared" si="140"/>
        <v>152.69666666666669</v>
      </c>
      <c r="V261" s="107">
        <v>129.09</v>
      </c>
      <c r="W261" s="107">
        <v>170</v>
      </c>
      <c r="X261" s="107">
        <v>159</v>
      </c>
      <c r="Y261" s="92">
        <v>228</v>
      </c>
      <c r="Z261" s="92">
        <f t="shared" si="106"/>
        <v>0</v>
      </c>
      <c r="AA261" s="95" t="s">
        <v>349</v>
      </c>
      <c r="AB261" s="97">
        <f t="shared" si="107"/>
        <v>1374.2700000000002</v>
      </c>
      <c r="AC261" s="97">
        <f t="shared" si="124"/>
        <v>0</v>
      </c>
      <c r="AD261" s="97">
        <f t="shared" si="125"/>
        <v>0</v>
      </c>
      <c r="AE261" s="97">
        <f t="shared" si="126"/>
        <v>0</v>
      </c>
      <c r="AF261" s="97">
        <f t="shared" si="127"/>
        <v>0</v>
      </c>
      <c r="AG261" s="97">
        <f t="shared" si="128"/>
        <v>0</v>
      </c>
      <c r="AH261" s="97">
        <f t="shared" si="129"/>
        <v>763.48333333333346</v>
      </c>
      <c r="AI261" s="97">
        <f t="shared" si="130"/>
        <v>0</v>
      </c>
      <c r="AJ261" s="97">
        <f t="shared" si="131"/>
        <v>0</v>
      </c>
      <c r="AK261" s="97">
        <f t="shared" si="132"/>
        <v>0</v>
      </c>
      <c r="AL261" s="97">
        <f t="shared" si="133"/>
        <v>305.39333333333337</v>
      </c>
      <c r="AM261" s="97">
        <f t="shared" si="134"/>
        <v>0</v>
      </c>
      <c r="AN261" s="97">
        <f t="shared" si="135"/>
        <v>0</v>
      </c>
      <c r="AO261" s="97">
        <f t="shared" si="136"/>
        <v>0</v>
      </c>
      <c r="AP261" s="97">
        <f t="shared" si="137"/>
        <v>305.39333333333337</v>
      </c>
      <c r="AQ261" s="97">
        <f t="shared" si="138"/>
        <v>0</v>
      </c>
      <c r="AR261" s="97">
        <f t="shared" si="139"/>
        <v>0</v>
      </c>
    </row>
    <row r="262" spans="1:44" s="106" customFormat="1" ht="26" outlineLevel="2" x14ac:dyDescent="0.35">
      <c r="A262" s="89" t="s">
        <v>81</v>
      </c>
      <c r="B262" s="90" t="s">
        <v>20</v>
      </c>
      <c r="C262" s="93">
        <v>0</v>
      </c>
      <c r="D262" s="92"/>
      <c r="E262" s="92"/>
      <c r="F262" s="92"/>
      <c r="G262" s="92"/>
      <c r="H262" s="92"/>
      <c r="I262" s="92">
        <v>1</v>
      </c>
      <c r="J262" s="92"/>
      <c r="K262" s="92"/>
      <c r="L262" s="92"/>
      <c r="M262" s="92">
        <v>1</v>
      </c>
      <c r="N262" s="92"/>
      <c r="O262" s="92"/>
      <c r="P262" s="92"/>
      <c r="Q262" s="92"/>
      <c r="R262" s="92"/>
      <c r="S262" s="92"/>
      <c r="T262" s="93">
        <v>5</v>
      </c>
      <c r="U262" s="93">
        <f t="shared" si="140"/>
        <v>2326.3333333333335</v>
      </c>
      <c r="V262" s="107">
        <v>2210</v>
      </c>
      <c r="W262" s="107">
        <v>2099</v>
      </c>
      <c r="X262" s="107">
        <v>2670</v>
      </c>
      <c r="Y262" s="92">
        <v>229</v>
      </c>
      <c r="Z262" s="92">
        <f t="shared" si="106"/>
        <v>0</v>
      </c>
      <c r="AA262" s="95" t="s">
        <v>349</v>
      </c>
      <c r="AB262" s="97">
        <f t="shared" si="107"/>
        <v>4652.666666666667</v>
      </c>
      <c r="AC262" s="97">
        <f t="shared" si="124"/>
        <v>0</v>
      </c>
      <c r="AD262" s="97">
        <f t="shared" si="125"/>
        <v>0</v>
      </c>
      <c r="AE262" s="97">
        <f t="shared" si="126"/>
        <v>0</v>
      </c>
      <c r="AF262" s="97">
        <f t="shared" si="127"/>
        <v>0</v>
      </c>
      <c r="AG262" s="97">
        <f t="shared" si="128"/>
        <v>0</v>
      </c>
      <c r="AH262" s="97">
        <f t="shared" si="129"/>
        <v>2326.3333333333335</v>
      </c>
      <c r="AI262" s="97">
        <f t="shared" si="130"/>
        <v>0</v>
      </c>
      <c r="AJ262" s="97">
        <f t="shared" si="131"/>
        <v>0</v>
      </c>
      <c r="AK262" s="97">
        <f t="shared" si="132"/>
        <v>0</v>
      </c>
      <c r="AL262" s="97">
        <f t="shared" si="133"/>
        <v>2326.3333333333335</v>
      </c>
      <c r="AM262" s="97">
        <f t="shared" si="134"/>
        <v>0</v>
      </c>
      <c r="AN262" s="97">
        <f t="shared" si="135"/>
        <v>0</v>
      </c>
      <c r="AO262" s="97">
        <f t="shared" si="136"/>
        <v>0</v>
      </c>
      <c r="AP262" s="97">
        <f t="shared" si="137"/>
        <v>0</v>
      </c>
      <c r="AQ262" s="97">
        <f t="shared" si="138"/>
        <v>0</v>
      </c>
      <c r="AR262" s="97">
        <f t="shared" si="139"/>
        <v>0</v>
      </c>
    </row>
    <row r="263" spans="1:44" s="106" customFormat="1" ht="26" outlineLevel="2" x14ac:dyDescent="0.35">
      <c r="A263" s="89" t="s">
        <v>83</v>
      </c>
      <c r="B263" s="90" t="s">
        <v>20</v>
      </c>
      <c r="C263" s="93">
        <v>0</v>
      </c>
      <c r="D263" s="92"/>
      <c r="E263" s="92"/>
      <c r="F263" s="92"/>
      <c r="G263" s="92"/>
      <c r="H263" s="92"/>
      <c r="I263" s="92">
        <v>12</v>
      </c>
      <c r="J263" s="92"/>
      <c r="K263" s="92"/>
      <c r="L263" s="92"/>
      <c r="M263" s="92"/>
      <c r="N263" s="92"/>
      <c r="O263" s="92"/>
      <c r="P263" s="92"/>
      <c r="Q263" s="92"/>
      <c r="R263" s="92"/>
      <c r="S263" s="92"/>
      <c r="T263" s="93">
        <v>5</v>
      </c>
      <c r="U263" s="93">
        <f t="shared" si="140"/>
        <v>49.666666666666664</v>
      </c>
      <c r="V263" s="107">
        <v>48.5</v>
      </c>
      <c r="W263" s="107">
        <v>57.5</v>
      </c>
      <c r="X263" s="107">
        <v>43</v>
      </c>
      <c r="Y263" s="92">
        <v>230</v>
      </c>
      <c r="Z263" s="92">
        <f t="shared" si="106"/>
        <v>0</v>
      </c>
      <c r="AA263" s="95" t="s">
        <v>349</v>
      </c>
      <c r="AB263" s="97">
        <f t="shared" si="107"/>
        <v>596</v>
      </c>
      <c r="AC263" s="97">
        <f t="shared" si="124"/>
        <v>0</v>
      </c>
      <c r="AD263" s="97">
        <f t="shared" si="125"/>
        <v>0</v>
      </c>
      <c r="AE263" s="97">
        <f t="shared" si="126"/>
        <v>0</v>
      </c>
      <c r="AF263" s="97">
        <f t="shared" si="127"/>
        <v>0</v>
      </c>
      <c r="AG263" s="97">
        <f t="shared" si="128"/>
        <v>0</v>
      </c>
      <c r="AH263" s="97">
        <f t="shared" si="129"/>
        <v>596</v>
      </c>
      <c r="AI263" s="97">
        <f t="shared" si="130"/>
        <v>0</v>
      </c>
      <c r="AJ263" s="97">
        <f t="shared" si="131"/>
        <v>0</v>
      </c>
      <c r="AK263" s="97">
        <f t="shared" si="132"/>
        <v>0</v>
      </c>
      <c r="AL263" s="97">
        <f t="shared" si="133"/>
        <v>0</v>
      </c>
      <c r="AM263" s="97">
        <f t="shared" si="134"/>
        <v>0</v>
      </c>
      <c r="AN263" s="97">
        <f t="shared" si="135"/>
        <v>0</v>
      </c>
      <c r="AO263" s="97">
        <f t="shared" si="136"/>
        <v>0</v>
      </c>
      <c r="AP263" s="97">
        <f t="shared" si="137"/>
        <v>0</v>
      </c>
      <c r="AQ263" s="97">
        <f t="shared" si="138"/>
        <v>0</v>
      </c>
      <c r="AR263" s="97">
        <f t="shared" si="139"/>
        <v>0</v>
      </c>
    </row>
    <row r="264" spans="1:44" s="106" customFormat="1" ht="26" outlineLevel="2" x14ac:dyDescent="0.35">
      <c r="A264" s="89" t="s">
        <v>84</v>
      </c>
      <c r="B264" s="90" t="s">
        <v>20</v>
      </c>
      <c r="C264" s="93">
        <v>0</v>
      </c>
      <c r="D264" s="92"/>
      <c r="E264" s="92"/>
      <c r="F264" s="92"/>
      <c r="G264" s="92">
        <v>10</v>
      </c>
      <c r="H264" s="92"/>
      <c r="I264" s="92">
        <v>6</v>
      </c>
      <c r="J264" s="92"/>
      <c r="K264" s="92"/>
      <c r="L264" s="92"/>
      <c r="M264" s="92"/>
      <c r="N264" s="92">
        <v>10</v>
      </c>
      <c r="O264" s="92"/>
      <c r="P264" s="92"/>
      <c r="Q264" s="92"/>
      <c r="R264" s="92"/>
      <c r="S264" s="92"/>
      <c r="T264" s="93">
        <v>5</v>
      </c>
      <c r="U264" s="93">
        <f t="shared" si="140"/>
        <v>93.666666666666671</v>
      </c>
      <c r="V264" s="107">
        <v>101</v>
      </c>
      <c r="W264" s="107">
        <v>91</v>
      </c>
      <c r="X264" s="107">
        <v>89</v>
      </c>
      <c r="Y264" s="92">
        <v>231</v>
      </c>
      <c r="Z264" s="92">
        <f t="shared" si="106"/>
        <v>0</v>
      </c>
      <c r="AA264" s="95" t="s">
        <v>349</v>
      </c>
      <c r="AB264" s="97">
        <f t="shared" si="107"/>
        <v>2435.3333333333335</v>
      </c>
      <c r="AC264" s="97">
        <f t="shared" si="124"/>
        <v>0</v>
      </c>
      <c r="AD264" s="97">
        <f t="shared" si="125"/>
        <v>0</v>
      </c>
      <c r="AE264" s="97">
        <f t="shared" si="126"/>
        <v>0</v>
      </c>
      <c r="AF264" s="97">
        <f t="shared" si="127"/>
        <v>936.66666666666674</v>
      </c>
      <c r="AG264" s="97">
        <f t="shared" si="128"/>
        <v>0</v>
      </c>
      <c r="AH264" s="97">
        <f t="shared" si="129"/>
        <v>562</v>
      </c>
      <c r="AI264" s="97">
        <f t="shared" si="130"/>
        <v>0</v>
      </c>
      <c r="AJ264" s="97">
        <f t="shared" si="131"/>
        <v>0</v>
      </c>
      <c r="AK264" s="97">
        <f t="shared" si="132"/>
        <v>0</v>
      </c>
      <c r="AL264" s="97">
        <f t="shared" si="133"/>
        <v>0</v>
      </c>
      <c r="AM264" s="97">
        <f t="shared" si="134"/>
        <v>936.66666666666674</v>
      </c>
      <c r="AN264" s="97">
        <f t="shared" si="135"/>
        <v>0</v>
      </c>
      <c r="AO264" s="97">
        <f t="shared" si="136"/>
        <v>0</v>
      </c>
      <c r="AP264" s="97">
        <f t="shared" si="137"/>
        <v>0</v>
      </c>
      <c r="AQ264" s="97">
        <f t="shared" si="138"/>
        <v>0</v>
      </c>
      <c r="AR264" s="97">
        <f t="shared" si="139"/>
        <v>0</v>
      </c>
    </row>
    <row r="265" spans="1:44" s="106" customFormat="1" ht="26" outlineLevel="2" x14ac:dyDescent="0.35">
      <c r="A265" s="89" t="s">
        <v>87</v>
      </c>
      <c r="B265" s="90" t="s">
        <v>20</v>
      </c>
      <c r="C265" s="93">
        <v>0</v>
      </c>
      <c r="D265" s="92">
        <v>2</v>
      </c>
      <c r="E265" s="92"/>
      <c r="F265" s="92"/>
      <c r="G265" s="92"/>
      <c r="H265" s="92"/>
      <c r="I265" s="92"/>
      <c r="J265" s="92">
        <v>4</v>
      </c>
      <c r="K265" s="92"/>
      <c r="L265" s="92"/>
      <c r="M265" s="92">
        <v>2</v>
      </c>
      <c r="N265" s="92"/>
      <c r="O265" s="92"/>
      <c r="P265" s="92"/>
      <c r="Q265" s="92"/>
      <c r="R265" s="92"/>
      <c r="S265" s="92"/>
      <c r="T265" s="93">
        <v>5</v>
      </c>
      <c r="U265" s="93">
        <f t="shared" si="140"/>
        <v>869.66666666666663</v>
      </c>
      <c r="V265" s="92">
        <v>823</v>
      </c>
      <c r="W265" s="92">
        <v>871</v>
      </c>
      <c r="X265" s="92">
        <v>915</v>
      </c>
      <c r="Y265" s="92">
        <v>232</v>
      </c>
      <c r="Z265" s="92">
        <f t="shared" si="106"/>
        <v>0</v>
      </c>
      <c r="AA265" s="95" t="s">
        <v>349</v>
      </c>
      <c r="AB265" s="97">
        <f t="shared" si="107"/>
        <v>6957.333333333333</v>
      </c>
      <c r="AC265" s="97">
        <f t="shared" si="124"/>
        <v>1739.3333333333333</v>
      </c>
      <c r="AD265" s="97">
        <f t="shared" si="125"/>
        <v>0</v>
      </c>
      <c r="AE265" s="97">
        <f t="shared" si="126"/>
        <v>0</v>
      </c>
      <c r="AF265" s="97">
        <f t="shared" si="127"/>
        <v>0</v>
      </c>
      <c r="AG265" s="97">
        <f t="shared" si="128"/>
        <v>0</v>
      </c>
      <c r="AH265" s="97">
        <f t="shared" si="129"/>
        <v>0</v>
      </c>
      <c r="AI265" s="97">
        <f t="shared" si="130"/>
        <v>3478.6666666666665</v>
      </c>
      <c r="AJ265" s="97">
        <f t="shared" si="131"/>
        <v>0</v>
      </c>
      <c r="AK265" s="97">
        <f t="shared" si="132"/>
        <v>0</v>
      </c>
      <c r="AL265" s="97">
        <f t="shared" si="133"/>
        <v>1739.3333333333333</v>
      </c>
      <c r="AM265" s="97">
        <f t="shared" si="134"/>
        <v>0</v>
      </c>
      <c r="AN265" s="97">
        <f t="shared" si="135"/>
        <v>0</v>
      </c>
      <c r="AO265" s="97">
        <f t="shared" si="136"/>
        <v>0</v>
      </c>
      <c r="AP265" s="97">
        <f t="shared" si="137"/>
        <v>0</v>
      </c>
      <c r="AQ265" s="97">
        <f t="shared" si="138"/>
        <v>0</v>
      </c>
      <c r="AR265" s="97">
        <f t="shared" si="139"/>
        <v>0</v>
      </c>
    </row>
    <row r="266" spans="1:44" s="106" customFormat="1" ht="26" outlineLevel="2" x14ac:dyDescent="0.35">
      <c r="A266" s="89" t="s">
        <v>88</v>
      </c>
      <c r="B266" s="90" t="s">
        <v>20</v>
      </c>
      <c r="C266" s="93">
        <v>0</v>
      </c>
      <c r="D266" s="92"/>
      <c r="E266" s="92"/>
      <c r="F266" s="92"/>
      <c r="G266" s="92">
        <v>30</v>
      </c>
      <c r="H266" s="92"/>
      <c r="I266" s="92">
        <v>6</v>
      </c>
      <c r="J266" s="92"/>
      <c r="K266" s="92"/>
      <c r="L266" s="92"/>
      <c r="M266" s="92"/>
      <c r="N266" s="92">
        <v>10</v>
      </c>
      <c r="O266" s="92"/>
      <c r="P266" s="92"/>
      <c r="Q266" s="92"/>
      <c r="R266" s="92"/>
      <c r="S266" s="92"/>
      <c r="T266" s="93">
        <v>5</v>
      </c>
      <c r="U266" s="93">
        <f t="shared" si="140"/>
        <v>153.29999999999998</v>
      </c>
      <c r="V266" s="92">
        <v>153.9</v>
      </c>
      <c r="W266" s="92">
        <v>156</v>
      </c>
      <c r="X266" s="92">
        <v>150</v>
      </c>
      <c r="Y266" s="92">
        <v>233</v>
      </c>
      <c r="Z266" s="92">
        <f t="shared" si="106"/>
        <v>0</v>
      </c>
      <c r="AA266" s="95" t="s">
        <v>349</v>
      </c>
      <c r="AB266" s="97">
        <f t="shared" si="107"/>
        <v>7051.7999999999993</v>
      </c>
      <c r="AC266" s="97">
        <f t="shared" si="124"/>
        <v>0</v>
      </c>
      <c r="AD266" s="97">
        <f t="shared" si="125"/>
        <v>0</v>
      </c>
      <c r="AE266" s="97">
        <f t="shared" si="126"/>
        <v>0</v>
      </c>
      <c r="AF266" s="97">
        <f t="shared" si="127"/>
        <v>4598.9999999999991</v>
      </c>
      <c r="AG266" s="97">
        <f t="shared" si="128"/>
        <v>0</v>
      </c>
      <c r="AH266" s="97">
        <f t="shared" si="129"/>
        <v>919.8</v>
      </c>
      <c r="AI266" s="97">
        <f t="shared" si="130"/>
        <v>0</v>
      </c>
      <c r="AJ266" s="97">
        <f t="shared" si="131"/>
        <v>0</v>
      </c>
      <c r="AK266" s="97">
        <f t="shared" si="132"/>
        <v>0</v>
      </c>
      <c r="AL266" s="97">
        <f t="shared" si="133"/>
        <v>0</v>
      </c>
      <c r="AM266" s="97">
        <f t="shared" si="134"/>
        <v>1532.9999999999998</v>
      </c>
      <c r="AN266" s="97">
        <f t="shared" si="135"/>
        <v>0</v>
      </c>
      <c r="AO266" s="97">
        <f t="shared" si="136"/>
        <v>0</v>
      </c>
      <c r="AP266" s="97">
        <f t="shared" si="137"/>
        <v>0</v>
      </c>
      <c r="AQ266" s="97">
        <f t="shared" si="138"/>
        <v>0</v>
      </c>
      <c r="AR266" s="97">
        <f t="shared" si="139"/>
        <v>0</v>
      </c>
    </row>
    <row r="267" spans="1:44" ht="26" x14ac:dyDescent="0.35">
      <c r="A267" s="81" t="s">
        <v>90</v>
      </c>
      <c r="B267" s="82" t="s">
        <v>3</v>
      </c>
      <c r="C267" s="83" t="s">
        <v>3</v>
      </c>
      <c r="D267" s="83" t="s">
        <v>3</v>
      </c>
      <c r="E267" s="83" t="s">
        <v>3</v>
      </c>
      <c r="F267" s="83" t="s">
        <v>3</v>
      </c>
      <c r="G267" s="83" t="s">
        <v>3</v>
      </c>
      <c r="H267" s="83" t="s">
        <v>3</v>
      </c>
      <c r="I267" s="83" t="s">
        <v>3</v>
      </c>
      <c r="J267" s="83" t="s">
        <v>3</v>
      </c>
      <c r="K267" s="83" t="s">
        <v>3</v>
      </c>
      <c r="L267" s="83" t="s">
        <v>3</v>
      </c>
      <c r="M267" s="83" t="s">
        <v>3</v>
      </c>
      <c r="N267" s="83" t="s">
        <v>3</v>
      </c>
      <c r="O267" s="83" t="s">
        <v>3</v>
      </c>
      <c r="P267" s="83" t="s">
        <v>3</v>
      </c>
      <c r="Q267" s="83" t="s">
        <v>3</v>
      </c>
      <c r="R267" s="83" t="s">
        <v>3</v>
      </c>
      <c r="S267" s="83" t="s">
        <v>3</v>
      </c>
      <c r="T267" s="83" t="s">
        <v>3</v>
      </c>
      <c r="U267" s="83" t="s">
        <v>3</v>
      </c>
      <c r="V267" s="83" t="s">
        <v>3</v>
      </c>
      <c r="W267" s="83" t="s">
        <v>3</v>
      </c>
      <c r="X267" s="83" t="s">
        <v>3</v>
      </c>
      <c r="Y267" s="83" t="s">
        <v>3</v>
      </c>
      <c r="Z267" s="83" t="s">
        <v>3</v>
      </c>
      <c r="AA267" s="83" t="s">
        <v>3</v>
      </c>
      <c r="AB267" s="84">
        <f>SUM(AC267:AR267)</f>
        <v>173954885.31394795</v>
      </c>
      <c r="AC267" s="84">
        <f t="shared" ref="AC267:AR267" si="141">AC3+AC197</f>
        <v>9041152.6135058962</v>
      </c>
      <c r="AD267" s="84">
        <f t="shared" si="141"/>
        <v>16681694.322752956</v>
      </c>
      <c r="AE267" s="84">
        <f t="shared" si="141"/>
        <v>12022810.189195268</v>
      </c>
      <c r="AF267" s="84">
        <f t="shared" si="141"/>
        <v>10319823.903265223</v>
      </c>
      <c r="AG267" s="84">
        <f t="shared" si="141"/>
        <v>17520913.119277768</v>
      </c>
      <c r="AH267" s="84">
        <f t="shared" si="141"/>
        <v>9289690.8780285493</v>
      </c>
      <c r="AI267" s="84">
        <f t="shared" si="141"/>
        <v>8709202.8846254759</v>
      </c>
      <c r="AJ267" s="84">
        <f t="shared" si="141"/>
        <v>9394257.8885576874</v>
      </c>
      <c r="AK267" s="84">
        <f t="shared" si="141"/>
        <v>15559693.652523199</v>
      </c>
      <c r="AL267" s="84">
        <f t="shared" si="141"/>
        <v>9258627.6783595029</v>
      </c>
      <c r="AM267" s="84">
        <f t="shared" si="141"/>
        <v>12018731.882931564</v>
      </c>
      <c r="AN267" s="84">
        <f t="shared" si="141"/>
        <v>10720216.02621581</v>
      </c>
      <c r="AO267" s="84">
        <f t="shared" si="141"/>
        <v>9177906.5466592107</v>
      </c>
      <c r="AP267" s="84">
        <f t="shared" si="141"/>
        <v>8793000.1604970302</v>
      </c>
      <c r="AQ267" s="84">
        <f t="shared" si="141"/>
        <v>8039305.090893399</v>
      </c>
      <c r="AR267" s="84">
        <f t="shared" si="141"/>
        <v>7407858.4766594246</v>
      </c>
    </row>
    <row r="268" spans="1:44" ht="12.75" customHeight="1" x14ac:dyDescent="0.35">
      <c r="C268" s="132"/>
      <c r="V268" s="132"/>
      <c r="W268" s="132"/>
      <c r="X268" s="132"/>
      <c r="Y268" s="132"/>
      <c r="Z268" s="133"/>
    </row>
    <row r="269" spans="1:44" ht="12.75" customHeight="1" x14ac:dyDescent="0.35">
      <c r="C269" s="132"/>
      <c r="V269" s="132"/>
      <c r="W269" s="132"/>
      <c r="X269" s="132"/>
      <c r="Y269" s="132"/>
      <c r="Z269" s="133"/>
      <c r="AA269" s="80" t="s">
        <v>468</v>
      </c>
      <c r="AB269" s="84">
        <f t="shared" ref="AB269:AJ269" si="142">AB5+AB81+AB198+AB206+AB222+AB225+AB228+AB233-AB234-AB235-AB236+AB100+AB111+AB193</f>
        <v>45500273.809214048</v>
      </c>
      <c r="AC269" s="85">
        <f t="shared" si="142"/>
        <v>2259249.234883429</v>
      </c>
      <c r="AD269" s="85">
        <f t="shared" si="142"/>
        <v>4122896.5993618099</v>
      </c>
      <c r="AE269" s="85">
        <f t="shared" si="142"/>
        <v>3023428.7560382416</v>
      </c>
      <c r="AF269" s="85">
        <f t="shared" si="142"/>
        <v>2077115.276868897</v>
      </c>
      <c r="AG269" s="85">
        <f t="shared" si="142"/>
        <v>4764242.2062052954</v>
      </c>
      <c r="AH269" s="85">
        <f t="shared" si="142"/>
        <v>2209112.67197375</v>
      </c>
      <c r="AI269" s="85">
        <f t="shared" si="142"/>
        <v>2102144.9534010589</v>
      </c>
      <c r="AJ269" s="85">
        <f t="shared" si="142"/>
        <v>2230984.7783235684</v>
      </c>
      <c r="AK269" s="85">
        <f>AK5+AK81+AK198+AK206+AK222+AK225+AK228+AK233-AK234-AK235-AK236+AK100+AK111+AK193</f>
        <v>3699059.4659087551</v>
      </c>
      <c r="AL269" s="85">
        <f t="shared" ref="AL269:AR269" si="143">AL5+AL81+AL198+AL206+AL222+AL225+AL228+AL233-AL234-AL235-AL236+AL100+AL111+AL193</f>
        <v>2163123.73296262</v>
      </c>
      <c r="AM269" s="85">
        <f t="shared" si="143"/>
        <v>2725844.6291486174</v>
      </c>
      <c r="AN269" s="85">
        <f t="shared" si="143"/>
        <v>4891185.8807732211</v>
      </c>
      <c r="AO269" s="85">
        <f t="shared" si="143"/>
        <v>2428398.8812463302</v>
      </c>
      <c r="AP269" s="85">
        <f t="shared" si="143"/>
        <v>2024860.1092794687</v>
      </c>
      <c r="AQ269" s="85">
        <f t="shared" si="143"/>
        <v>2068507.7300013653</v>
      </c>
      <c r="AR269" s="85">
        <f t="shared" si="143"/>
        <v>2710118.902837628</v>
      </c>
    </row>
    <row r="270" spans="1:44" ht="12.75" customHeight="1" x14ac:dyDescent="0.35">
      <c r="C270" s="132"/>
      <c r="V270" s="132"/>
      <c r="W270" s="132"/>
      <c r="X270" s="132"/>
      <c r="Y270" s="132"/>
      <c r="Z270" s="132"/>
      <c r="AA270" s="80" t="s">
        <v>428</v>
      </c>
      <c r="AB270" s="84">
        <f>AB267-AB269</f>
        <v>128454611.50473389</v>
      </c>
      <c r="AC270" s="85">
        <f t="shared" ref="AC270:AR270" si="144">AC267-AC269</f>
        <v>6781903.3786224667</v>
      </c>
      <c r="AD270" s="85">
        <f t="shared" si="144"/>
        <v>12558797.723391145</v>
      </c>
      <c r="AE270" s="85">
        <f t="shared" si="144"/>
        <v>8999381.4331570268</v>
      </c>
      <c r="AF270" s="85">
        <f t="shared" si="144"/>
        <v>8242708.6263963263</v>
      </c>
      <c r="AG270" s="85">
        <f t="shared" si="144"/>
        <v>12756670.913072472</v>
      </c>
      <c r="AH270" s="85">
        <f t="shared" si="144"/>
        <v>7080578.2060547993</v>
      </c>
      <c r="AI270" s="85">
        <f t="shared" si="144"/>
        <v>6607057.9312244169</v>
      </c>
      <c r="AJ270" s="85">
        <f t="shared" si="144"/>
        <v>7163273.110234119</v>
      </c>
      <c r="AK270" s="85">
        <f t="shared" si="144"/>
        <v>11860634.186614444</v>
      </c>
      <c r="AL270" s="85">
        <f t="shared" si="144"/>
        <v>7095503.9453968834</v>
      </c>
      <c r="AM270" s="85">
        <f t="shared" si="144"/>
        <v>9292887.2537829466</v>
      </c>
      <c r="AN270" s="85">
        <f t="shared" si="144"/>
        <v>5829030.1454425892</v>
      </c>
      <c r="AO270" s="85">
        <f t="shared" si="144"/>
        <v>6749507.6654128805</v>
      </c>
      <c r="AP270" s="85">
        <f t="shared" si="144"/>
        <v>6768140.0512175616</v>
      </c>
      <c r="AQ270" s="85">
        <f t="shared" si="144"/>
        <v>5970797.3608920332</v>
      </c>
      <c r="AR270" s="85">
        <f t="shared" si="144"/>
        <v>4697739.5738217961</v>
      </c>
    </row>
    <row r="271" spans="1:44" ht="12.75" customHeight="1" x14ac:dyDescent="0.35">
      <c r="C271" s="132"/>
      <c r="V271" s="132"/>
      <c r="W271" s="132"/>
      <c r="X271" s="132"/>
      <c r="Y271" s="132"/>
      <c r="Z271" s="132"/>
      <c r="AA271" s="80" t="s">
        <v>469</v>
      </c>
      <c r="AB271" s="84">
        <v>26220111</v>
      </c>
      <c r="AC271" s="85">
        <v>1639919</v>
      </c>
      <c r="AD271" s="85">
        <v>2977039</v>
      </c>
      <c r="AE271" s="85">
        <v>1277109</v>
      </c>
      <c r="AF271" s="85">
        <v>966618</v>
      </c>
      <c r="AG271" s="85">
        <v>2872981</v>
      </c>
      <c r="AH271" s="85">
        <v>1396711</v>
      </c>
      <c r="AI271" s="85">
        <v>1207297</v>
      </c>
      <c r="AJ271" s="85">
        <v>1664103</v>
      </c>
      <c r="AK271" s="85">
        <v>3046904</v>
      </c>
      <c r="AL271" s="85">
        <v>1649983</v>
      </c>
      <c r="AM271" s="85">
        <v>1698561</v>
      </c>
      <c r="AN271" s="85">
        <v>789479</v>
      </c>
      <c r="AO271" s="85">
        <v>1262462</v>
      </c>
      <c r="AP271" s="85">
        <v>1375425</v>
      </c>
      <c r="AQ271" s="85">
        <v>1460990</v>
      </c>
      <c r="AR271" s="85">
        <v>934530</v>
      </c>
    </row>
    <row r="272" spans="1:44" ht="12.75" customHeight="1" x14ac:dyDescent="0.35">
      <c r="C272" s="132"/>
      <c r="V272" s="132"/>
      <c r="W272" s="132"/>
      <c r="X272" s="132"/>
      <c r="Y272" s="132"/>
      <c r="Z272" s="132"/>
      <c r="AB272" s="85"/>
      <c r="AC272" s="85"/>
      <c r="AD272" s="85"/>
      <c r="AE272" s="85"/>
      <c r="AF272" s="85"/>
      <c r="AG272" s="85"/>
      <c r="AH272" s="85"/>
      <c r="AI272" s="85"/>
      <c r="AJ272" s="85"/>
      <c r="AK272" s="85"/>
      <c r="AL272" s="85"/>
      <c r="AM272" s="85"/>
    </row>
    <row r="273" spans="3:44" ht="12.75" customHeight="1" x14ac:dyDescent="0.35">
      <c r="C273" s="132"/>
      <c r="V273" s="132"/>
      <c r="W273" s="132"/>
      <c r="X273" s="132"/>
      <c r="Y273" s="132"/>
      <c r="Z273" s="132"/>
      <c r="AB273" s="85">
        <f>AB269+AB270-AB271</f>
        <v>147734774.31394795</v>
      </c>
    </row>
    <row r="274" spans="3:44" ht="12.75" customHeight="1" x14ac:dyDescent="0.35">
      <c r="C274" s="132"/>
      <c r="V274" s="132"/>
      <c r="W274" s="132"/>
      <c r="X274" s="132"/>
      <c r="Y274" s="132"/>
      <c r="Z274" s="132"/>
    </row>
    <row r="275" spans="3:44" ht="12.75" customHeight="1" x14ac:dyDescent="0.35">
      <c r="C275" s="132"/>
      <c r="V275" s="132"/>
      <c r="W275" s="132"/>
      <c r="X275" s="132"/>
      <c r="Y275" s="132"/>
      <c r="Z275" s="132"/>
      <c r="AC275" s="85"/>
      <c r="AD275" s="85"/>
      <c r="AE275" s="85"/>
      <c r="AF275" s="85"/>
      <c r="AG275" s="85"/>
      <c r="AH275" s="85"/>
      <c r="AI275" s="85"/>
      <c r="AJ275" s="85"/>
      <c r="AK275" s="85"/>
      <c r="AL275" s="85"/>
      <c r="AM275" s="85"/>
      <c r="AN275" s="85"/>
      <c r="AO275" s="85"/>
      <c r="AP275" s="85"/>
      <c r="AQ275" s="85"/>
      <c r="AR275" s="85"/>
    </row>
    <row r="276" spans="3:44" ht="12.75" customHeight="1" x14ac:dyDescent="0.35">
      <c r="C276" s="132"/>
      <c r="V276" s="132"/>
      <c r="W276" s="132"/>
      <c r="X276" s="132"/>
      <c r="Y276" s="132"/>
      <c r="Z276" s="132"/>
      <c r="AC276" s="85"/>
      <c r="AD276" s="85"/>
      <c r="AE276" s="85"/>
      <c r="AF276" s="85"/>
      <c r="AG276" s="85"/>
      <c r="AH276" s="85"/>
      <c r="AI276" s="85"/>
      <c r="AJ276" s="85"/>
      <c r="AK276" s="85"/>
      <c r="AL276" s="85"/>
      <c r="AM276" s="85"/>
      <c r="AN276" s="85"/>
      <c r="AO276" s="85"/>
      <c r="AP276" s="85"/>
      <c r="AQ276" s="85"/>
      <c r="AR276" s="85"/>
    </row>
    <row r="277" spans="3:44" ht="12.75" customHeight="1" x14ac:dyDescent="0.35">
      <c r="C277" s="132"/>
      <c r="V277" s="132"/>
      <c r="W277" s="132"/>
      <c r="X277" s="132"/>
      <c r="Y277" s="132"/>
      <c r="Z277" s="132"/>
      <c r="AB277" s="85"/>
      <c r="AC277" s="85"/>
      <c r="AD277" s="85"/>
      <c r="AE277" s="85"/>
      <c r="AF277" s="85"/>
      <c r="AG277" s="85"/>
      <c r="AH277" s="85"/>
      <c r="AI277" s="85"/>
      <c r="AJ277" s="85"/>
      <c r="AK277" s="85"/>
      <c r="AL277" s="85"/>
      <c r="AM277" s="85"/>
      <c r="AN277" s="85"/>
      <c r="AO277" s="85"/>
      <c r="AP277" s="85"/>
      <c r="AQ277" s="85"/>
      <c r="AR277" s="85"/>
    </row>
    <row r="278" spans="3:44" ht="12.75" customHeight="1" x14ac:dyDescent="0.35">
      <c r="C278" s="132"/>
      <c r="V278" s="132"/>
      <c r="W278" s="132"/>
      <c r="X278" s="132"/>
      <c r="Y278" s="132"/>
      <c r="Z278" s="132"/>
      <c r="AB278" s="85" t="s">
        <v>496</v>
      </c>
      <c r="AC278" s="85">
        <v>1141200</v>
      </c>
      <c r="AD278" s="85">
        <v>2112213</v>
      </c>
      <c r="AE278" s="85">
        <v>1141200</v>
      </c>
      <c r="AF278" s="85">
        <v>1020766</v>
      </c>
      <c r="AG278" s="85">
        <v>2112213</v>
      </c>
      <c r="AH278" s="85">
        <v>1141200</v>
      </c>
      <c r="AI278" s="85">
        <v>951000</v>
      </c>
      <c r="AJ278" s="85">
        <v>1090368</v>
      </c>
      <c r="AK278" s="85">
        <v>1998292</v>
      </c>
      <c r="AL278" s="85">
        <v>951000</v>
      </c>
      <c r="AM278" s="85">
        <v>1093650</v>
      </c>
      <c r="AN278" s="85">
        <v>1109528</v>
      </c>
      <c r="AO278" s="85">
        <v>1109528</v>
      </c>
      <c r="AP278" s="85">
        <v>951000</v>
      </c>
      <c r="AQ278" s="85">
        <v>951000</v>
      </c>
      <c r="AR278" s="85">
        <v>887623</v>
      </c>
    </row>
    <row r="279" spans="3:44" ht="12.75" customHeight="1" x14ac:dyDescent="0.35">
      <c r="C279" s="132"/>
      <c r="V279" s="132"/>
      <c r="W279" s="132"/>
      <c r="X279" s="132"/>
      <c r="Y279" s="132"/>
      <c r="Z279" s="132"/>
      <c r="AB279" s="80" t="s">
        <v>481</v>
      </c>
      <c r="AC279" s="85">
        <v>760055</v>
      </c>
      <c r="AD279" s="85">
        <v>1286046</v>
      </c>
      <c r="AE279" s="85">
        <v>2614693</v>
      </c>
      <c r="AF279" s="85">
        <v>2445318</v>
      </c>
      <c r="AG279" s="85">
        <v>1426296</v>
      </c>
      <c r="AH279" s="85">
        <v>565862</v>
      </c>
      <c r="AI279" s="85">
        <v>565862</v>
      </c>
      <c r="AJ279" s="85">
        <v>534855</v>
      </c>
      <c r="AK279" s="85">
        <v>1171569</v>
      </c>
      <c r="AL279" s="85">
        <v>565862</v>
      </c>
      <c r="AM279" s="85">
        <v>2350311</v>
      </c>
      <c r="AN279" s="85">
        <v>776982</v>
      </c>
      <c r="AO279" s="85">
        <v>707474</v>
      </c>
      <c r="AP279" s="85">
        <v>565862</v>
      </c>
      <c r="AQ279" s="85">
        <v>687817</v>
      </c>
      <c r="AR279" s="85">
        <v>565862</v>
      </c>
    </row>
    <row r="280" spans="3:44" ht="12.75" customHeight="1" x14ac:dyDescent="0.35">
      <c r="C280" s="132"/>
      <c r="V280" s="132"/>
      <c r="W280" s="132"/>
      <c r="X280" s="132"/>
      <c r="Y280" s="132"/>
      <c r="Z280" s="132"/>
      <c r="AB280" s="80" t="s">
        <v>482</v>
      </c>
      <c r="AC280" s="85">
        <v>330787</v>
      </c>
      <c r="AD280" s="85">
        <v>437421</v>
      </c>
      <c r="AE280" s="85">
        <v>224153</v>
      </c>
      <c r="AF280" s="85">
        <v>437421</v>
      </c>
      <c r="AG280" s="85">
        <v>330787</v>
      </c>
      <c r="AH280" s="85">
        <v>224153</v>
      </c>
      <c r="AI280" s="85">
        <v>437421</v>
      </c>
      <c r="AJ280" s="85">
        <v>224153</v>
      </c>
      <c r="AK280" s="85">
        <v>213268</v>
      </c>
      <c r="AL280" s="85">
        <v>330787</v>
      </c>
      <c r="AM280" s="85">
        <v>437421</v>
      </c>
      <c r="AN280" s="85">
        <v>224153</v>
      </c>
      <c r="AO280" s="85">
        <v>224153</v>
      </c>
      <c r="AP280" s="85">
        <v>437421</v>
      </c>
      <c r="AQ280" s="85">
        <v>224153</v>
      </c>
      <c r="AR280" s="85">
        <v>224153</v>
      </c>
    </row>
    <row r="281" spans="3:44" ht="12.75" customHeight="1" x14ac:dyDescent="0.35">
      <c r="C281" s="132"/>
      <c r="V281" s="132"/>
      <c r="W281" s="132"/>
      <c r="X281" s="132"/>
      <c r="Y281" s="132"/>
      <c r="Z281" s="132"/>
      <c r="AB281" s="80" t="s">
        <v>497</v>
      </c>
      <c r="AC281" s="85">
        <v>1616500</v>
      </c>
      <c r="AD281" s="85">
        <v>3516290</v>
      </c>
      <c r="AE281" s="85">
        <v>2689999</v>
      </c>
      <c r="AF281" s="85">
        <v>2466924</v>
      </c>
      <c r="AG281" s="85">
        <v>3739146</v>
      </c>
      <c r="AH281" s="85">
        <v>2578687</v>
      </c>
      <c r="AI281" s="85">
        <v>2462904</v>
      </c>
      <c r="AJ281" s="85">
        <v>2356224</v>
      </c>
      <c r="AK281" s="85">
        <v>3163585</v>
      </c>
      <c r="AL281" s="85">
        <v>2348372</v>
      </c>
      <c r="AM281" s="85">
        <v>2472053</v>
      </c>
      <c r="AN281" s="85">
        <v>2334498</v>
      </c>
      <c r="AO281" s="85">
        <v>2309515</v>
      </c>
      <c r="AP281" s="85">
        <v>2384366</v>
      </c>
      <c r="AQ281" s="85">
        <v>1586967</v>
      </c>
      <c r="AR281" s="85">
        <v>1411213</v>
      </c>
    </row>
    <row r="282" spans="3:44" ht="12.75" customHeight="1" x14ac:dyDescent="0.35">
      <c r="C282" s="132"/>
      <c r="V282" s="132"/>
      <c r="W282" s="132"/>
      <c r="X282" s="132"/>
      <c r="Y282" s="132"/>
      <c r="Z282" s="132"/>
    </row>
    <row r="283" spans="3:44" ht="12.75" customHeight="1" x14ac:dyDescent="0.35">
      <c r="C283" s="132"/>
      <c r="V283" s="132"/>
      <c r="W283" s="132"/>
      <c r="X283" s="132"/>
      <c r="Y283" s="132"/>
      <c r="Z283" s="132"/>
      <c r="AC283" s="85">
        <f>SUM(AC278:AC281)</f>
        <v>3848542</v>
      </c>
      <c r="AD283" s="85">
        <f t="shared" ref="AD283:AR283" si="145">SUM(AD278:AD281)</f>
        <v>7351970</v>
      </c>
      <c r="AE283" s="85">
        <f t="shared" si="145"/>
        <v>6670045</v>
      </c>
      <c r="AF283" s="85">
        <f t="shared" si="145"/>
        <v>6370429</v>
      </c>
      <c r="AG283" s="85">
        <f t="shared" si="145"/>
        <v>7608442</v>
      </c>
      <c r="AH283" s="85">
        <f t="shared" si="145"/>
        <v>4509902</v>
      </c>
      <c r="AI283" s="85">
        <f t="shared" si="145"/>
        <v>4417187</v>
      </c>
      <c r="AJ283" s="85">
        <f t="shared" si="145"/>
        <v>4205600</v>
      </c>
      <c r="AK283" s="85">
        <f t="shared" si="145"/>
        <v>6546714</v>
      </c>
      <c r="AL283" s="85">
        <f t="shared" si="145"/>
        <v>4196021</v>
      </c>
      <c r="AM283" s="85">
        <f t="shared" si="145"/>
        <v>6353435</v>
      </c>
      <c r="AN283" s="85">
        <f t="shared" si="145"/>
        <v>4445161</v>
      </c>
      <c r="AO283" s="85">
        <f t="shared" si="145"/>
        <v>4350670</v>
      </c>
      <c r="AP283" s="85">
        <f t="shared" si="145"/>
        <v>4338649</v>
      </c>
      <c r="AQ283" s="85">
        <f t="shared" si="145"/>
        <v>3449937</v>
      </c>
      <c r="AR283" s="85">
        <f t="shared" si="145"/>
        <v>3088851</v>
      </c>
    </row>
    <row r="284" spans="3:44" ht="12.75" customHeight="1" x14ac:dyDescent="0.35">
      <c r="C284" s="132"/>
      <c r="V284" s="132"/>
      <c r="W284" s="132"/>
      <c r="X284" s="132"/>
      <c r="Y284" s="132"/>
      <c r="Z284" s="132"/>
      <c r="AC284" s="85">
        <f t="shared" ref="AC284:AR284" si="146">AC283-AC6-AC7-AC231-AC232</f>
        <v>0</v>
      </c>
      <c r="AD284" s="85">
        <f t="shared" si="146"/>
        <v>0</v>
      </c>
      <c r="AE284" s="85">
        <f t="shared" si="146"/>
        <v>0</v>
      </c>
      <c r="AF284" s="85">
        <f t="shared" si="146"/>
        <v>0</v>
      </c>
      <c r="AG284" s="85">
        <f t="shared" si="146"/>
        <v>0</v>
      </c>
      <c r="AH284" s="85">
        <f t="shared" si="146"/>
        <v>0</v>
      </c>
      <c r="AI284" s="85">
        <f t="shared" si="146"/>
        <v>0</v>
      </c>
      <c r="AJ284" s="85">
        <f t="shared" si="146"/>
        <v>0</v>
      </c>
      <c r="AK284" s="85">
        <f t="shared" si="146"/>
        <v>0</v>
      </c>
      <c r="AL284" s="85">
        <f t="shared" si="146"/>
        <v>0</v>
      </c>
      <c r="AM284" s="85">
        <f t="shared" si="146"/>
        <v>0</v>
      </c>
      <c r="AN284" s="85">
        <f t="shared" si="146"/>
        <v>0</v>
      </c>
      <c r="AO284" s="85">
        <f t="shared" si="146"/>
        <v>0</v>
      </c>
      <c r="AP284" s="85">
        <f t="shared" si="146"/>
        <v>0</v>
      </c>
      <c r="AQ284" s="85">
        <f t="shared" si="146"/>
        <v>0</v>
      </c>
      <c r="AR284" s="85">
        <f t="shared" si="146"/>
        <v>0</v>
      </c>
    </row>
    <row r="285" spans="3:44" ht="12.75" customHeight="1" x14ac:dyDescent="0.35">
      <c r="C285" s="132"/>
      <c r="V285" s="132"/>
      <c r="W285" s="132"/>
      <c r="X285" s="132"/>
      <c r="Y285" s="132"/>
      <c r="Z285" s="132"/>
    </row>
    <row r="286" spans="3:44" ht="12.75" customHeight="1" x14ac:dyDescent="0.35">
      <c r="C286" s="132"/>
      <c r="V286" s="132"/>
      <c r="W286" s="132"/>
      <c r="X286" s="132"/>
      <c r="Y286" s="132"/>
      <c r="Z286" s="132"/>
    </row>
    <row r="287" spans="3:44" ht="12.75" customHeight="1" x14ac:dyDescent="0.35">
      <c r="C287" s="132"/>
      <c r="V287" s="132"/>
      <c r="W287" s="132"/>
      <c r="X287" s="132"/>
      <c r="Y287" s="132"/>
      <c r="Z287" s="132"/>
      <c r="AC287" s="85">
        <f>AC4+AC230</f>
        <v>4042847</v>
      </c>
      <c r="AD287" s="85">
        <f t="shared" ref="AD287:AR287" si="147">AD4+AD230</f>
        <v>7683087</v>
      </c>
      <c r="AE287" s="85">
        <f t="shared" si="147"/>
        <v>6955544</v>
      </c>
      <c r="AF287" s="85">
        <f t="shared" si="147"/>
        <v>6582771</v>
      </c>
      <c r="AG287" s="85">
        <f t="shared" si="147"/>
        <v>8397685</v>
      </c>
      <c r="AH287" s="85">
        <f t="shared" si="147"/>
        <v>4735092</v>
      </c>
      <c r="AI287" s="85">
        <f t="shared" si="147"/>
        <v>4722357</v>
      </c>
      <c r="AJ287" s="85">
        <f t="shared" si="147"/>
        <v>4368729</v>
      </c>
      <c r="AK287" s="85">
        <f t="shared" si="147"/>
        <v>7064309</v>
      </c>
      <c r="AL287" s="85">
        <f t="shared" si="147"/>
        <v>4356631</v>
      </c>
      <c r="AM287" s="85">
        <f t="shared" si="147"/>
        <v>6565962</v>
      </c>
      <c r="AN287" s="85">
        <f t="shared" si="147"/>
        <v>4538769</v>
      </c>
      <c r="AO287" s="85">
        <f t="shared" si="147"/>
        <v>4545958</v>
      </c>
      <c r="AP287" s="85">
        <f t="shared" si="147"/>
        <v>4478362</v>
      </c>
      <c r="AQ287" s="85">
        <f t="shared" si="147"/>
        <v>3605277</v>
      </c>
      <c r="AR287" s="85">
        <f t="shared" si="147"/>
        <v>3370918</v>
      </c>
    </row>
    <row r="288" spans="3:44" ht="12.75" customHeight="1" x14ac:dyDescent="0.35">
      <c r="C288" s="132"/>
      <c r="V288" s="132"/>
      <c r="W288" s="132"/>
      <c r="X288" s="132"/>
      <c r="Y288" s="132"/>
      <c r="Z288" s="132"/>
      <c r="AC288" s="85">
        <v>1523999.285948853</v>
      </c>
      <c r="AD288" s="85">
        <v>2660197.3211571462</v>
      </c>
      <c r="AE288" s="85">
        <v>1238603.1714203553</v>
      </c>
      <c r="AF288" s="85">
        <v>1048163.3435854944</v>
      </c>
      <c r="AG288" s="85">
        <v>2694878.3928771056</v>
      </c>
      <c r="AH288" s="85">
        <v>1375389.6373207914</v>
      </c>
      <c r="AI288" s="85">
        <v>1161018.6015539085</v>
      </c>
      <c r="AJ288" s="85">
        <v>1527584.1497367914</v>
      </c>
      <c r="AK288" s="85">
        <v>2704339.0487330211</v>
      </c>
      <c r="AL288" s="85">
        <v>1486105.7805745103</v>
      </c>
      <c r="AM288" s="85">
        <v>1480344.1389881074</v>
      </c>
      <c r="AN288" s="85">
        <v>704912.33654383617</v>
      </c>
      <c r="AO288" s="85">
        <v>1328852.2251637746</v>
      </c>
      <c r="AP288" s="85">
        <v>1251423.2681585099</v>
      </c>
      <c r="AQ288" s="85">
        <v>1265362.0064830701</v>
      </c>
      <c r="AR288" s="85">
        <v>806640.36156203295</v>
      </c>
    </row>
    <row r="289" spans="3:44" ht="12.75" customHeight="1" x14ac:dyDescent="0.35">
      <c r="C289" s="132"/>
      <c r="V289" s="132"/>
      <c r="W289" s="132"/>
      <c r="X289" s="132"/>
      <c r="Y289" s="132"/>
      <c r="Z289" s="132"/>
      <c r="AC289" s="85">
        <f>AC198</f>
        <v>1516945.73</v>
      </c>
      <c r="AD289" s="85">
        <f t="shared" ref="AD289:AR289" si="148">AD198</f>
        <v>3028311.2</v>
      </c>
      <c r="AE289" s="85">
        <f t="shared" si="148"/>
        <v>2207484.62</v>
      </c>
      <c r="AF289" s="85">
        <f t="shared" si="148"/>
        <v>1463141.81</v>
      </c>
      <c r="AG289" s="85">
        <f t="shared" si="148"/>
        <v>3262539.99</v>
      </c>
      <c r="AH289" s="85">
        <f t="shared" si="148"/>
        <v>1520674.92</v>
      </c>
      <c r="AI289" s="85">
        <f t="shared" si="148"/>
        <v>1369949.09</v>
      </c>
      <c r="AJ289" s="85">
        <f t="shared" si="148"/>
        <v>1570923.28</v>
      </c>
      <c r="AK289" s="85">
        <f t="shared" si="148"/>
        <v>2371841.5599999996</v>
      </c>
      <c r="AL289" s="85">
        <f t="shared" si="148"/>
        <v>1502786.75</v>
      </c>
      <c r="AM289" s="85">
        <f t="shared" si="148"/>
        <v>1961818.24</v>
      </c>
      <c r="AN289" s="85">
        <f t="shared" si="148"/>
        <v>4450707.78</v>
      </c>
      <c r="AO289" s="85">
        <f t="shared" si="148"/>
        <v>1791720.9</v>
      </c>
      <c r="AP289" s="85">
        <f t="shared" si="148"/>
        <v>1436228.93</v>
      </c>
      <c r="AQ289" s="85">
        <f t="shared" si="148"/>
        <v>1410553.84</v>
      </c>
      <c r="AR289" s="85">
        <f t="shared" si="148"/>
        <v>1986748.43</v>
      </c>
    </row>
    <row r="290" spans="3:44" ht="12.75" customHeight="1" x14ac:dyDescent="0.35">
      <c r="C290" s="132"/>
      <c r="V290" s="132"/>
      <c r="W290" s="132"/>
      <c r="X290" s="132"/>
      <c r="Y290" s="132"/>
      <c r="Z290" s="132"/>
      <c r="AC290" s="85">
        <v>318294.16554399906</v>
      </c>
      <c r="AD290" s="85">
        <v>339528.70970133413</v>
      </c>
      <c r="AE290" s="85">
        <v>354556.42901599989</v>
      </c>
      <c r="AF290" s="85">
        <v>260397.60513600035</v>
      </c>
      <c r="AG290" s="85">
        <v>298143.18287733238</v>
      </c>
      <c r="AH290" s="85">
        <v>262669.87635466643</v>
      </c>
      <c r="AI290" s="85">
        <v>250836.40946133353</v>
      </c>
      <c r="AJ290" s="85">
        <v>263804.81253333326</v>
      </c>
      <c r="AK290" s="85">
        <v>380650.90553866682</v>
      </c>
      <c r="AL290" s="85">
        <v>265560.34990933328</v>
      </c>
      <c r="AM290" s="85">
        <v>313488.10258666676</v>
      </c>
      <c r="AN290" s="85">
        <v>234978.95370933291</v>
      </c>
      <c r="AO290" s="85">
        <v>250945.40634933306</v>
      </c>
      <c r="AP290" s="85">
        <v>254197.62361333281</v>
      </c>
      <c r="AQ290" s="85">
        <v>297721.75149333378</v>
      </c>
      <c r="AR290" s="85">
        <v>307964.23774666694</v>
      </c>
    </row>
    <row r="291" spans="3:44" ht="12.75" customHeight="1" x14ac:dyDescent="0.35">
      <c r="C291" s="132"/>
      <c r="V291" s="132"/>
      <c r="W291" s="132"/>
      <c r="X291" s="132"/>
      <c r="Y291" s="132"/>
      <c r="Z291" s="132"/>
    </row>
    <row r="292" spans="3:44" ht="12.75" customHeight="1" x14ac:dyDescent="0.35">
      <c r="C292" s="132"/>
      <c r="V292" s="132"/>
      <c r="W292" s="132"/>
      <c r="X292" s="132"/>
      <c r="Y292" s="132"/>
      <c r="Z292" s="132"/>
    </row>
    <row r="293" spans="3:44" ht="12.75" customHeight="1" x14ac:dyDescent="0.35">
      <c r="C293" s="132"/>
      <c r="V293" s="132"/>
      <c r="W293" s="132"/>
      <c r="X293" s="132"/>
      <c r="Y293" s="132"/>
      <c r="Z293" s="132"/>
      <c r="AC293" s="85"/>
      <c r="AD293" s="85"/>
      <c r="AE293" s="85"/>
      <c r="AF293" s="85"/>
      <c r="AG293" s="85"/>
      <c r="AH293" s="85"/>
      <c r="AI293" s="85"/>
      <c r="AJ293" s="85"/>
      <c r="AK293" s="85"/>
      <c r="AL293" s="85"/>
      <c r="AM293" s="85"/>
      <c r="AN293" s="85"/>
      <c r="AO293" s="85"/>
      <c r="AP293" s="85"/>
      <c r="AQ293" s="85"/>
      <c r="AR293" s="85"/>
    </row>
    <row r="294" spans="3:44" ht="12.75" customHeight="1" x14ac:dyDescent="0.35">
      <c r="C294" s="132"/>
      <c r="V294" s="132"/>
      <c r="W294" s="132"/>
      <c r="X294" s="132"/>
      <c r="Y294" s="132"/>
      <c r="Z294" s="132"/>
      <c r="AB294" s="80" t="s">
        <v>503</v>
      </c>
      <c r="AC294" s="85">
        <v>1639919</v>
      </c>
      <c r="AD294" s="85">
        <v>2977039</v>
      </c>
      <c r="AE294" s="85">
        <v>1277109</v>
      </c>
      <c r="AF294" s="85">
        <v>966618</v>
      </c>
      <c r="AG294" s="85">
        <v>2872981</v>
      </c>
      <c r="AH294" s="85">
        <v>1396711</v>
      </c>
      <c r="AI294" s="85">
        <v>1207297</v>
      </c>
      <c r="AJ294" s="85">
        <v>1664103</v>
      </c>
      <c r="AK294" s="85">
        <v>3046904</v>
      </c>
      <c r="AL294" s="85">
        <v>1649983</v>
      </c>
      <c r="AM294" s="85">
        <v>1698561</v>
      </c>
      <c r="AN294" s="85">
        <v>789479</v>
      </c>
      <c r="AO294" s="85">
        <v>1262462</v>
      </c>
      <c r="AP294" s="85">
        <v>1375425</v>
      </c>
      <c r="AQ294" s="85">
        <v>1460990</v>
      </c>
      <c r="AR294" s="85">
        <v>934530</v>
      </c>
    </row>
    <row r="295" spans="3:44" ht="27.75" customHeight="1" x14ac:dyDescent="0.35">
      <c r="C295" s="132"/>
      <c r="V295" s="132"/>
      <c r="W295" s="132"/>
      <c r="X295" s="132"/>
      <c r="Y295" s="132"/>
      <c r="Z295" s="132"/>
      <c r="AB295" s="128" t="s">
        <v>498</v>
      </c>
      <c r="AC295" s="134">
        <f t="shared" ref="AC295:AR295" si="149">AC4+AC230</f>
        <v>4042847</v>
      </c>
      <c r="AD295" s="134">
        <f t="shared" si="149"/>
        <v>7683087</v>
      </c>
      <c r="AE295" s="134">
        <f t="shared" si="149"/>
        <v>6955544</v>
      </c>
      <c r="AF295" s="134">
        <f t="shared" si="149"/>
        <v>6582771</v>
      </c>
      <c r="AG295" s="134">
        <f t="shared" si="149"/>
        <v>8397685</v>
      </c>
      <c r="AH295" s="134">
        <f t="shared" si="149"/>
        <v>4735092</v>
      </c>
      <c r="AI295" s="134">
        <f t="shared" si="149"/>
        <v>4722357</v>
      </c>
      <c r="AJ295" s="134">
        <f t="shared" si="149"/>
        <v>4368729</v>
      </c>
      <c r="AK295" s="134">
        <f t="shared" si="149"/>
        <v>7064309</v>
      </c>
      <c r="AL295" s="134">
        <f t="shared" si="149"/>
        <v>4356631</v>
      </c>
      <c r="AM295" s="134">
        <f t="shared" si="149"/>
        <v>6565962</v>
      </c>
      <c r="AN295" s="134">
        <f t="shared" si="149"/>
        <v>4538769</v>
      </c>
      <c r="AO295" s="134">
        <f t="shared" si="149"/>
        <v>4545958</v>
      </c>
      <c r="AP295" s="134">
        <f t="shared" si="149"/>
        <v>4478362</v>
      </c>
      <c r="AQ295" s="134">
        <f t="shared" si="149"/>
        <v>3605277</v>
      </c>
      <c r="AR295" s="134">
        <f t="shared" si="149"/>
        <v>3370918</v>
      </c>
    </row>
    <row r="296" spans="3:44" ht="27.75" customHeight="1" x14ac:dyDescent="0.35">
      <c r="C296" s="132"/>
      <c r="V296" s="132"/>
      <c r="W296" s="132"/>
      <c r="X296" s="132"/>
      <c r="Y296" s="132"/>
      <c r="Z296" s="132"/>
      <c r="AB296" s="128" t="s">
        <v>501</v>
      </c>
      <c r="AC296" s="134">
        <f t="shared" ref="AC296:AR296" si="150">AC198</f>
        <v>1516945.73</v>
      </c>
      <c r="AD296" s="134">
        <f t="shared" si="150"/>
        <v>3028311.2</v>
      </c>
      <c r="AE296" s="134">
        <f t="shared" si="150"/>
        <v>2207484.62</v>
      </c>
      <c r="AF296" s="134">
        <f t="shared" si="150"/>
        <v>1463141.81</v>
      </c>
      <c r="AG296" s="134">
        <f t="shared" si="150"/>
        <v>3262539.99</v>
      </c>
      <c r="AH296" s="134">
        <f t="shared" si="150"/>
        <v>1520674.92</v>
      </c>
      <c r="AI296" s="134">
        <f t="shared" si="150"/>
        <v>1369949.09</v>
      </c>
      <c r="AJ296" s="134">
        <f t="shared" si="150"/>
        <v>1570923.28</v>
      </c>
      <c r="AK296" s="134">
        <f t="shared" si="150"/>
        <v>2371841.5599999996</v>
      </c>
      <c r="AL296" s="134">
        <f t="shared" si="150"/>
        <v>1502786.75</v>
      </c>
      <c r="AM296" s="134">
        <f t="shared" si="150"/>
        <v>1961818.24</v>
      </c>
      <c r="AN296" s="134">
        <f t="shared" si="150"/>
        <v>4450707.78</v>
      </c>
      <c r="AO296" s="134">
        <f t="shared" si="150"/>
        <v>1791720.9</v>
      </c>
      <c r="AP296" s="134">
        <f t="shared" si="150"/>
        <v>1436228.93</v>
      </c>
      <c r="AQ296" s="134">
        <f t="shared" si="150"/>
        <v>1410553.84</v>
      </c>
      <c r="AR296" s="134">
        <f t="shared" si="150"/>
        <v>1986748.43</v>
      </c>
    </row>
    <row r="297" spans="3:44" ht="27.75" customHeight="1" x14ac:dyDescent="0.35">
      <c r="C297" s="132"/>
      <c r="V297" s="132"/>
      <c r="W297" s="132"/>
      <c r="X297" s="132"/>
      <c r="Y297" s="132"/>
      <c r="Z297" s="132"/>
      <c r="AB297" s="128" t="s">
        <v>499</v>
      </c>
      <c r="AC297" s="134">
        <f t="shared" ref="AC297:AR297" si="151">AC9-AC294</f>
        <v>893261</v>
      </c>
      <c r="AD297" s="134">
        <f t="shared" si="151"/>
        <v>1522949</v>
      </c>
      <c r="AE297" s="134">
        <f t="shared" si="151"/>
        <v>741157</v>
      </c>
      <c r="AF297" s="134">
        <f t="shared" si="151"/>
        <v>648287</v>
      </c>
      <c r="AG297" s="134">
        <f t="shared" si="151"/>
        <v>1585888</v>
      </c>
      <c r="AH297" s="134">
        <f t="shared" si="151"/>
        <v>838489</v>
      </c>
      <c r="AI297" s="134">
        <f t="shared" si="151"/>
        <v>684366</v>
      </c>
      <c r="AJ297" s="134">
        <f t="shared" si="151"/>
        <v>887782</v>
      </c>
      <c r="AK297" s="134">
        <f t="shared" si="151"/>
        <v>1548963</v>
      </c>
      <c r="AL297" s="134">
        <f t="shared" si="151"/>
        <v>856967</v>
      </c>
      <c r="AM297" s="134">
        <f t="shared" si="151"/>
        <v>843741</v>
      </c>
      <c r="AN297" s="134">
        <f t="shared" si="151"/>
        <v>406338</v>
      </c>
      <c r="AO297" s="134">
        <f t="shared" si="151"/>
        <v>815411</v>
      </c>
      <c r="AP297" s="134">
        <f t="shared" si="151"/>
        <v>725186</v>
      </c>
      <c r="AQ297" s="134">
        <f t="shared" si="151"/>
        <v>717798</v>
      </c>
      <c r="AR297" s="134">
        <f t="shared" si="151"/>
        <v>451017</v>
      </c>
    </row>
    <row r="298" spans="3:44" ht="27.75" customHeight="1" x14ac:dyDescent="0.35">
      <c r="C298" s="132"/>
      <c r="V298" s="132"/>
      <c r="W298" s="132"/>
      <c r="X298" s="132"/>
      <c r="Y298" s="132"/>
      <c r="Z298" s="132"/>
      <c r="AB298" s="128" t="s">
        <v>500</v>
      </c>
      <c r="AC298" s="134">
        <v>2024.6</v>
      </c>
      <c r="AD298" s="134">
        <v>5020.55</v>
      </c>
      <c r="AE298" s="134">
        <v>2999.3</v>
      </c>
      <c r="AF298" s="134">
        <v>3022.23</v>
      </c>
      <c r="AG298" s="134">
        <v>4012.28</v>
      </c>
      <c r="AH298" s="134">
        <v>2504.04</v>
      </c>
      <c r="AI298" s="134">
        <v>3000.39</v>
      </c>
      <c r="AJ298" s="134">
        <v>2011.49</v>
      </c>
      <c r="AK298" s="134">
        <v>6808.72</v>
      </c>
      <c r="AL298" s="134">
        <v>3007.5</v>
      </c>
      <c r="AM298" s="134">
        <v>2583.2800000000002</v>
      </c>
      <c r="AN298" s="134">
        <v>1521.49</v>
      </c>
      <c r="AO298" s="134">
        <v>3810.84</v>
      </c>
      <c r="AP298" s="134">
        <v>3737.31</v>
      </c>
      <c r="AQ298" s="134">
        <v>2201.83</v>
      </c>
      <c r="AR298" s="134">
        <v>1537.86</v>
      </c>
    </row>
    <row r="299" spans="3:44" ht="27.75" customHeight="1" x14ac:dyDescent="0.35">
      <c r="C299" s="132"/>
      <c r="V299" s="132"/>
      <c r="W299" s="132"/>
      <c r="X299" s="132"/>
      <c r="Y299" s="132"/>
      <c r="Z299" s="132"/>
      <c r="AB299" s="128" t="s">
        <v>502</v>
      </c>
      <c r="AC299" s="134">
        <f t="shared" ref="AC299:AR299" si="152">AC301-AC295-AC296-AC297-AC298</f>
        <v>947006.67</v>
      </c>
      <c r="AD299" s="134">
        <f t="shared" si="152"/>
        <v>1471756.2499999998</v>
      </c>
      <c r="AE299" s="134">
        <f t="shared" si="152"/>
        <v>849003.07999999984</v>
      </c>
      <c r="AF299" s="134">
        <f t="shared" si="152"/>
        <v>657251.96</v>
      </c>
      <c r="AG299" s="134">
        <f t="shared" si="152"/>
        <v>1403121.7299999997</v>
      </c>
      <c r="AH299" s="134">
        <f t="shared" si="152"/>
        <v>797066.04</v>
      </c>
      <c r="AI299" s="134">
        <f t="shared" si="152"/>
        <v>724488.5199999999</v>
      </c>
      <c r="AJ299" s="134">
        <f t="shared" si="152"/>
        <v>901595.23</v>
      </c>
      <c r="AK299" s="134">
        <f t="shared" si="152"/>
        <v>1529219.7200000004</v>
      </c>
      <c r="AL299" s="134">
        <f t="shared" si="152"/>
        <v>891691.75</v>
      </c>
      <c r="AM299" s="134">
        <f t="shared" si="152"/>
        <v>947507.48</v>
      </c>
      <c r="AN299" s="134">
        <f t="shared" si="152"/>
        <v>532031.72999999975</v>
      </c>
      <c r="AO299" s="134">
        <f t="shared" si="152"/>
        <v>760576.26000000013</v>
      </c>
      <c r="AP299" s="134">
        <f t="shared" si="152"/>
        <v>776697.76</v>
      </c>
      <c r="AQ299" s="134">
        <f t="shared" si="152"/>
        <v>843084.33</v>
      </c>
      <c r="AR299" s="134">
        <f t="shared" si="152"/>
        <v>662049.71000000008</v>
      </c>
    </row>
    <row r="300" spans="3:44" ht="12.75" customHeight="1" x14ac:dyDescent="0.35">
      <c r="C300" s="132"/>
      <c r="V300" s="132"/>
      <c r="W300" s="132"/>
      <c r="X300" s="132"/>
      <c r="Y300" s="132"/>
      <c r="Z300" s="132"/>
      <c r="AB300" s="135"/>
      <c r="AC300" s="135"/>
      <c r="AD300" s="135"/>
      <c r="AE300" s="135"/>
      <c r="AF300" s="135"/>
      <c r="AG300" s="135"/>
      <c r="AH300" s="135"/>
      <c r="AI300" s="135"/>
      <c r="AJ300" s="135"/>
      <c r="AK300" s="135"/>
      <c r="AL300" s="135"/>
      <c r="AM300" s="135"/>
      <c r="AN300" s="135"/>
      <c r="AO300" s="135"/>
      <c r="AP300" s="135"/>
      <c r="AQ300" s="135"/>
      <c r="AR300" s="135"/>
    </row>
    <row r="301" spans="3:44" ht="12.75" customHeight="1" x14ac:dyDescent="0.35">
      <c r="C301" s="132"/>
      <c r="V301" s="132"/>
      <c r="W301" s="132"/>
      <c r="X301" s="132"/>
      <c r="Y301" s="132"/>
      <c r="Z301" s="132"/>
      <c r="AC301" s="85">
        <v>7402085</v>
      </c>
      <c r="AD301" s="85">
        <v>13711124</v>
      </c>
      <c r="AE301" s="85">
        <v>10756188</v>
      </c>
      <c r="AF301" s="85">
        <v>9354474</v>
      </c>
      <c r="AG301" s="85">
        <v>14653247</v>
      </c>
      <c r="AH301" s="85">
        <v>7893826</v>
      </c>
      <c r="AI301" s="85">
        <v>7504161</v>
      </c>
      <c r="AJ301" s="85">
        <v>7731041</v>
      </c>
      <c r="AK301" s="85">
        <v>12521142</v>
      </c>
      <c r="AL301" s="85">
        <v>7611084</v>
      </c>
      <c r="AM301" s="85">
        <v>10321612</v>
      </c>
      <c r="AN301" s="85">
        <v>9929368</v>
      </c>
      <c r="AO301" s="85">
        <v>7917477</v>
      </c>
      <c r="AP301" s="85">
        <v>7420212</v>
      </c>
      <c r="AQ301" s="85">
        <v>6578915</v>
      </c>
      <c r="AR301" s="85">
        <v>6472271</v>
      </c>
    </row>
    <row r="302" spans="3:44" ht="12.75" customHeight="1" x14ac:dyDescent="0.35">
      <c r="C302" s="132"/>
      <c r="V302" s="132"/>
      <c r="W302" s="132"/>
      <c r="X302" s="132"/>
      <c r="Y302" s="132"/>
      <c r="Z302" s="132"/>
    </row>
    <row r="303" spans="3:44" ht="12.75" customHeight="1" x14ac:dyDescent="0.35">
      <c r="C303" s="132"/>
      <c r="V303" s="132"/>
      <c r="W303" s="132"/>
      <c r="X303" s="132"/>
      <c r="Y303" s="132"/>
      <c r="Z303" s="132"/>
      <c r="AC303" s="136"/>
      <c r="AD303" s="136"/>
      <c r="AE303" s="136"/>
      <c r="AF303" s="136"/>
      <c r="AG303" s="136"/>
      <c r="AH303" s="136"/>
      <c r="AI303" s="136"/>
      <c r="AJ303" s="136"/>
      <c r="AK303" s="136"/>
      <c r="AL303" s="136"/>
      <c r="AM303" s="136"/>
      <c r="AN303" s="136"/>
      <c r="AO303" s="136"/>
      <c r="AP303" s="136"/>
      <c r="AQ303" s="136"/>
      <c r="AR303" s="136"/>
    </row>
    <row r="304" spans="3:44" ht="12.75" customHeight="1" x14ac:dyDescent="0.35">
      <c r="C304" s="132"/>
      <c r="V304" s="132"/>
      <c r="W304" s="132"/>
      <c r="X304" s="132"/>
      <c r="Y304" s="132"/>
      <c r="Z304" s="132"/>
      <c r="AC304" s="136"/>
      <c r="AD304" s="136"/>
      <c r="AE304" s="136"/>
      <c r="AF304" s="136"/>
      <c r="AG304" s="136"/>
      <c r="AH304" s="136"/>
      <c r="AI304" s="136"/>
      <c r="AJ304" s="136"/>
      <c r="AK304" s="136"/>
      <c r="AL304" s="136"/>
      <c r="AM304" s="136"/>
      <c r="AN304" s="136"/>
      <c r="AO304" s="136"/>
      <c r="AP304" s="136"/>
      <c r="AQ304" s="136"/>
      <c r="AR304" s="136"/>
    </row>
    <row r="305" spans="3:44" ht="12.75" customHeight="1" x14ac:dyDescent="0.35">
      <c r="C305" s="132"/>
      <c r="V305" s="132"/>
      <c r="W305" s="132"/>
      <c r="X305" s="132"/>
      <c r="Y305" s="132"/>
      <c r="Z305" s="132"/>
      <c r="AC305" s="137"/>
      <c r="AD305" s="137"/>
      <c r="AE305" s="137"/>
      <c r="AF305" s="137"/>
      <c r="AG305" s="137"/>
      <c r="AH305" s="137"/>
      <c r="AI305" s="137"/>
      <c r="AJ305" s="137"/>
      <c r="AK305" s="137"/>
      <c r="AL305" s="137"/>
      <c r="AM305" s="137"/>
      <c r="AN305" s="137"/>
      <c r="AO305" s="137"/>
      <c r="AP305" s="137"/>
      <c r="AQ305" s="137"/>
      <c r="AR305" s="137"/>
    </row>
    <row r="306" spans="3:44" ht="12.75" customHeight="1" x14ac:dyDescent="0.35">
      <c r="C306" s="132"/>
      <c r="V306" s="132"/>
      <c r="W306" s="132"/>
      <c r="X306" s="132"/>
      <c r="Y306" s="132"/>
      <c r="Z306" s="132"/>
    </row>
    <row r="307" spans="3:44" ht="12.75" customHeight="1" x14ac:dyDescent="0.35">
      <c r="C307" s="132"/>
      <c r="V307" s="132"/>
      <c r="W307" s="132"/>
      <c r="X307" s="132"/>
      <c r="Y307" s="132"/>
      <c r="Z307" s="132"/>
    </row>
    <row r="308" spans="3:44" ht="12.75" customHeight="1" x14ac:dyDescent="0.35">
      <c r="C308" s="132"/>
      <c r="V308" s="132"/>
      <c r="W308" s="132"/>
      <c r="X308" s="132"/>
      <c r="Y308" s="132"/>
      <c r="Z308" s="132"/>
    </row>
    <row r="309" spans="3:44" ht="12.75" customHeight="1" x14ac:dyDescent="0.35">
      <c r="C309" s="132"/>
      <c r="V309" s="132"/>
      <c r="W309" s="132"/>
      <c r="X309" s="132"/>
      <c r="Y309" s="132"/>
      <c r="Z309" s="132"/>
    </row>
    <row r="310" spans="3:44" ht="12.75" customHeight="1" x14ac:dyDescent="0.35">
      <c r="C310" s="132"/>
      <c r="V310" s="132"/>
      <c r="W310" s="132"/>
      <c r="X310" s="132"/>
      <c r="Y310" s="132"/>
      <c r="Z310" s="132"/>
    </row>
    <row r="311" spans="3:44" ht="12.75" customHeight="1" x14ac:dyDescent="0.35">
      <c r="C311" s="132"/>
      <c r="V311" s="132"/>
      <c r="W311" s="132"/>
      <c r="X311" s="132"/>
      <c r="Y311" s="132"/>
      <c r="Z311" s="132"/>
    </row>
    <row r="312" spans="3:44" ht="12.75" customHeight="1" x14ac:dyDescent="0.35">
      <c r="C312" s="132"/>
      <c r="V312" s="132"/>
      <c r="W312" s="132"/>
      <c r="X312" s="132"/>
      <c r="Y312" s="132"/>
      <c r="Z312" s="132"/>
    </row>
    <row r="313" spans="3:44" ht="12.75" customHeight="1" x14ac:dyDescent="0.35">
      <c r="C313" s="132"/>
      <c r="V313" s="132"/>
      <c r="W313" s="132"/>
      <c r="X313" s="132"/>
      <c r="Y313" s="132"/>
      <c r="Z313" s="132"/>
    </row>
    <row r="314" spans="3:44" ht="12.75" customHeight="1" x14ac:dyDescent="0.35">
      <c r="C314" s="132"/>
      <c r="V314" s="132"/>
      <c r="W314" s="132"/>
      <c r="X314" s="132"/>
      <c r="Y314" s="132"/>
      <c r="Z314" s="132"/>
    </row>
    <row r="315" spans="3:44" ht="12.75" customHeight="1" x14ac:dyDescent="0.35">
      <c r="C315" s="132"/>
      <c r="V315" s="132"/>
      <c r="W315" s="132"/>
      <c r="X315" s="132"/>
      <c r="Y315" s="132"/>
      <c r="Z315" s="132"/>
    </row>
    <row r="316" spans="3:44" ht="12.75" customHeight="1" x14ac:dyDescent="0.35">
      <c r="C316" s="132"/>
      <c r="V316" s="132"/>
      <c r="W316" s="132"/>
      <c r="X316" s="132"/>
      <c r="Y316" s="132"/>
      <c r="Z316" s="132"/>
    </row>
    <row r="317" spans="3:44" ht="12.75" customHeight="1" x14ac:dyDescent="0.35">
      <c r="C317" s="132"/>
      <c r="V317" s="132"/>
      <c r="W317" s="132"/>
      <c r="X317" s="132"/>
      <c r="Y317" s="132"/>
      <c r="Z317" s="132"/>
    </row>
    <row r="318" spans="3:44" ht="12.75" customHeight="1" x14ac:dyDescent="0.35">
      <c r="C318" s="132"/>
      <c r="V318" s="132"/>
      <c r="W318" s="132"/>
      <c r="X318" s="132"/>
      <c r="Y318" s="132"/>
      <c r="Z318" s="132"/>
    </row>
    <row r="319" spans="3:44" ht="12.75" customHeight="1" x14ac:dyDescent="0.35">
      <c r="C319" s="132"/>
      <c r="V319" s="132"/>
      <c r="W319" s="132"/>
      <c r="X319" s="132"/>
      <c r="Y319" s="132"/>
      <c r="Z319" s="132"/>
    </row>
    <row r="320" spans="3:44" ht="12.75" customHeight="1" x14ac:dyDescent="0.35">
      <c r="C320" s="132"/>
      <c r="V320" s="132"/>
      <c r="W320" s="132"/>
      <c r="X320" s="132"/>
      <c r="Y320" s="132"/>
      <c r="Z320" s="132"/>
    </row>
    <row r="321" spans="3:26" ht="12.75" customHeight="1" x14ac:dyDescent="0.35">
      <c r="C321" s="132"/>
      <c r="V321" s="132"/>
      <c r="W321" s="132"/>
      <c r="X321" s="132"/>
      <c r="Y321" s="132"/>
      <c r="Z321" s="132"/>
    </row>
    <row r="322" spans="3:26" ht="12.75" customHeight="1" x14ac:dyDescent="0.35">
      <c r="C322" s="132"/>
      <c r="V322" s="132"/>
      <c r="W322" s="132"/>
      <c r="X322" s="132"/>
      <c r="Y322" s="132"/>
      <c r="Z322" s="132"/>
    </row>
    <row r="323" spans="3:26" ht="12.75" customHeight="1" x14ac:dyDescent="0.35">
      <c r="C323" s="132"/>
      <c r="V323" s="132"/>
      <c r="W323" s="132"/>
      <c r="X323" s="132"/>
      <c r="Y323" s="132"/>
      <c r="Z323" s="132"/>
    </row>
    <row r="324" spans="3:26" ht="12.75" customHeight="1" x14ac:dyDescent="0.35">
      <c r="C324" s="132"/>
      <c r="V324" s="132"/>
      <c r="W324" s="132"/>
      <c r="X324" s="132"/>
      <c r="Y324" s="132"/>
      <c r="Z324" s="132"/>
    </row>
    <row r="325" spans="3:26" ht="12.75" customHeight="1" x14ac:dyDescent="0.35">
      <c r="C325" s="132"/>
      <c r="V325" s="132"/>
      <c r="W325" s="132"/>
      <c r="X325" s="132"/>
      <c r="Y325" s="132"/>
      <c r="Z325" s="132"/>
    </row>
    <row r="326" spans="3:26" ht="12.75" customHeight="1" x14ac:dyDescent="0.35">
      <c r="C326" s="132"/>
      <c r="V326" s="132"/>
      <c r="W326" s="132"/>
      <c r="X326" s="132"/>
      <c r="Y326" s="132"/>
      <c r="Z326" s="132"/>
    </row>
    <row r="327" spans="3:26" ht="12.75" customHeight="1" x14ac:dyDescent="0.35">
      <c r="C327" s="132"/>
      <c r="V327" s="132"/>
      <c r="W327" s="132"/>
      <c r="X327" s="132"/>
      <c r="Y327" s="132"/>
      <c r="Z327" s="132"/>
    </row>
    <row r="328" spans="3:26" ht="12.75" customHeight="1" x14ac:dyDescent="0.35">
      <c r="C328" s="132"/>
      <c r="V328" s="132"/>
      <c r="W328" s="132"/>
      <c r="X328" s="132"/>
      <c r="Y328" s="132"/>
      <c r="Z328" s="132"/>
    </row>
    <row r="329" spans="3:26" ht="12.75" customHeight="1" x14ac:dyDescent="0.35">
      <c r="C329" s="132"/>
      <c r="V329" s="132"/>
      <c r="W329" s="132"/>
      <c r="X329" s="132"/>
      <c r="Y329" s="132"/>
      <c r="Z329" s="132"/>
    </row>
    <row r="330" spans="3:26" ht="12.75" customHeight="1" x14ac:dyDescent="0.35">
      <c r="C330" s="132"/>
      <c r="V330" s="132"/>
      <c r="W330" s="132"/>
      <c r="X330" s="132"/>
      <c r="Y330" s="132"/>
      <c r="Z330" s="132"/>
    </row>
    <row r="331" spans="3:26" ht="12.75" customHeight="1" x14ac:dyDescent="0.35">
      <c r="C331" s="132"/>
      <c r="V331" s="132"/>
      <c r="W331" s="132"/>
      <c r="X331" s="132"/>
      <c r="Y331" s="132"/>
      <c r="Z331" s="132"/>
    </row>
    <row r="332" spans="3:26" ht="12.75" customHeight="1" x14ac:dyDescent="0.35">
      <c r="C332" s="132"/>
      <c r="V332" s="132"/>
      <c r="W332" s="132"/>
      <c r="X332" s="132"/>
      <c r="Y332" s="132"/>
      <c r="Z332" s="132"/>
    </row>
    <row r="333" spans="3:26" ht="12.75" customHeight="1" x14ac:dyDescent="0.35">
      <c r="C333" s="132"/>
      <c r="V333" s="132"/>
      <c r="W333" s="132"/>
      <c r="X333" s="132"/>
      <c r="Y333" s="132"/>
      <c r="Z333" s="132"/>
    </row>
    <row r="334" spans="3:26" ht="12.75" customHeight="1" x14ac:dyDescent="0.35">
      <c r="C334" s="132"/>
      <c r="V334" s="132"/>
      <c r="W334" s="132"/>
      <c r="X334" s="132"/>
      <c r="Y334" s="132"/>
      <c r="Z334" s="132"/>
    </row>
    <row r="335" spans="3:26" ht="12.75" customHeight="1" x14ac:dyDescent="0.35">
      <c r="C335" s="132"/>
      <c r="V335" s="132"/>
      <c r="W335" s="132"/>
      <c r="X335" s="132"/>
      <c r="Y335" s="132"/>
      <c r="Z335" s="132"/>
    </row>
    <row r="336" spans="3:26" ht="12.75" customHeight="1" x14ac:dyDescent="0.35">
      <c r="C336" s="132"/>
      <c r="V336" s="132"/>
      <c r="W336" s="132"/>
      <c r="X336" s="132"/>
      <c r="Y336" s="132"/>
      <c r="Z336" s="132"/>
    </row>
    <row r="337" spans="3:26" ht="12.75" customHeight="1" x14ac:dyDescent="0.35">
      <c r="C337" s="132"/>
      <c r="V337" s="132"/>
      <c r="W337" s="132"/>
      <c r="X337" s="132"/>
      <c r="Y337" s="132"/>
      <c r="Z337" s="132"/>
    </row>
    <row r="338" spans="3:26" ht="12.75" customHeight="1" x14ac:dyDescent="0.35">
      <c r="C338" s="132"/>
      <c r="V338" s="132"/>
      <c r="W338" s="132"/>
      <c r="X338" s="132"/>
      <c r="Y338" s="132"/>
      <c r="Z338" s="132"/>
    </row>
    <row r="339" spans="3:26" ht="12.75" customHeight="1" x14ac:dyDescent="0.35">
      <c r="C339" s="132"/>
      <c r="V339" s="132"/>
      <c r="W339" s="132"/>
      <c r="X339" s="132"/>
      <c r="Y339" s="132"/>
      <c r="Z339" s="132"/>
    </row>
    <row r="340" spans="3:26" ht="12.75" customHeight="1" x14ac:dyDescent="0.35">
      <c r="C340" s="132"/>
      <c r="V340" s="132"/>
      <c r="W340" s="132"/>
      <c r="X340" s="132"/>
      <c r="Y340" s="132"/>
      <c r="Z340" s="132"/>
    </row>
    <row r="341" spans="3:26" ht="12.75" customHeight="1" x14ac:dyDescent="0.35">
      <c r="C341" s="132"/>
      <c r="V341" s="132"/>
      <c r="W341" s="132"/>
      <c r="X341" s="132"/>
      <c r="Y341" s="132"/>
      <c r="Z341" s="132"/>
    </row>
    <row r="342" spans="3:26" ht="12.75" customHeight="1" x14ac:dyDescent="0.35">
      <c r="C342" s="132"/>
      <c r="V342" s="132"/>
      <c r="W342" s="132"/>
      <c r="X342" s="132"/>
      <c r="Y342" s="132"/>
      <c r="Z342" s="132"/>
    </row>
    <row r="343" spans="3:26" ht="12.75" customHeight="1" x14ac:dyDescent="0.35">
      <c r="C343" s="132"/>
      <c r="V343" s="132"/>
      <c r="W343" s="132"/>
      <c r="X343" s="132"/>
      <c r="Y343" s="132"/>
      <c r="Z343" s="132"/>
    </row>
    <row r="344" spans="3:26" ht="12.75" customHeight="1" x14ac:dyDescent="0.35">
      <c r="C344" s="132"/>
      <c r="V344" s="132"/>
      <c r="W344" s="132"/>
      <c r="X344" s="132"/>
      <c r="Y344" s="132"/>
      <c r="Z344" s="132"/>
    </row>
    <row r="345" spans="3:26" ht="12.75" customHeight="1" x14ac:dyDescent="0.35">
      <c r="C345" s="132"/>
      <c r="V345" s="132"/>
      <c r="W345" s="132"/>
      <c r="X345" s="132"/>
      <c r="Y345" s="132"/>
      <c r="Z345" s="132"/>
    </row>
    <row r="346" spans="3:26" ht="12.75" customHeight="1" x14ac:dyDescent="0.35">
      <c r="C346" s="132"/>
      <c r="V346" s="132"/>
      <c r="W346" s="132"/>
      <c r="X346" s="132"/>
      <c r="Y346" s="132"/>
      <c r="Z346" s="132"/>
    </row>
    <row r="347" spans="3:26" ht="12.75" customHeight="1" x14ac:dyDescent="0.35">
      <c r="C347" s="132"/>
      <c r="V347" s="132"/>
      <c r="W347" s="132"/>
      <c r="X347" s="132"/>
      <c r="Y347" s="132"/>
      <c r="Z347" s="132"/>
    </row>
    <row r="348" spans="3:26" ht="12.75" customHeight="1" x14ac:dyDescent="0.35">
      <c r="C348" s="132"/>
      <c r="V348" s="132"/>
      <c r="W348" s="132"/>
      <c r="X348" s="132"/>
      <c r="Y348" s="132"/>
      <c r="Z348" s="132"/>
    </row>
    <row r="349" spans="3:26" ht="12.75" customHeight="1" x14ac:dyDescent="0.35">
      <c r="C349" s="132"/>
      <c r="V349" s="132"/>
      <c r="W349" s="132"/>
      <c r="X349" s="132"/>
      <c r="Y349" s="132"/>
      <c r="Z349" s="132"/>
    </row>
    <row r="350" spans="3:26" ht="12.75" customHeight="1" x14ac:dyDescent="0.35">
      <c r="C350" s="132"/>
      <c r="V350" s="132"/>
      <c r="W350" s="132"/>
      <c r="X350" s="132"/>
      <c r="Y350" s="132"/>
      <c r="Z350" s="132"/>
    </row>
    <row r="351" spans="3:26" ht="12.75" customHeight="1" x14ac:dyDescent="0.35">
      <c r="C351" s="132"/>
      <c r="V351" s="132"/>
      <c r="W351" s="132"/>
      <c r="X351" s="132"/>
      <c r="Y351" s="132"/>
      <c r="Z351" s="132"/>
    </row>
    <row r="352" spans="3:26" ht="12.75" customHeight="1" x14ac:dyDescent="0.35">
      <c r="C352" s="132"/>
      <c r="V352" s="132"/>
      <c r="W352" s="132"/>
      <c r="X352" s="132"/>
      <c r="Y352" s="132"/>
      <c r="Z352" s="132"/>
    </row>
    <row r="353" spans="3:26" ht="12.75" customHeight="1" x14ac:dyDescent="0.35">
      <c r="C353" s="132"/>
      <c r="V353" s="132"/>
      <c r="W353" s="132"/>
      <c r="X353" s="132"/>
      <c r="Y353" s="132"/>
      <c r="Z353" s="132"/>
    </row>
    <row r="354" spans="3:26" ht="12.75" customHeight="1" x14ac:dyDescent="0.35">
      <c r="C354" s="132"/>
      <c r="V354" s="132"/>
      <c r="W354" s="132"/>
      <c r="X354" s="132"/>
      <c r="Y354" s="132"/>
      <c r="Z354" s="132"/>
    </row>
    <row r="355" spans="3:26" ht="12.75" customHeight="1" x14ac:dyDescent="0.35">
      <c r="C355" s="132"/>
      <c r="V355" s="132"/>
      <c r="W355" s="132"/>
      <c r="X355" s="132"/>
      <c r="Y355" s="132"/>
      <c r="Z355" s="132"/>
    </row>
    <row r="356" spans="3:26" ht="12.75" customHeight="1" x14ac:dyDescent="0.35">
      <c r="C356" s="132"/>
      <c r="V356" s="132"/>
      <c r="W356" s="132"/>
      <c r="X356" s="132"/>
      <c r="Y356" s="132"/>
      <c r="Z356" s="132"/>
    </row>
    <row r="357" spans="3:26" ht="12.75" customHeight="1" x14ac:dyDescent="0.35">
      <c r="C357" s="132"/>
      <c r="V357" s="132"/>
      <c r="W357" s="132"/>
      <c r="X357" s="132"/>
      <c r="Y357" s="132"/>
      <c r="Z357" s="132"/>
    </row>
    <row r="358" spans="3:26" ht="12.75" customHeight="1" x14ac:dyDescent="0.35">
      <c r="C358" s="132"/>
      <c r="V358" s="132"/>
      <c r="W358" s="132"/>
      <c r="X358" s="132"/>
      <c r="Y358" s="132"/>
      <c r="Z358" s="132"/>
    </row>
    <row r="359" spans="3:26" ht="12.75" customHeight="1" x14ac:dyDescent="0.35">
      <c r="C359" s="132"/>
      <c r="V359" s="132"/>
      <c r="W359" s="132"/>
      <c r="X359" s="132"/>
      <c r="Y359" s="132"/>
      <c r="Z359" s="132"/>
    </row>
    <row r="360" spans="3:26" ht="12.75" customHeight="1" x14ac:dyDescent="0.35">
      <c r="C360" s="132"/>
      <c r="V360" s="132"/>
      <c r="W360" s="132"/>
      <c r="X360" s="132"/>
      <c r="Y360" s="132"/>
      <c r="Z360" s="132"/>
    </row>
    <row r="361" spans="3:26" ht="12.75" customHeight="1" x14ac:dyDescent="0.35">
      <c r="C361" s="132"/>
      <c r="V361" s="132"/>
      <c r="W361" s="132"/>
      <c r="X361" s="132"/>
      <c r="Y361" s="132"/>
      <c r="Z361" s="132"/>
    </row>
    <row r="362" spans="3:26" ht="12.75" customHeight="1" x14ac:dyDescent="0.35">
      <c r="C362" s="132"/>
      <c r="V362" s="132"/>
      <c r="W362" s="132"/>
      <c r="X362" s="132"/>
      <c r="Y362" s="132"/>
      <c r="Z362" s="132"/>
    </row>
    <row r="363" spans="3:26" ht="12.75" customHeight="1" x14ac:dyDescent="0.35">
      <c r="C363" s="132"/>
      <c r="V363" s="132"/>
      <c r="W363" s="132"/>
      <c r="X363" s="132"/>
      <c r="Y363" s="132"/>
      <c r="Z363" s="132"/>
    </row>
    <row r="364" spans="3:26" ht="12.75" customHeight="1" x14ac:dyDescent="0.35">
      <c r="C364" s="132"/>
      <c r="V364" s="132"/>
      <c r="W364" s="132"/>
      <c r="X364" s="132"/>
      <c r="Y364" s="132"/>
      <c r="Z364" s="132"/>
    </row>
    <row r="365" spans="3:26" ht="12.75" customHeight="1" x14ac:dyDescent="0.35">
      <c r="C365" s="132"/>
      <c r="V365" s="132"/>
      <c r="W365" s="132"/>
      <c r="X365" s="132"/>
      <c r="Y365" s="132"/>
      <c r="Z365" s="132"/>
    </row>
    <row r="366" spans="3:26" ht="12.75" customHeight="1" x14ac:dyDescent="0.35">
      <c r="C366" s="132"/>
      <c r="V366" s="132"/>
      <c r="W366" s="132"/>
      <c r="X366" s="132"/>
      <c r="Y366" s="132"/>
      <c r="Z366" s="132"/>
    </row>
    <row r="367" spans="3:26" ht="12.75" customHeight="1" x14ac:dyDescent="0.35">
      <c r="C367" s="132"/>
      <c r="V367" s="132"/>
      <c r="W367" s="132"/>
      <c r="X367" s="132"/>
      <c r="Y367" s="132"/>
      <c r="Z367" s="132"/>
    </row>
    <row r="368" spans="3:26" ht="12.75" customHeight="1" x14ac:dyDescent="0.35">
      <c r="C368" s="132"/>
      <c r="V368" s="132"/>
      <c r="W368" s="132"/>
      <c r="X368" s="132"/>
      <c r="Y368" s="132"/>
      <c r="Z368" s="132"/>
    </row>
    <row r="369" spans="3:26" ht="12.75" customHeight="1" x14ac:dyDescent="0.35">
      <c r="C369" s="132"/>
      <c r="V369" s="132"/>
      <c r="W369" s="132"/>
      <c r="X369" s="132"/>
      <c r="Y369" s="132"/>
      <c r="Z369" s="132"/>
    </row>
    <row r="370" spans="3:26" ht="12.75" customHeight="1" x14ac:dyDescent="0.35">
      <c r="C370" s="132"/>
      <c r="V370" s="132"/>
      <c r="W370" s="132"/>
      <c r="X370" s="132"/>
      <c r="Y370" s="132"/>
      <c r="Z370" s="132"/>
    </row>
    <row r="371" spans="3:26" ht="12.75" customHeight="1" x14ac:dyDescent="0.35">
      <c r="C371" s="132"/>
      <c r="V371" s="132"/>
      <c r="W371" s="132"/>
      <c r="X371" s="132"/>
      <c r="Y371" s="132"/>
      <c r="Z371" s="132"/>
    </row>
    <row r="372" spans="3:26" ht="12.75" customHeight="1" x14ac:dyDescent="0.35">
      <c r="C372" s="132"/>
      <c r="V372" s="132"/>
      <c r="W372" s="132"/>
      <c r="X372" s="132"/>
      <c r="Y372" s="132"/>
      <c r="Z372" s="132"/>
    </row>
    <row r="373" spans="3:26" ht="12.75" customHeight="1" x14ac:dyDescent="0.35">
      <c r="C373" s="132"/>
      <c r="V373" s="132"/>
      <c r="W373" s="132"/>
      <c r="X373" s="132"/>
      <c r="Y373" s="132"/>
      <c r="Z373" s="132"/>
    </row>
    <row r="374" spans="3:26" ht="12.75" customHeight="1" x14ac:dyDescent="0.35">
      <c r="C374" s="132"/>
      <c r="V374" s="132"/>
      <c r="W374" s="132"/>
      <c r="X374" s="132"/>
      <c r="Y374" s="132"/>
      <c r="Z374" s="132"/>
    </row>
    <row r="375" spans="3:26" ht="12.75" customHeight="1" x14ac:dyDescent="0.35">
      <c r="C375" s="132"/>
      <c r="V375" s="132"/>
      <c r="W375" s="132"/>
      <c r="X375" s="132"/>
      <c r="Y375" s="132"/>
      <c r="Z375" s="132"/>
    </row>
    <row r="376" spans="3:26" ht="12.75" customHeight="1" x14ac:dyDescent="0.35">
      <c r="C376" s="132"/>
      <c r="V376" s="132"/>
      <c r="W376" s="132"/>
      <c r="X376" s="132"/>
      <c r="Y376" s="132"/>
      <c r="Z376" s="132"/>
    </row>
    <row r="377" spans="3:26" ht="12.75" customHeight="1" x14ac:dyDescent="0.35">
      <c r="C377" s="132"/>
      <c r="V377" s="132"/>
      <c r="W377" s="132"/>
      <c r="X377" s="132"/>
      <c r="Y377" s="132"/>
      <c r="Z377" s="132"/>
    </row>
    <row r="378" spans="3:26" ht="12.75" customHeight="1" x14ac:dyDescent="0.35">
      <c r="C378" s="132"/>
      <c r="V378" s="132"/>
      <c r="W378" s="132"/>
      <c r="X378" s="132"/>
      <c r="Y378" s="132"/>
      <c r="Z378" s="132"/>
    </row>
    <row r="379" spans="3:26" ht="12.75" customHeight="1" x14ac:dyDescent="0.35">
      <c r="C379" s="132"/>
      <c r="V379" s="132"/>
      <c r="W379" s="132"/>
      <c r="X379" s="132"/>
      <c r="Y379" s="132"/>
      <c r="Z379" s="132"/>
    </row>
    <row r="380" spans="3:26" ht="12.75" customHeight="1" x14ac:dyDescent="0.35">
      <c r="C380" s="132"/>
      <c r="V380" s="132"/>
      <c r="W380" s="132"/>
      <c r="X380" s="132"/>
      <c r="Y380" s="132"/>
      <c r="Z380" s="132"/>
    </row>
    <row r="381" spans="3:26" ht="12.75" customHeight="1" x14ac:dyDescent="0.35">
      <c r="C381" s="132"/>
      <c r="V381" s="132"/>
      <c r="W381" s="132"/>
      <c r="X381" s="132"/>
      <c r="Y381" s="132"/>
      <c r="Z381" s="132"/>
    </row>
    <row r="382" spans="3:26" ht="12.75" customHeight="1" x14ac:dyDescent="0.35">
      <c r="C382" s="132"/>
      <c r="V382" s="132"/>
      <c r="W382" s="132"/>
      <c r="X382" s="132"/>
      <c r="Y382" s="132"/>
      <c r="Z382" s="132"/>
    </row>
    <row r="383" spans="3:26" ht="12.75" customHeight="1" x14ac:dyDescent="0.35">
      <c r="C383" s="132"/>
      <c r="V383" s="132"/>
      <c r="W383" s="132"/>
      <c r="X383" s="132"/>
      <c r="Y383" s="132"/>
      <c r="Z383" s="132"/>
    </row>
    <row r="384" spans="3:26" ht="12.75" customHeight="1" x14ac:dyDescent="0.35">
      <c r="C384" s="132"/>
      <c r="V384" s="132"/>
      <c r="W384" s="132"/>
      <c r="X384" s="132"/>
      <c r="Y384" s="132"/>
      <c r="Z384" s="132"/>
    </row>
    <row r="385" spans="3:26" ht="12.75" customHeight="1" x14ac:dyDescent="0.35">
      <c r="C385" s="132"/>
      <c r="V385" s="132"/>
      <c r="W385" s="132"/>
      <c r="X385" s="132"/>
      <c r="Y385" s="132"/>
      <c r="Z385" s="132"/>
    </row>
    <row r="386" spans="3:26" ht="12.75" customHeight="1" x14ac:dyDescent="0.35">
      <c r="C386" s="132"/>
      <c r="V386" s="132"/>
      <c r="W386" s="132"/>
      <c r="X386" s="132"/>
      <c r="Y386" s="132"/>
      <c r="Z386" s="132"/>
    </row>
    <row r="387" spans="3:26" ht="12.75" customHeight="1" x14ac:dyDescent="0.35">
      <c r="C387" s="132"/>
      <c r="V387" s="132"/>
      <c r="W387" s="132"/>
      <c r="X387" s="132"/>
      <c r="Y387" s="132"/>
      <c r="Z387" s="132"/>
    </row>
    <row r="388" spans="3:26" ht="12.75" customHeight="1" x14ac:dyDescent="0.35">
      <c r="C388" s="132"/>
      <c r="V388" s="132"/>
      <c r="W388" s="132"/>
      <c r="X388" s="132"/>
      <c r="Y388" s="132"/>
      <c r="Z388" s="132"/>
    </row>
    <row r="389" spans="3:26" ht="12.75" customHeight="1" x14ac:dyDescent="0.35">
      <c r="C389" s="132"/>
      <c r="V389" s="132"/>
      <c r="W389" s="132"/>
      <c r="X389" s="132"/>
      <c r="Y389" s="132"/>
      <c r="Z389" s="132"/>
    </row>
    <row r="390" spans="3:26" ht="12.75" customHeight="1" x14ac:dyDescent="0.35">
      <c r="C390" s="132"/>
      <c r="V390" s="132"/>
      <c r="W390" s="132"/>
      <c r="X390" s="132"/>
      <c r="Y390" s="132"/>
      <c r="Z390" s="132"/>
    </row>
    <row r="391" spans="3:26" ht="12.75" customHeight="1" x14ac:dyDescent="0.35">
      <c r="C391" s="132"/>
      <c r="V391" s="132"/>
      <c r="W391" s="132"/>
      <c r="X391" s="132"/>
      <c r="Y391" s="132"/>
      <c r="Z391" s="132"/>
    </row>
    <row r="392" spans="3:26" ht="12.75" customHeight="1" x14ac:dyDescent="0.35">
      <c r="C392" s="132"/>
      <c r="V392" s="132"/>
      <c r="W392" s="132"/>
      <c r="X392" s="132"/>
      <c r="Y392" s="132"/>
      <c r="Z392" s="132"/>
    </row>
    <row r="393" spans="3:26" ht="12.75" customHeight="1" x14ac:dyDescent="0.35">
      <c r="C393" s="132"/>
      <c r="V393" s="132"/>
      <c r="W393" s="132"/>
      <c r="X393" s="132"/>
      <c r="Y393" s="132"/>
      <c r="Z393" s="132"/>
    </row>
    <row r="394" spans="3:26" ht="12.75" customHeight="1" x14ac:dyDescent="0.35">
      <c r="C394" s="132"/>
      <c r="V394" s="132"/>
      <c r="W394" s="132"/>
      <c r="X394" s="132"/>
      <c r="Y394" s="132"/>
      <c r="Z394" s="132"/>
    </row>
    <row r="395" spans="3:26" ht="12.75" customHeight="1" x14ac:dyDescent="0.35">
      <c r="C395" s="132"/>
      <c r="V395" s="132"/>
      <c r="W395" s="132"/>
      <c r="X395" s="132"/>
      <c r="Y395" s="132"/>
      <c r="Z395" s="132"/>
    </row>
    <row r="396" spans="3:26" ht="12.75" customHeight="1" x14ac:dyDescent="0.35">
      <c r="C396" s="132"/>
      <c r="V396" s="132"/>
      <c r="W396" s="132"/>
      <c r="X396" s="132"/>
      <c r="Y396" s="132"/>
      <c r="Z396" s="132"/>
    </row>
    <row r="397" spans="3:26" ht="12.75" customHeight="1" x14ac:dyDescent="0.35">
      <c r="C397" s="132"/>
      <c r="V397" s="132"/>
      <c r="W397" s="132"/>
      <c r="X397" s="132"/>
      <c r="Y397" s="132"/>
      <c r="Z397" s="132"/>
    </row>
    <row r="398" spans="3:26" ht="12.75" customHeight="1" x14ac:dyDescent="0.35">
      <c r="C398" s="132"/>
      <c r="V398" s="132"/>
      <c r="W398" s="132"/>
      <c r="X398" s="132"/>
      <c r="Y398" s="132"/>
      <c r="Z398" s="132"/>
    </row>
    <row r="399" spans="3:26" ht="12.75" customHeight="1" x14ac:dyDescent="0.35">
      <c r="C399" s="132"/>
      <c r="V399" s="132"/>
      <c r="W399" s="132"/>
      <c r="X399" s="132"/>
      <c r="Y399" s="132"/>
      <c r="Z399" s="132"/>
    </row>
    <row r="400" spans="3:26" ht="12.75" customHeight="1" x14ac:dyDescent="0.35">
      <c r="C400" s="132"/>
      <c r="V400" s="132"/>
      <c r="W400" s="132"/>
      <c r="X400" s="132"/>
      <c r="Y400" s="132"/>
      <c r="Z400" s="132"/>
    </row>
    <row r="401" spans="3:26" ht="12.75" customHeight="1" x14ac:dyDescent="0.35">
      <c r="C401" s="132"/>
      <c r="V401" s="132"/>
      <c r="W401" s="132"/>
      <c r="X401" s="132"/>
      <c r="Y401" s="132"/>
      <c r="Z401" s="132"/>
    </row>
    <row r="402" spans="3:26" ht="12.75" customHeight="1" x14ac:dyDescent="0.35">
      <c r="C402" s="132"/>
      <c r="V402" s="132"/>
      <c r="W402" s="132"/>
      <c r="X402" s="132"/>
      <c r="Y402" s="132"/>
      <c r="Z402" s="132"/>
    </row>
    <row r="403" spans="3:26" ht="12.75" customHeight="1" x14ac:dyDescent="0.35">
      <c r="C403" s="132"/>
      <c r="V403" s="132"/>
      <c r="W403" s="132"/>
      <c r="X403" s="132"/>
      <c r="Y403" s="132"/>
      <c r="Z403" s="132"/>
    </row>
    <row r="404" spans="3:26" ht="12.75" customHeight="1" x14ac:dyDescent="0.35">
      <c r="C404" s="132"/>
      <c r="V404" s="132"/>
      <c r="W404" s="132"/>
      <c r="X404" s="132"/>
      <c r="Y404" s="132"/>
      <c r="Z404" s="132"/>
    </row>
    <row r="405" spans="3:26" ht="12.75" customHeight="1" x14ac:dyDescent="0.35">
      <c r="C405" s="132"/>
      <c r="V405" s="132"/>
      <c r="W405" s="132"/>
      <c r="X405" s="132"/>
      <c r="Y405" s="132"/>
      <c r="Z405" s="132"/>
    </row>
    <row r="406" spans="3:26" ht="12.75" customHeight="1" x14ac:dyDescent="0.35">
      <c r="C406" s="132"/>
      <c r="V406" s="132"/>
      <c r="W406" s="132"/>
      <c r="X406" s="132"/>
      <c r="Y406" s="132"/>
      <c r="Z406" s="132"/>
    </row>
    <row r="407" spans="3:26" ht="12.75" customHeight="1" x14ac:dyDescent="0.35">
      <c r="C407" s="132"/>
      <c r="V407" s="132"/>
      <c r="W407" s="132"/>
      <c r="X407" s="132"/>
      <c r="Y407" s="132"/>
      <c r="Z407" s="132"/>
    </row>
    <row r="408" spans="3:26" ht="12.75" customHeight="1" x14ac:dyDescent="0.35">
      <c r="C408" s="132"/>
      <c r="V408" s="132"/>
      <c r="W408" s="132"/>
      <c r="X408" s="132"/>
      <c r="Y408" s="132"/>
      <c r="Z408" s="132"/>
    </row>
    <row r="409" spans="3:26" ht="12.75" customHeight="1" x14ac:dyDescent="0.35">
      <c r="C409" s="132"/>
      <c r="V409" s="132"/>
      <c r="W409" s="132"/>
      <c r="X409" s="132"/>
      <c r="Y409" s="132"/>
      <c r="Z409" s="132"/>
    </row>
    <row r="410" spans="3:26" ht="12.75" customHeight="1" x14ac:dyDescent="0.35">
      <c r="C410" s="132"/>
      <c r="V410" s="132"/>
      <c r="W410" s="132"/>
      <c r="X410" s="132"/>
      <c r="Y410" s="132"/>
      <c r="Z410" s="132"/>
    </row>
    <row r="411" spans="3:26" ht="12.75" customHeight="1" x14ac:dyDescent="0.35">
      <c r="C411" s="132"/>
      <c r="V411" s="132"/>
      <c r="W411" s="132"/>
      <c r="X411" s="132"/>
      <c r="Y411" s="132"/>
      <c r="Z411" s="132"/>
    </row>
    <row r="412" spans="3:26" ht="12.75" customHeight="1" x14ac:dyDescent="0.35">
      <c r="C412" s="132"/>
      <c r="V412" s="132"/>
      <c r="W412" s="132"/>
      <c r="X412" s="132"/>
      <c r="Y412" s="132"/>
      <c r="Z412" s="132"/>
    </row>
    <row r="413" spans="3:26" ht="12.75" customHeight="1" x14ac:dyDescent="0.35">
      <c r="C413" s="132"/>
      <c r="V413" s="132"/>
      <c r="W413" s="132"/>
      <c r="X413" s="132"/>
      <c r="Y413" s="132"/>
      <c r="Z413" s="132"/>
    </row>
    <row r="414" spans="3:26" ht="12.75" customHeight="1" x14ac:dyDescent="0.35">
      <c r="C414" s="132"/>
      <c r="V414" s="132"/>
      <c r="W414" s="132"/>
      <c r="X414" s="132"/>
      <c r="Y414" s="132"/>
      <c r="Z414" s="132"/>
    </row>
    <row r="415" spans="3:26" ht="12.75" customHeight="1" x14ac:dyDescent="0.35">
      <c r="C415" s="132"/>
      <c r="V415" s="132"/>
      <c r="W415" s="132"/>
      <c r="X415" s="132"/>
      <c r="Y415" s="132"/>
      <c r="Z415" s="132"/>
    </row>
    <row r="416" spans="3:26" ht="12.75" customHeight="1" x14ac:dyDescent="0.35">
      <c r="C416" s="132"/>
      <c r="V416" s="132"/>
      <c r="W416" s="132"/>
      <c r="X416" s="132"/>
      <c r="Y416" s="132"/>
      <c r="Z416" s="132"/>
    </row>
    <row r="417" spans="3:26" ht="12.75" customHeight="1" x14ac:dyDescent="0.35">
      <c r="C417" s="132"/>
      <c r="V417" s="132"/>
      <c r="W417" s="132"/>
      <c r="X417" s="132"/>
      <c r="Y417" s="132"/>
      <c r="Z417" s="132"/>
    </row>
    <row r="418" spans="3:26" ht="12.75" customHeight="1" x14ac:dyDescent="0.35">
      <c r="C418" s="132"/>
      <c r="V418" s="132"/>
      <c r="W418" s="132"/>
      <c r="X418" s="132"/>
      <c r="Y418" s="132"/>
      <c r="Z418" s="132"/>
    </row>
    <row r="419" spans="3:26" ht="12.75" customHeight="1" x14ac:dyDescent="0.35">
      <c r="C419" s="132"/>
      <c r="V419" s="132"/>
      <c r="W419" s="132"/>
      <c r="X419" s="132"/>
      <c r="Y419" s="132"/>
      <c r="Z419" s="132"/>
    </row>
    <row r="420" spans="3:26" ht="12.75" customHeight="1" x14ac:dyDescent="0.35">
      <c r="C420" s="132"/>
      <c r="V420" s="132"/>
      <c r="W420" s="132"/>
      <c r="X420" s="132"/>
      <c r="Y420" s="132"/>
      <c r="Z420" s="132"/>
    </row>
    <row r="421" spans="3:26" ht="12.75" customHeight="1" x14ac:dyDescent="0.35">
      <c r="C421" s="132"/>
      <c r="V421" s="132"/>
      <c r="W421" s="132"/>
      <c r="X421" s="132"/>
      <c r="Y421" s="132"/>
      <c r="Z421" s="132"/>
    </row>
    <row r="422" spans="3:26" ht="12.75" customHeight="1" x14ac:dyDescent="0.35">
      <c r="C422" s="132"/>
      <c r="V422" s="132"/>
      <c r="W422" s="132"/>
      <c r="X422" s="132"/>
      <c r="Y422" s="132"/>
      <c r="Z422" s="132"/>
    </row>
    <row r="423" spans="3:26" ht="12.75" customHeight="1" x14ac:dyDescent="0.35">
      <c r="C423" s="132"/>
      <c r="V423" s="132"/>
      <c r="W423" s="132"/>
      <c r="X423" s="132"/>
      <c r="Y423" s="132"/>
      <c r="Z423" s="132"/>
    </row>
    <row r="424" spans="3:26" ht="12.75" customHeight="1" x14ac:dyDescent="0.35">
      <c r="C424" s="132"/>
      <c r="V424" s="132"/>
      <c r="W424" s="132"/>
      <c r="X424" s="132"/>
      <c r="Y424" s="132"/>
      <c r="Z424" s="132"/>
    </row>
    <row r="425" spans="3:26" ht="12.75" customHeight="1" x14ac:dyDescent="0.35">
      <c r="C425" s="132"/>
      <c r="V425" s="132"/>
      <c r="W425" s="132"/>
      <c r="X425" s="132"/>
      <c r="Y425" s="132"/>
      <c r="Z425" s="132"/>
    </row>
    <row r="426" spans="3:26" ht="12.75" customHeight="1" x14ac:dyDescent="0.35">
      <c r="C426" s="132"/>
      <c r="V426" s="132"/>
      <c r="W426" s="132"/>
      <c r="X426" s="132"/>
      <c r="Y426" s="132"/>
      <c r="Z426" s="132"/>
    </row>
    <row r="427" spans="3:26" ht="12.75" customHeight="1" x14ac:dyDescent="0.35">
      <c r="C427" s="132"/>
      <c r="V427" s="132"/>
      <c r="W427" s="132"/>
      <c r="X427" s="132"/>
      <c r="Y427" s="132"/>
      <c r="Z427" s="132"/>
    </row>
    <row r="428" spans="3:26" ht="12.75" customHeight="1" x14ac:dyDescent="0.35">
      <c r="C428" s="132"/>
      <c r="V428" s="132"/>
      <c r="W428" s="132"/>
      <c r="X428" s="132"/>
      <c r="Y428" s="132"/>
      <c r="Z428" s="132"/>
    </row>
    <row r="429" spans="3:26" ht="12.75" customHeight="1" x14ac:dyDescent="0.35">
      <c r="C429" s="132"/>
      <c r="V429" s="132"/>
      <c r="W429" s="132"/>
      <c r="X429" s="132"/>
      <c r="Y429" s="132"/>
      <c r="Z429" s="132"/>
    </row>
    <row r="430" spans="3:26" ht="12.75" customHeight="1" x14ac:dyDescent="0.35">
      <c r="C430" s="132"/>
      <c r="V430" s="132"/>
      <c r="W430" s="132"/>
      <c r="X430" s="132"/>
      <c r="Y430" s="132"/>
      <c r="Z430" s="132"/>
    </row>
    <row r="431" spans="3:26" ht="12.75" customHeight="1" x14ac:dyDescent="0.35">
      <c r="C431" s="132"/>
      <c r="V431" s="132"/>
      <c r="W431" s="132"/>
      <c r="X431" s="132"/>
      <c r="Y431" s="132"/>
      <c r="Z431" s="132"/>
    </row>
    <row r="432" spans="3:26" ht="12.75" customHeight="1" x14ac:dyDescent="0.35">
      <c r="C432" s="132"/>
      <c r="V432" s="132"/>
      <c r="W432" s="132"/>
      <c r="X432" s="132"/>
      <c r="Y432" s="132"/>
      <c r="Z432" s="132"/>
    </row>
    <row r="433" spans="3:26" ht="12.75" customHeight="1" x14ac:dyDescent="0.35">
      <c r="C433" s="132"/>
      <c r="V433" s="132"/>
      <c r="W433" s="132"/>
      <c r="X433" s="132"/>
      <c r="Y433" s="132"/>
      <c r="Z433" s="132"/>
    </row>
    <row r="434" spans="3:26" ht="12.75" customHeight="1" x14ac:dyDescent="0.35">
      <c r="C434" s="132"/>
      <c r="V434" s="132"/>
      <c r="W434" s="132"/>
      <c r="X434" s="132"/>
      <c r="Y434" s="132"/>
      <c r="Z434" s="132"/>
    </row>
    <row r="435" spans="3:26" ht="12.75" customHeight="1" x14ac:dyDescent="0.35">
      <c r="C435" s="132"/>
      <c r="V435" s="132"/>
      <c r="W435" s="132"/>
      <c r="X435" s="132"/>
      <c r="Y435" s="132"/>
      <c r="Z435" s="132"/>
    </row>
    <row r="436" spans="3:26" ht="12.75" customHeight="1" x14ac:dyDescent="0.35">
      <c r="C436" s="132"/>
      <c r="V436" s="132"/>
      <c r="W436" s="132"/>
      <c r="X436" s="132"/>
      <c r="Y436" s="132"/>
      <c r="Z436" s="132"/>
    </row>
    <row r="437" spans="3:26" ht="12.75" customHeight="1" x14ac:dyDescent="0.35">
      <c r="C437" s="132"/>
      <c r="V437" s="132"/>
      <c r="W437" s="132"/>
      <c r="X437" s="132"/>
      <c r="Y437" s="132"/>
      <c r="Z437" s="132"/>
    </row>
    <row r="438" spans="3:26" ht="12.75" customHeight="1" x14ac:dyDescent="0.35">
      <c r="C438" s="132"/>
      <c r="V438" s="132"/>
      <c r="W438" s="132"/>
      <c r="X438" s="132"/>
      <c r="Y438" s="132"/>
      <c r="Z438" s="132"/>
    </row>
    <row r="439" spans="3:26" ht="12.75" customHeight="1" x14ac:dyDescent="0.35">
      <c r="C439" s="132"/>
      <c r="V439" s="132"/>
      <c r="W439" s="132"/>
      <c r="X439" s="132"/>
      <c r="Y439" s="132"/>
      <c r="Z439" s="132"/>
    </row>
    <row r="440" spans="3:26" ht="12.75" customHeight="1" x14ac:dyDescent="0.35">
      <c r="C440" s="132"/>
      <c r="V440" s="132"/>
      <c r="W440" s="132"/>
      <c r="X440" s="132"/>
      <c r="Y440" s="132"/>
      <c r="Z440" s="132"/>
    </row>
    <row r="441" spans="3:26" ht="12.75" customHeight="1" x14ac:dyDescent="0.35">
      <c r="C441" s="132"/>
      <c r="V441" s="132"/>
      <c r="W441" s="132"/>
      <c r="X441" s="132"/>
      <c r="Y441" s="132"/>
      <c r="Z441" s="132"/>
    </row>
    <row r="442" spans="3:26" ht="12.75" customHeight="1" x14ac:dyDescent="0.35">
      <c r="C442" s="132"/>
      <c r="V442" s="132"/>
      <c r="W442" s="132"/>
      <c r="X442" s="132"/>
      <c r="Y442" s="132"/>
      <c r="Z442" s="132"/>
    </row>
    <row r="443" spans="3:26" ht="12.75" customHeight="1" x14ac:dyDescent="0.35">
      <c r="C443" s="132"/>
      <c r="V443" s="132"/>
      <c r="W443" s="132"/>
      <c r="X443" s="132"/>
      <c r="Y443" s="132"/>
      <c r="Z443" s="132"/>
    </row>
    <row r="444" spans="3:26" ht="12.75" customHeight="1" x14ac:dyDescent="0.35">
      <c r="C444" s="132"/>
      <c r="V444" s="132"/>
      <c r="W444" s="132"/>
      <c r="X444" s="132"/>
      <c r="Y444" s="132"/>
      <c r="Z444" s="132"/>
    </row>
    <row r="445" spans="3:26" ht="12.75" customHeight="1" x14ac:dyDescent="0.35">
      <c r="C445" s="132"/>
      <c r="V445" s="132"/>
      <c r="W445" s="132"/>
      <c r="X445" s="132"/>
      <c r="Y445" s="132"/>
      <c r="Z445" s="132"/>
    </row>
    <row r="446" spans="3:26" ht="12.75" customHeight="1" x14ac:dyDescent="0.35">
      <c r="C446" s="132"/>
      <c r="V446" s="132"/>
      <c r="W446" s="132"/>
      <c r="X446" s="132"/>
      <c r="Y446" s="132"/>
      <c r="Z446" s="132"/>
    </row>
    <row r="447" spans="3:26" ht="12.75" customHeight="1" x14ac:dyDescent="0.35">
      <c r="C447" s="132"/>
      <c r="V447" s="132"/>
      <c r="W447" s="132"/>
      <c r="X447" s="132"/>
      <c r="Y447" s="132"/>
      <c r="Z447" s="132"/>
    </row>
    <row r="448" spans="3:26" ht="12.75" customHeight="1" x14ac:dyDescent="0.35">
      <c r="C448" s="132"/>
      <c r="V448" s="132"/>
      <c r="W448" s="132"/>
      <c r="X448" s="132"/>
      <c r="Y448" s="132"/>
      <c r="Z448" s="132"/>
    </row>
    <row r="449" spans="3:26" ht="12.75" customHeight="1" x14ac:dyDescent="0.35">
      <c r="C449" s="132"/>
      <c r="V449" s="132"/>
      <c r="W449" s="132"/>
      <c r="X449" s="132"/>
      <c r="Y449" s="132"/>
      <c r="Z449" s="132"/>
    </row>
    <row r="450" spans="3:26" ht="12.75" customHeight="1" x14ac:dyDescent="0.35">
      <c r="C450" s="132"/>
      <c r="V450" s="132"/>
      <c r="W450" s="132"/>
      <c r="X450" s="132"/>
      <c r="Y450" s="132"/>
      <c r="Z450" s="132"/>
    </row>
    <row r="451" spans="3:26" ht="12.75" customHeight="1" x14ac:dyDescent="0.35">
      <c r="C451" s="132"/>
      <c r="V451" s="132"/>
      <c r="W451" s="132"/>
      <c r="X451" s="132"/>
      <c r="Y451" s="132"/>
      <c r="Z451" s="132"/>
    </row>
    <row r="452" spans="3:26" ht="12.75" customHeight="1" x14ac:dyDescent="0.35">
      <c r="C452" s="132"/>
      <c r="V452" s="132"/>
      <c r="W452" s="132"/>
      <c r="X452" s="132"/>
      <c r="Y452" s="132"/>
      <c r="Z452" s="132"/>
    </row>
    <row r="453" spans="3:26" ht="12.75" customHeight="1" x14ac:dyDescent="0.35">
      <c r="C453" s="132"/>
      <c r="V453" s="132"/>
      <c r="W453" s="132"/>
      <c r="X453" s="132"/>
      <c r="Y453" s="132"/>
      <c r="Z453" s="132"/>
    </row>
    <row r="454" spans="3:26" ht="12.75" customHeight="1" x14ac:dyDescent="0.35">
      <c r="C454" s="132"/>
      <c r="V454" s="132"/>
      <c r="W454" s="132"/>
      <c r="X454" s="132"/>
      <c r="Y454" s="132"/>
      <c r="Z454" s="132"/>
    </row>
    <row r="455" spans="3:26" ht="12.75" customHeight="1" x14ac:dyDescent="0.35">
      <c r="C455" s="132"/>
      <c r="V455" s="132"/>
      <c r="W455" s="132"/>
      <c r="X455" s="132"/>
      <c r="Y455" s="132"/>
      <c r="Z455" s="132"/>
    </row>
    <row r="456" spans="3:26" ht="12.75" customHeight="1" x14ac:dyDescent="0.35">
      <c r="C456" s="132"/>
      <c r="V456" s="132"/>
      <c r="W456" s="132"/>
      <c r="X456" s="132"/>
      <c r="Y456" s="132"/>
      <c r="Z456" s="132"/>
    </row>
    <row r="457" spans="3:26" ht="12.75" customHeight="1" x14ac:dyDescent="0.35">
      <c r="C457" s="132"/>
      <c r="V457" s="132"/>
      <c r="W457" s="132"/>
      <c r="X457" s="132"/>
      <c r="Y457" s="132"/>
      <c r="Z457" s="132"/>
    </row>
    <row r="458" spans="3:26" ht="12.75" customHeight="1" x14ac:dyDescent="0.35">
      <c r="C458" s="132"/>
      <c r="V458" s="132"/>
      <c r="W458" s="132"/>
      <c r="X458" s="132"/>
      <c r="Y458" s="132"/>
      <c r="Z458" s="132"/>
    </row>
    <row r="459" spans="3:26" ht="12.75" customHeight="1" x14ac:dyDescent="0.35">
      <c r="C459" s="132"/>
      <c r="V459" s="132"/>
      <c r="W459" s="132"/>
      <c r="X459" s="132"/>
      <c r="Y459" s="132"/>
      <c r="Z459" s="132"/>
    </row>
    <row r="460" spans="3:26" ht="12.75" customHeight="1" x14ac:dyDescent="0.35">
      <c r="C460" s="132"/>
      <c r="V460" s="132"/>
      <c r="W460" s="132"/>
      <c r="X460" s="132"/>
      <c r="Y460" s="132"/>
      <c r="Z460" s="132"/>
    </row>
    <row r="461" spans="3:26" ht="12.75" customHeight="1" x14ac:dyDescent="0.35">
      <c r="C461" s="132"/>
      <c r="V461" s="132"/>
      <c r="W461" s="132"/>
      <c r="X461" s="132"/>
      <c r="Y461" s="132"/>
      <c r="Z461" s="132"/>
    </row>
    <row r="462" spans="3:26" ht="12.75" customHeight="1" x14ac:dyDescent="0.35">
      <c r="C462" s="132"/>
      <c r="V462" s="132"/>
      <c r="W462" s="132"/>
      <c r="X462" s="132"/>
      <c r="Y462" s="132"/>
      <c r="Z462" s="132"/>
    </row>
    <row r="463" spans="3:26" ht="12.75" customHeight="1" x14ac:dyDescent="0.35">
      <c r="C463" s="132"/>
      <c r="V463" s="132"/>
      <c r="W463" s="132"/>
      <c r="X463" s="132"/>
      <c r="Y463" s="132"/>
      <c r="Z463" s="132"/>
    </row>
    <row r="464" spans="3:26" ht="12.75" customHeight="1" x14ac:dyDescent="0.35">
      <c r="C464" s="132"/>
      <c r="V464" s="132"/>
      <c r="W464" s="132"/>
      <c r="X464" s="132"/>
      <c r="Y464" s="132"/>
      <c r="Z464" s="132"/>
    </row>
    <row r="465" spans="3:26" ht="12.75" customHeight="1" x14ac:dyDescent="0.35">
      <c r="C465" s="132"/>
      <c r="V465" s="132"/>
      <c r="W465" s="132"/>
      <c r="X465" s="132"/>
      <c r="Y465" s="132"/>
      <c r="Z465" s="132"/>
    </row>
    <row r="466" spans="3:26" ht="12.75" customHeight="1" x14ac:dyDescent="0.35">
      <c r="C466" s="132"/>
      <c r="V466" s="132"/>
      <c r="W466" s="132"/>
      <c r="X466" s="132"/>
      <c r="Y466" s="132"/>
      <c r="Z466" s="132"/>
    </row>
    <row r="467" spans="3:26" ht="12.75" customHeight="1" x14ac:dyDescent="0.35">
      <c r="C467" s="132"/>
      <c r="V467" s="132"/>
      <c r="W467" s="132"/>
      <c r="X467" s="132"/>
      <c r="Y467" s="132"/>
      <c r="Z467" s="132"/>
    </row>
    <row r="468" spans="3:26" ht="12.75" customHeight="1" x14ac:dyDescent="0.35">
      <c r="C468" s="132"/>
      <c r="V468" s="132"/>
      <c r="W468" s="132"/>
      <c r="X468" s="132"/>
      <c r="Y468" s="132"/>
      <c r="Z468" s="132"/>
    </row>
    <row r="469" spans="3:26" ht="12.75" customHeight="1" x14ac:dyDescent="0.35">
      <c r="C469" s="132"/>
      <c r="V469" s="132"/>
      <c r="W469" s="132"/>
      <c r="X469" s="132"/>
      <c r="Y469" s="132"/>
      <c r="Z469" s="132"/>
    </row>
    <row r="470" spans="3:26" ht="12.75" customHeight="1" x14ac:dyDescent="0.35">
      <c r="C470" s="132"/>
      <c r="V470" s="132"/>
      <c r="W470" s="132"/>
      <c r="X470" s="132"/>
      <c r="Y470" s="132"/>
      <c r="Z470" s="132"/>
    </row>
    <row r="471" spans="3:26" ht="12.75" customHeight="1" x14ac:dyDescent="0.35">
      <c r="C471" s="132"/>
      <c r="V471" s="132"/>
      <c r="W471" s="132"/>
      <c r="X471" s="132"/>
      <c r="Y471" s="132"/>
      <c r="Z471" s="132"/>
    </row>
    <row r="472" spans="3:26" ht="12.75" customHeight="1" x14ac:dyDescent="0.35">
      <c r="C472" s="132"/>
      <c r="V472" s="132"/>
      <c r="W472" s="132"/>
      <c r="X472" s="132"/>
      <c r="Y472" s="132"/>
      <c r="Z472" s="132"/>
    </row>
    <row r="473" spans="3:26" ht="12.75" customHeight="1" x14ac:dyDescent="0.35">
      <c r="C473" s="132"/>
      <c r="V473" s="132"/>
      <c r="W473" s="132"/>
      <c r="X473" s="132"/>
      <c r="Y473" s="132"/>
      <c r="Z473" s="132"/>
    </row>
    <row r="474" spans="3:26" ht="12.75" customHeight="1" x14ac:dyDescent="0.35">
      <c r="C474" s="132"/>
      <c r="V474" s="132"/>
      <c r="W474" s="132"/>
      <c r="X474" s="132"/>
      <c r="Y474" s="132"/>
      <c r="Z474" s="132"/>
    </row>
    <row r="475" spans="3:26" ht="12.75" customHeight="1" x14ac:dyDescent="0.35">
      <c r="C475" s="132"/>
      <c r="V475" s="132"/>
      <c r="W475" s="132"/>
      <c r="X475" s="132"/>
      <c r="Y475" s="132"/>
      <c r="Z475" s="132"/>
    </row>
    <row r="476" spans="3:26" ht="12.75" customHeight="1" x14ac:dyDescent="0.35">
      <c r="C476" s="132"/>
      <c r="V476" s="132"/>
      <c r="W476" s="132"/>
      <c r="X476" s="132"/>
      <c r="Y476" s="132"/>
      <c r="Z476" s="132"/>
    </row>
    <row r="477" spans="3:26" ht="12.75" customHeight="1" x14ac:dyDescent="0.35">
      <c r="C477" s="132"/>
      <c r="V477" s="132"/>
      <c r="W477" s="132"/>
      <c r="X477" s="132"/>
      <c r="Y477" s="132"/>
      <c r="Z477" s="132"/>
    </row>
    <row r="478" spans="3:26" ht="12.75" customHeight="1" x14ac:dyDescent="0.35">
      <c r="C478" s="132"/>
      <c r="V478" s="132"/>
      <c r="W478" s="132"/>
      <c r="X478" s="132"/>
      <c r="Y478" s="132"/>
      <c r="Z478" s="132"/>
    </row>
    <row r="479" spans="3:26" ht="12.75" customHeight="1" x14ac:dyDescent="0.35">
      <c r="C479" s="132"/>
      <c r="V479" s="132"/>
      <c r="W479" s="132"/>
      <c r="X479" s="132"/>
      <c r="Y479" s="132"/>
      <c r="Z479" s="132"/>
    </row>
    <row r="480" spans="3:26" ht="12.75" customHeight="1" x14ac:dyDescent="0.35">
      <c r="C480" s="132"/>
      <c r="V480" s="132"/>
      <c r="W480" s="132"/>
      <c r="X480" s="132"/>
      <c r="Y480" s="132"/>
      <c r="Z480" s="132"/>
    </row>
    <row r="481" spans="3:26" ht="12.75" customHeight="1" x14ac:dyDescent="0.35">
      <c r="C481" s="132"/>
      <c r="V481" s="132"/>
      <c r="W481" s="132"/>
      <c r="X481" s="132"/>
      <c r="Y481" s="132"/>
      <c r="Z481" s="132"/>
    </row>
    <row r="482" spans="3:26" ht="12.75" customHeight="1" x14ac:dyDescent="0.35">
      <c r="C482" s="132"/>
      <c r="V482" s="132"/>
      <c r="W482" s="132"/>
      <c r="X482" s="132"/>
      <c r="Y482" s="132"/>
      <c r="Z482" s="132"/>
    </row>
    <row r="483" spans="3:26" ht="12.75" customHeight="1" x14ac:dyDescent="0.35">
      <c r="C483" s="132"/>
      <c r="V483" s="132"/>
      <c r="W483" s="132"/>
      <c r="X483" s="132"/>
      <c r="Y483" s="132"/>
      <c r="Z483" s="132"/>
    </row>
    <row r="484" spans="3:26" ht="12.75" customHeight="1" x14ac:dyDescent="0.35">
      <c r="C484" s="132"/>
      <c r="V484" s="132"/>
      <c r="W484" s="132"/>
      <c r="X484" s="132"/>
      <c r="Y484" s="132"/>
      <c r="Z484" s="132"/>
    </row>
    <row r="485" spans="3:26" ht="12.75" customHeight="1" x14ac:dyDescent="0.35">
      <c r="C485" s="132"/>
      <c r="V485" s="132"/>
      <c r="W485" s="132"/>
      <c r="X485" s="132"/>
      <c r="Y485" s="132"/>
      <c r="Z485" s="132"/>
    </row>
    <row r="486" spans="3:26" ht="12.75" customHeight="1" x14ac:dyDescent="0.35">
      <c r="C486" s="132"/>
      <c r="V486" s="132"/>
      <c r="W486" s="132"/>
      <c r="X486" s="132"/>
      <c r="Y486" s="132"/>
      <c r="Z486" s="132"/>
    </row>
    <row r="487" spans="3:26" ht="12.75" customHeight="1" x14ac:dyDescent="0.35">
      <c r="C487" s="132"/>
      <c r="V487" s="132"/>
      <c r="W487" s="132"/>
      <c r="X487" s="132"/>
      <c r="Y487" s="132"/>
      <c r="Z487" s="132"/>
    </row>
    <row r="488" spans="3:26" ht="12.75" customHeight="1" x14ac:dyDescent="0.35">
      <c r="C488" s="132"/>
      <c r="V488" s="132"/>
      <c r="W488" s="132"/>
      <c r="X488" s="132"/>
      <c r="Y488" s="132"/>
      <c r="Z488" s="132"/>
    </row>
    <row r="489" spans="3:26" ht="12.75" customHeight="1" x14ac:dyDescent="0.35">
      <c r="C489" s="132"/>
      <c r="V489" s="132"/>
      <c r="W489" s="132"/>
      <c r="X489" s="132"/>
      <c r="Y489" s="132"/>
      <c r="Z489" s="132"/>
    </row>
    <row r="490" spans="3:26" ht="12.75" customHeight="1" x14ac:dyDescent="0.35">
      <c r="C490" s="132"/>
      <c r="V490" s="132"/>
      <c r="W490" s="132"/>
      <c r="X490" s="132"/>
      <c r="Y490" s="132"/>
      <c r="Z490" s="132"/>
    </row>
    <row r="491" spans="3:26" ht="12.75" customHeight="1" x14ac:dyDescent="0.35">
      <c r="C491" s="132"/>
      <c r="V491" s="132"/>
      <c r="W491" s="132"/>
      <c r="X491" s="132"/>
      <c r="Y491" s="132"/>
      <c r="Z491" s="132"/>
    </row>
    <row r="492" spans="3:26" ht="12.75" customHeight="1" x14ac:dyDescent="0.35">
      <c r="C492" s="132"/>
      <c r="V492" s="132"/>
      <c r="W492" s="132"/>
      <c r="X492" s="132"/>
      <c r="Y492" s="132"/>
      <c r="Z492" s="132"/>
    </row>
    <row r="493" spans="3:26" ht="12.75" customHeight="1" x14ac:dyDescent="0.35">
      <c r="C493" s="132"/>
      <c r="V493" s="132"/>
      <c r="W493" s="132"/>
      <c r="X493" s="132"/>
      <c r="Y493" s="132"/>
      <c r="Z493" s="132"/>
    </row>
    <row r="494" spans="3:26" ht="12.75" customHeight="1" x14ac:dyDescent="0.35">
      <c r="C494" s="132"/>
      <c r="V494" s="132"/>
      <c r="W494" s="132"/>
      <c r="X494" s="132"/>
      <c r="Y494" s="132"/>
      <c r="Z494" s="132"/>
    </row>
    <row r="495" spans="3:26" ht="12.75" customHeight="1" x14ac:dyDescent="0.35">
      <c r="C495" s="132"/>
      <c r="V495" s="132"/>
      <c r="W495" s="132"/>
      <c r="X495" s="132"/>
      <c r="Y495" s="132"/>
      <c r="Z495" s="132"/>
    </row>
    <row r="496" spans="3:26" ht="12.75" customHeight="1" x14ac:dyDescent="0.35">
      <c r="C496" s="132"/>
      <c r="V496" s="132"/>
      <c r="W496" s="132"/>
      <c r="X496" s="132"/>
      <c r="Y496" s="132"/>
      <c r="Z496" s="132"/>
    </row>
    <row r="497" spans="3:26" ht="12.75" customHeight="1" x14ac:dyDescent="0.35">
      <c r="C497" s="132"/>
      <c r="V497" s="132"/>
      <c r="W497" s="132"/>
      <c r="X497" s="132"/>
      <c r="Y497" s="132"/>
      <c r="Z497" s="132"/>
    </row>
    <row r="498" spans="3:26" ht="12.75" customHeight="1" x14ac:dyDescent="0.35">
      <c r="C498" s="132"/>
      <c r="V498" s="132"/>
      <c r="W498" s="132"/>
      <c r="X498" s="132"/>
      <c r="Y498" s="132"/>
      <c r="Z498" s="132"/>
    </row>
    <row r="499" spans="3:26" ht="12.75" customHeight="1" x14ac:dyDescent="0.35">
      <c r="C499" s="132"/>
      <c r="V499" s="132"/>
      <c r="W499" s="132"/>
      <c r="X499" s="132"/>
      <c r="Y499" s="132"/>
      <c r="Z499" s="132"/>
    </row>
    <row r="500" spans="3:26" ht="12.75" customHeight="1" x14ac:dyDescent="0.35">
      <c r="C500" s="132"/>
      <c r="V500" s="132"/>
      <c r="W500" s="132"/>
      <c r="X500" s="132"/>
      <c r="Y500" s="132"/>
      <c r="Z500" s="132"/>
    </row>
    <row r="501" spans="3:26" ht="12.75" customHeight="1" x14ac:dyDescent="0.35">
      <c r="C501" s="132"/>
      <c r="V501" s="132"/>
      <c r="W501" s="132"/>
      <c r="X501" s="132"/>
      <c r="Y501" s="132"/>
      <c r="Z501" s="132"/>
    </row>
    <row r="502" spans="3:26" ht="12.75" customHeight="1" x14ac:dyDescent="0.35">
      <c r="C502" s="132"/>
      <c r="V502" s="132"/>
      <c r="W502" s="132"/>
      <c r="X502" s="132"/>
      <c r="Y502" s="132"/>
      <c r="Z502" s="132"/>
    </row>
    <row r="503" spans="3:26" ht="12.75" customHeight="1" x14ac:dyDescent="0.35">
      <c r="C503" s="132"/>
      <c r="V503" s="132"/>
      <c r="W503" s="132"/>
      <c r="X503" s="132"/>
      <c r="Y503" s="132"/>
      <c r="Z503" s="132"/>
    </row>
    <row r="504" spans="3:26" ht="12.75" customHeight="1" x14ac:dyDescent="0.35">
      <c r="C504" s="132"/>
      <c r="V504" s="132"/>
      <c r="W504" s="132"/>
      <c r="X504" s="132"/>
      <c r="Y504" s="132"/>
      <c r="Z504" s="132"/>
    </row>
    <row r="505" spans="3:26" ht="12.75" customHeight="1" x14ac:dyDescent="0.35">
      <c r="C505" s="132"/>
      <c r="V505" s="132"/>
      <c r="W505" s="132"/>
      <c r="X505" s="132"/>
      <c r="Y505" s="132"/>
      <c r="Z505" s="132"/>
    </row>
    <row r="506" spans="3:26" ht="12.75" customHeight="1" x14ac:dyDescent="0.35">
      <c r="C506" s="132"/>
      <c r="V506" s="132"/>
      <c r="W506" s="132"/>
      <c r="X506" s="132"/>
      <c r="Y506" s="132"/>
      <c r="Z506" s="132"/>
    </row>
    <row r="507" spans="3:26" ht="12.75" customHeight="1" x14ac:dyDescent="0.35">
      <c r="C507" s="132"/>
      <c r="V507" s="132"/>
      <c r="W507" s="132"/>
      <c r="X507" s="132"/>
      <c r="Y507" s="132"/>
      <c r="Z507" s="132"/>
    </row>
    <row r="508" spans="3:26" ht="12.75" customHeight="1" x14ac:dyDescent="0.35">
      <c r="C508" s="132"/>
      <c r="V508" s="132"/>
      <c r="W508" s="132"/>
      <c r="X508" s="132"/>
      <c r="Y508" s="132"/>
      <c r="Z508" s="132"/>
    </row>
    <row r="509" spans="3:26" ht="12.75" customHeight="1" x14ac:dyDescent="0.35">
      <c r="C509" s="132"/>
      <c r="V509" s="132"/>
      <c r="W509" s="132"/>
      <c r="X509" s="132"/>
      <c r="Y509" s="132"/>
      <c r="Z509" s="132"/>
    </row>
    <row r="510" spans="3:26" ht="12.75" customHeight="1" x14ac:dyDescent="0.35">
      <c r="C510" s="132"/>
      <c r="V510" s="132"/>
      <c r="W510" s="132"/>
      <c r="X510" s="132"/>
      <c r="Y510" s="132"/>
      <c r="Z510" s="132"/>
    </row>
    <row r="511" spans="3:26" ht="12.75" customHeight="1" x14ac:dyDescent="0.35">
      <c r="C511" s="132"/>
      <c r="V511" s="132"/>
      <c r="W511" s="132"/>
      <c r="X511" s="132"/>
      <c r="Y511" s="132"/>
      <c r="Z511" s="132"/>
    </row>
    <row r="512" spans="3:26" ht="12.75" customHeight="1" x14ac:dyDescent="0.35">
      <c r="C512" s="132"/>
      <c r="V512" s="132"/>
      <c r="W512" s="132"/>
      <c r="X512" s="132"/>
      <c r="Y512" s="132"/>
      <c r="Z512" s="132"/>
    </row>
    <row r="513" spans="3:26" ht="12.75" customHeight="1" x14ac:dyDescent="0.35">
      <c r="C513" s="132"/>
      <c r="V513" s="132"/>
      <c r="W513" s="132"/>
      <c r="X513" s="132"/>
      <c r="Y513" s="132"/>
      <c r="Z513" s="132"/>
    </row>
    <row r="514" spans="3:26" ht="12.75" customHeight="1" x14ac:dyDescent="0.35">
      <c r="C514" s="132"/>
      <c r="V514" s="132"/>
      <c r="W514" s="132"/>
      <c r="X514" s="132"/>
      <c r="Y514" s="132"/>
      <c r="Z514" s="132"/>
    </row>
    <row r="515" spans="3:26" ht="12.75" customHeight="1" x14ac:dyDescent="0.35">
      <c r="C515" s="132"/>
      <c r="V515" s="132"/>
      <c r="W515" s="132"/>
      <c r="X515" s="132"/>
      <c r="Y515" s="132"/>
      <c r="Z515" s="132"/>
    </row>
    <row r="516" spans="3:26" ht="12.75" customHeight="1" x14ac:dyDescent="0.35">
      <c r="C516" s="132"/>
      <c r="V516" s="132"/>
      <c r="W516" s="132"/>
      <c r="X516" s="132"/>
      <c r="Y516" s="132"/>
      <c r="Z516" s="132"/>
    </row>
    <row r="517" spans="3:26" ht="12.75" customHeight="1" x14ac:dyDescent="0.35">
      <c r="C517" s="132"/>
      <c r="V517" s="132"/>
      <c r="W517" s="132"/>
      <c r="X517" s="132"/>
      <c r="Y517" s="132"/>
      <c r="Z517" s="132"/>
    </row>
    <row r="518" spans="3:26" ht="12.75" customHeight="1" x14ac:dyDescent="0.35">
      <c r="C518" s="132"/>
      <c r="V518" s="132"/>
      <c r="W518" s="132"/>
      <c r="X518" s="132"/>
      <c r="Y518" s="132"/>
      <c r="Z518" s="132"/>
    </row>
    <row r="519" spans="3:26" ht="12.75" customHeight="1" x14ac:dyDescent="0.35">
      <c r="C519" s="132"/>
      <c r="V519" s="132"/>
      <c r="W519" s="132"/>
      <c r="X519" s="132"/>
      <c r="Y519" s="132"/>
      <c r="Z519" s="132"/>
    </row>
    <row r="520" spans="3:26" ht="12.75" customHeight="1" x14ac:dyDescent="0.35">
      <c r="C520" s="132"/>
      <c r="V520" s="132"/>
      <c r="W520" s="132"/>
      <c r="X520" s="132"/>
      <c r="Y520" s="132"/>
      <c r="Z520" s="132"/>
    </row>
    <row r="521" spans="3:26" ht="12.75" customHeight="1" x14ac:dyDescent="0.35">
      <c r="C521" s="132"/>
      <c r="V521" s="132"/>
      <c r="W521" s="132"/>
      <c r="X521" s="132"/>
      <c r="Y521" s="132"/>
      <c r="Z521" s="132"/>
    </row>
    <row r="522" spans="3:26" ht="12.75" customHeight="1" x14ac:dyDescent="0.35">
      <c r="C522" s="132"/>
      <c r="V522" s="132"/>
      <c r="W522" s="132"/>
      <c r="X522" s="132"/>
      <c r="Y522" s="132"/>
      <c r="Z522" s="132"/>
    </row>
    <row r="523" spans="3:26" ht="12.75" customHeight="1" x14ac:dyDescent="0.35">
      <c r="C523" s="132"/>
      <c r="V523" s="132"/>
      <c r="W523" s="132"/>
      <c r="X523" s="132"/>
      <c r="Y523" s="132"/>
      <c r="Z523" s="132"/>
    </row>
    <row r="524" spans="3:26" ht="12.75" customHeight="1" x14ac:dyDescent="0.35">
      <c r="C524" s="132"/>
      <c r="V524" s="132"/>
      <c r="W524" s="132"/>
      <c r="X524" s="132"/>
      <c r="Y524" s="132"/>
      <c r="Z524" s="132"/>
    </row>
    <row r="525" spans="3:26" ht="12.75" customHeight="1" x14ac:dyDescent="0.35">
      <c r="C525" s="132"/>
      <c r="V525" s="132"/>
      <c r="W525" s="132"/>
      <c r="X525" s="132"/>
      <c r="Y525" s="132"/>
      <c r="Z525" s="132"/>
    </row>
    <row r="526" spans="3:26" ht="12.75" customHeight="1" x14ac:dyDescent="0.35">
      <c r="C526" s="132"/>
      <c r="V526" s="132"/>
      <c r="W526" s="132"/>
      <c r="X526" s="132"/>
      <c r="Y526" s="132"/>
      <c r="Z526" s="132"/>
    </row>
    <row r="527" spans="3:26" ht="12.75" customHeight="1" x14ac:dyDescent="0.35">
      <c r="C527" s="132"/>
      <c r="V527" s="132"/>
      <c r="W527" s="132"/>
      <c r="X527" s="132"/>
      <c r="Y527" s="132"/>
      <c r="Z527" s="132"/>
    </row>
    <row r="528" spans="3:26" ht="12.75" customHeight="1" x14ac:dyDescent="0.35">
      <c r="C528" s="132"/>
      <c r="V528" s="132"/>
      <c r="W528" s="132"/>
      <c r="X528" s="132"/>
      <c r="Y528" s="132"/>
      <c r="Z528" s="132"/>
    </row>
    <row r="529" spans="3:26" ht="12.75" customHeight="1" x14ac:dyDescent="0.35">
      <c r="C529" s="132"/>
      <c r="V529" s="132"/>
      <c r="W529" s="132"/>
      <c r="X529" s="132"/>
      <c r="Y529" s="132"/>
      <c r="Z529" s="132"/>
    </row>
    <row r="530" spans="3:26" ht="12.75" customHeight="1" x14ac:dyDescent="0.35">
      <c r="C530" s="132"/>
      <c r="V530" s="132"/>
      <c r="W530" s="132"/>
      <c r="X530" s="132"/>
      <c r="Y530" s="132"/>
      <c r="Z530" s="132"/>
    </row>
    <row r="531" spans="3:26" ht="12.75" customHeight="1" x14ac:dyDescent="0.35">
      <c r="C531" s="132"/>
      <c r="V531" s="132"/>
      <c r="W531" s="132"/>
      <c r="X531" s="132"/>
      <c r="Y531" s="132"/>
      <c r="Z531" s="132"/>
    </row>
    <row r="532" spans="3:26" ht="12.75" customHeight="1" x14ac:dyDescent="0.35">
      <c r="C532" s="132"/>
      <c r="V532" s="132"/>
      <c r="W532" s="132"/>
      <c r="X532" s="132"/>
      <c r="Y532" s="132"/>
      <c r="Z532" s="132"/>
    </row>
    <row r="533" spans="3:26" ht="12.75" customHeight="1" x14ac:dyDescent="0.35">
      <c r="C533" s="132"/>
      <c r="V533" s="132"/>
      <c r="W533" s="132"/>
      <c r="X533" s="132"/>
      <c r="Y533" s="132"/>
      <c r="Z533" s="132"/>
    </row>
    <row r="534" spans="3:26" ht="12.75" customHeight="1" x14ac:dyDescent="0.35">
      <c r="C534" s="132"/>
      <c r="V534" s="132"/>
      <c r="W534" s="132"/>
      <c r="X534" s="132"/>
      <c r="Y534" s="132"/>
      <c r="Z534" s="132"/>
    </row>
    <row r="535" spans="3:26" ht="12.75" customHeight="1" x14ac:dyDescent="0.35">
      <c r="C535" s="132"/>
      <c r="V535" s="132"/>
      <c r="W535" s="132"/>
      <c r="X535" s="132"/>
      <c r="Y535" s="132"/>
      <c r="Z535" s="132"/>
    </row>
    <row r="536" spans="3:26" ht="12.75" customHeight="1" x14ac:dyDescent="0.35">
      <c r="C536" s="132"/>
      <c r="V536" s="132"/>
      <c r="W536" s="132"/>
      <c r="X536" s="132"/>
      <c r="Y536" s="132"/>
      <c r="Z536" s="132"/>
    </row>
    <row r="537" spans="3:26" ht="12.75" customHeight="1" x14ac:dyDescent="0.35">
      <c r="C537" s="132"/>
      <c r="V537" s="132"/>
      <c r="W537" s="132"/>
      <c r="X537" s="132"/>
      <c r="Y537" s="132"/>
      <c r="Z537" s="132"/>
    </row>
    <row r="538" spans="3:26" ht="12.75" customHeight="1" x14ac:dyDescent="0.35">
      <c r="C538" s="132"/>
      <c r="V538" s="132"/>
      <c r="W538" s="132"/>
      <c r="X538" s="132"/>
      <c r="Y538" s="132"/>
      <c r="Z538" s="132"/>
    </row>
    <row r="539" spans="3:26" ht="12.75" customHeight="1" x14ac:dyDescent="0.35">
      <c r="C539" s="132"/>
      <c r="V539" s="132"/>
      <c r="W539" s="132"/>
      <c r="X539" s="132"/>
      <c r="Y539" s="132"/>
      <c r="Z539" s="132"/>
    </row>
    <row r="540" spans="3:26" ht="12.75" customHeight="1" x14ac:dyDescent="0.35">
      <c r="C540" s="132"/>
      <c r="V540" s="132"/>
      <c r="W540" s="132"/>
      <c r="X540" s="132"/>
      <c r="Y540" s="132"/>
      <c r="Z540" s="132"/>
    </row>
    <row r="541" spans="3:26" ht="12.75" customHeight="1" x14ac:dyDescent="0.35">
      <c r="C541" s="132"/>
      <c r="V541" s="132"/>
      <c r="W541" s="132"/>
      <c r="X541" s="132"/>
      <c r="Y541" s="132"/>
      <c r="Z541" s="132"/>
    </row>
    <row r="542" spans="3:26" ht="12.75" customHeight="1" x14ac:dyDescent="0.35">
      <c r="C542" s="132"/>
      <c r="V542" s="132"/>
      <c r="W542" s="132"/>
      <c r="X542" s="132"/>
      <c r="Y542" s="132"/>
      <c r="Z542" s="132"/>
    </row>
    <row r="543" spans="3:26" ht="12.75" customHeight="1" x14ac:dyDescent="0.35">
      <c r="C543" s="132"/>
      <c r="V543" s="132"/>
      <c r="W543" s="132"/>
      <c r="X543" s="132"/>
      <c r="Y543" s="132"/>
      <c r="Z543" s="132"/>
    </row>
    <row r="544" spans="3:26" ht="12.75" customHeight="1" x14ac:dyDescent="0.35">
      <c r="C544" s="132"/>
      <c r="V544" s="132"/>
      <c r="W544" s="132"/>
      <c r="X544" s="132"/>
      <c r="Y544" s="132"/>
      <c r="Z544" s="132"/>
    </row>
    <row r="545" spans="3:26" ht="12.75" customHeight="1" x14ac:dyDescent="0.35">
      <c r="C545" s="132"/>
      <c r="V545" s="132"/>
      <c r="W545" s="132"/>
      <c r="X545" s="132"/>
      <c r="Y545" s="132"/>
      <c r="Z545" s="132"/>
    </row>
    <row r="546" spans="3:26" ht="12.75" customHeight="1" x14ac:dyDescent="0.35">
      <c r="C546" s="132"/>
      <c r="V546" s="132"/>
      <c r="W546" s="132"/>
      <c r="X546" s="132"/>
      <c r="Y546" s="132"/>
      <c r="Z546" s="132"/>
    </row>
    <row r="547" spans="3:26" ht="12.75" customHeight="1" x14ac:dyDescent="0.35">
      <c r="C547" s="132"/>
      <c r="V547" s="132"/>
      <c r="W547" s="132"/>
      <c r="X547" s="132"/>
      <c r="Y547" s="132"/>
      <c r="Z547" s="132"/>
    </row>
    <row r="548" spans="3:26" ht="12.75" customHeight="1" x14ac:dyDescent="0.35">
      <c r="C548" s="132"/>
      <c r="V548" s="132"/>
      <c r="W548" s="132"/>
      <c r="X548" s="132"/>
      <c r="Y548" s="132"/>
      <c r="Z548" s="132"/>
    </row>
    <row r="549" spans="3:26" ht="12.75" customHeight="1" x14ac:dyDescent="0.35">
      <c r="C549" s="132"/>
      <c r="V549" s="132"/>
      <c r="W549" s="132"/>
      <c r="X549" s="132"/>
      <c r="Y549" s="132"/>
      <c r="Z549" s="132"/>
    </row>
    <row r="550" spans="3:26" ht="12.75" customHeight="1" x14ac:dyDescent="0.35">
      <c r="C550" s="132"/>
      <c r="V550" s="132"/>
      <c r="W550" s="132"/>
      <c r="X550" s="132"/>
      <c r="Y550" s="132"/>
      <c r="Z550" s="132"/>
    </row>
    <row r="551" spans="3:26" ht="12.75" customHeight="1" x14ac:dyDescent="0.35">
      <c r="C551" s="132"/>
      <c r="V551" s="132"/>
      <c r="W551" s="132"/>
      <c r="X551" s="132"/>
      <c r="Y551" s="132"/>
      <c r="Z551" s="132"/>
    </row>
    <row r="552" spans="3:26" ht="12.75" customHeight="1" x14ac:dyDescent="0.35">
      <c r="C552" s="132"/>
      <c r="V552" s="132"/>
      <c r="W552" s="132"/>
      <c r="X552" s="132"/>
      <c r="Y552" s="132"/>
      <c r="Z552" s="132"/>
    </row>
    <row r="553" spans="3:26" ht="12.75" customHeight="1" x14ac:dyDescent="0.35">
      <c r="C553" s="132"/>
      <c r="V553" s="132"/>
      <c r="W553" s="132"/>
      <c r="X553" s="132"/>
      <c r="Y553" s="132"/>
      <c r="Z553" s="132"/>
    </row>
    <row r="554" spans="3:26" ht="12.75" customHeight="1" x14ac:dyDescent="0.35">
      <c r="C554" s="132"/>
      <c r="V554" s="132"/>
      <c r="W554" s="132"/>
      <c r="X554" s="132"/>
      <c r="Y554" s="132"/>
      <c r="Z554" s="132"/>
    </row>
    <row r="555" spans="3:26" ht="12.75" customHeight="1" x14ac:dyDescent="0.35">
      <c r="C555" s="132"/>
      <c r="V555" s="132"/>
      <c r="W555" s="132"/>
      <c r="X555" s="132"/>
      <c r="Y555" s="132"/>
      <c r="Z555" s="132"/>
    </row>
    <row r="556" spans="3:26" ht="12.75" customHeight="1" x14ac:dyDescent="0.35">
      <c r="C556" s="132"/>
      <c r="V556" s="132"/>
      <c r="W556" s="132"/>
      <c r="X556" s="132"/>
      <c r="Y556" s="132"/>
      <c r="Z556" s="132"/>
    </row>
    <row r="557" spans="3:26" ht="12.75" customHeight="1" x14ac:dyDescent="0.35">
      <c r="C557" s="132"/>
      <c r="V557" s="132"/>
      <c r="W557" s="132"/>
      <c r="X557" s="132"/>
      <c r="Y557" s="132"/>
      <c r="Z557" s="132"/>
    </row>
    <row r="558" spans="3:26" ht="12.75" customHeight="1" x14ac:dyDescent="0.35">
      <c r="C558" s="132"/>
      <c r="V558" s="132"/>
      <c r="W558" s="132"/>
      <c r="X558" s="132"/>
      <c r="Y558" s="132"/>
      <c r="Z558" s="132"/>
    </row>
    <row r="559" spans="3:26" ht="12.75" customHeight="1" x14ac:dyDescent="0.35">
      <c r="C559" s="132"/>
      <c r="V559" s="132"/>
      <c r="W559" s="132"/>
      <c r="X559" s="132"/>
      <c r="Y559" s="132"/>
      <c r="Z559" s="132"/>
    </row>
    <row r="560" spans="3:26" ht="12.75" customHeight="1" x14ac:dyDescent="0.35">
      <c r="C560" s="132"/>
      <c r="V560" s="132"/>
      <c r="W560" s="132"/>
      <c r="X560" s="132"/>
      <c r="Y560" s="132"/>
      <c r="Z560" s="132"/>
    </row>
    <row r="561" spans="3:26" ht="12.75" customHeight="1" x14ac:dyDescent="0.35">
      <c r="C561" s="132"/>
      <c r="V561" s="132"/>
      <c r="W561" s="132"/>
      <c r="X561" s="132"/>
      <c r="Y561" s="132"/>
      <c r="Z561" s="132"/>
    </row>
    <row r="562" spans="3:26" ht="12.75" customHeight="1" x14ac:dyDescent="0.35">
      <c r="C562" s="132"/>
      <c r="V562" s="132"/>
      <c r="W562" s="132"/>
      <c r="X562" s="132"/>
      <c r="Y562" s="132"/>
      <c r="Z562" s="132"/>
    </row>
    <row r="563" spans="3:26" ht="12.75" customHeight="1" x14ac:dyDescent="0.35">
      <c r="C563" s="132"/>
      <c r="V563" s="132"/>
      <c r="W563" s="132"/>
      <c r="X563" s="132"/>
      <c r="Y563" s="132"/>
      <c r="Z563" s="132"/>
    </row>
    <row r="564" spans="3:26" ht="12.75" customHeight="1" x14ac:dyDescent="0.35">
      <c r="C564" s="132"/>
      <c r="V564" s="132"/>
      <c r="W564" s="132"/>
      <c r="X564" s="132"/>
      <c r="Y564" s="132"/>
      <c r="Z564" s="132"/>
    </row>
    <row r="565" spans="3:26" ht="12.75" customHeight="1" x14ac:dyDescent="0.35">
      <c r="C565" s="132"/>
      <c r="V565" s="132"/>
      <c r="W565" s="132"/>
      <c r="X565" s="132"/>
      <c r="Y565" s="132"/>
      <c r="Z565" s="132"/>
    </row>
    <row r="566" spans="3:26" ht="12.75" customHeight="1" x14ac:dyDescent="0.35">
      <c r="C566" s="132"/>
      <c r="V566" s="132"/>
      <c r="W566" s="132"/>
      <c r="X566" s="132"/>
      <c r="Y566" s="132"/>
      <c r="Z566" s="132"/>
    </row>
    <row r="567" spans="3:26" ht="12.75" customHeight="1" x14ac:dyDescent="0.35">
      <c r="C567" s="132"/>
      <c r="V567" s="132"/>
      <c r="W567" s="132"/>
      <c r="X567" s="132"/>
      <c r="Y567" s="132"/>
      <c r="Z567" s="132"/>
    </row>
    <row r="568" spans="3:26" ht="12.75" customHeight="1" x14ac:dyDescent="0.35">
      <c r="C568" s="132"/>
      <c r="V568" s="132"/>
      <c r="W568" s="132"/>
      <c r="X568" s="132"/>
      <c r="Y568" s="132"/>
      <c r="Z568" s="132"/>
    </row>
    <row r="569" spans="3:26" ht="12.75" customHeight="1" x14ac:dyDescent="0.35">
      <c r="C569" s="132"/>
      <c r="V569" s="132"/>
      <c r="W569" s="132"/>
      <c r="X569" s="132"/>
      <c r="Y569" s="132"/>
      <c r="Z569" s="132"/>
    </row>
    <row r="570" spans="3:26" ht="12.75" customHeight="1" x14ac:dyDescent="0.35">
      <c r="C570" s="132"/>
      <c r="V570" s="132"/>
      <c r="W570" s="132"/>
      <c r="X570" s="132"/>
      <c r="Y570" s="132"/>
      <c r="Z570" s="132"/>
    </row>
    <row r="571" spans="3:26" ht="12.75" customHeight="1" x14ac:dyDescent="0.35">
      <c r="C571" s="132"/>
      <c r="V571" s="132"/>
      <c r="W571" s="132"/>
      <c r="X571" s="132"/>
      <c r="Y571" s="132"/>
      <c r="Z571" s="132"/>
    </row>
    <row r="572" spans="3:26" ht="12.75" customHeight="1" x14ac:dyDescent="0.35">
      <c r="C572" s="132"/>
      <c r="V572" s="132"/>
      <c r="W572" s="132"/>
      <c r="X572" s="132"/>
      <c r="Y572" s="132"/>
      <c r="Z572" s="132"/>
    </row>
    <row r="573" spans="3:26" ht="12.75" customHeight="1" x14ac:dyDescent="0.35">
      <c r="C573" s="132"/>
      <c r="V573" s="132"/>
      <c r="W573" s="132"/>
      <c r="X573" s="132"/>
      <c r="Y573" s="132"/>
      <c r="Z573" s="132"/>
    </row>
    <row r="574" spans="3:26" ht="12.75" customHeight="1" x14ac:dyDescent="0.35">
      <c r="C574" s="132"/>
      <c r="V574" s="132"/>
      <c r="W574" s="132"/>
      <c r="X574" s="132"/>
      <c r="Y574" s="132"/>
      <c r="Z574" s="132"/>
    </row>
    <row r="575" spans="3:26" ht="12.75" customHeight="1" x14ac:dyDescent="0.35">
      <c r="C575" s="132"/>
      <c r="V575" s="132"/>
      <c r="W575" s="132"/>
      <c r="X575" s="132"/>
      <c r="Y575" s="132"/>
      <c r="Z575" s="132"/>
    </row>
    <row r="576" spans="3:26" ht="12.75" customHeight="1" x14ac:dyDescent="0.35">
      <c r="C576" s="132"/>
      <c r="V576" s="132"/>
      <c r="W576" s="132"/>
      <c r="X576" s="132"/>
      <c r="Y576" s="132"/>
      <c r="Z576" s="132"/>
    </row>
    <row r="577" spans="3:26" ht="12.75" customHeight="1" x14ac:dyDescent="0.35">
      <c r="C577" s="132"/>
      <c r="V577" s="132"/>
      <c r="W577" s="132"/>
      <c r="X577" s="132"/>
      <c r="Y577" s="132"/>
      <c r="Z577" s="132"/>
    </row>
    <row r="578" spans="3:26" ht="12.75" customHeight="1" x14ac:dyDescent="0.35">
      <c r="C578" s="132"/>
      <c r="V578" s="132"/>
      <c r="W578" s="132"/>
      <c r="X578" s="132"/>
      <c r="Y578" s="132"/>
      <c r="Z578" s="132"/>
    </row>
    <row r="579" spans="3:26" ht="12.75" customHeight="1" x14ac:dyDescent="0.35">
      <c r="C579" s="132"/>
      <c r="V579" s="132"/>
      <c r="W579" s="132"/>
      <c r="X579" s="132"/>
      <c r="Y579" s="132"/>
      <c r="Z579" s="132"/>
    </row>
    <row r="580" spans="3:26" ht="12.75" customHeight="1" x14ac:dyDescent="0.35">
      <c r="C580" s="132"/>
      <c r="V580" s="132"/>
      <c r="W580" s="132"/>
      <c r="X580" s="132"/>
      <c r="Y580" s="132"/>
      <c r="Z580" s="132"/>
    </row>
    <row r="581" spans="3:26" ht="12.75" customHeight="1" x14ac:dyDescent="0.35">
      <c r="C581" s="132"/>
      <c r="V581" s="132"/>
      <c r="W581" s="132"/>
      <c r="X581" s="132"/>
      <c r="Y581" s="132"/>
      <c r="Z581" s="132"/>
    </row>
    <row r="582" spans="3:26" ht="12.75" customHeight="1" x14ac:dyDescent="0.35">
      <c r="C582" s="132"/>
      <c r="V582" s="132"/>
      <c r="W582" s="132"/>
      <c r="X582" s="132"/>
      <c r="Y582" s="132"/>
      <c r="Z582" s="132"/>
    </row>
    <row r="583" spans="3:26" ht="12.75" customHeight="1" x14ac:dyDescent="0.35">
      <c r="C583" s="132"/>
      <c r="V583" s="132"/>
      <c r="W583" s="132"/>
      <c r="X583" s="132"/>
      <c r="Y583" s="132"/>
      <c r="Z583" s="132"/>
    </row>
    <row r="584" spans="3:26" ht="12.75" customHeight="1" x14ac:dyDescent="0.35">
      <c r="C584" s="132"/>
      <c r="V584" s="132"/>
      <c r="W584" s="132"/>
      <c r="X584" s="132"/>
      <c r="Y584" s="132"/>
      <c r="Z584" s="132"/>
    </row>
    <row r="585" spans="3:26" ht="12.75" customHeight="1" x14ac:dyDescent="0.35">
      <c r="C585" s="132"/>
      <c r="V585" s="132"/>
      <c r="W585" s="132"/>
      <c r="X585" s="132"/>
      <c r="Y585" s="132"/>
      <c r="Z585" s="132"/>
    </row>
    <row r="586" spans="3:26" ht="12.75" customHeight="1" x14ac:dyDescent="0.35">
      <c r="C586" s="132"/>
      <c r="V586" s="132"/>
      <c r="W586" s="132"/>
      <c r="X586" s="132"/>
      <c r="Y586" s="132"/>
      <c r="Z586" s="132"/>
    </row>
    <row r="587" spans="3:26" ht="12.75" customHeight="1" x14ac:dyDescent="0.35">
      <c r="C587" s="132"/>
      <c r="V587" s="132"/>
      <c r="W587" s="132"/>
      <c r="X587" s="132"/>
      <c r="Y587" s="132"/>
      <c r="Z587" s="132"/>
    </row>
    <row r="588" spans="3:26" ht="12.75" customHeight="1" x14ac:dyDescent="0.35">
      <c r="C588" s="132"/>
      <c r="V588" s="132"/>
      <c r="W588" s="132"/>
      <c r="X588" s="132"/>
      <c r="Y588" s="132"/>
      <c r="Z588" s="132"/>
    </row>
    <row r="589" spans="3:26" ht="12.75" customHeight="1" x14ac:dyDescent="0.35">
      <c r="C589" s="132"/>
      <c r="V589" s="132"/>
      <c r="W589" s="132"/>
      <c r="X589" s="132"/>
      <c r="Y589" s="132"/>
      <c r="Z589" s="132"/>
    </row>
    <row r="590" spans="3:26" ht="12.75" customHeight="1" x14ac:dyDescent="0.35">
      <c r="C590" s="132"/>
      <c r="V590" s="132"/>
      <c r="W590" s="132"/>
      <c r="X590" s="132"/>
      <c r="Y590" s="132"/>
      <c r="Z590" s="132"/>
    </row>
    <row r="591" spans="3:26" ht="12.75" customHeight="1" x14ac:dyDescent="0.35">
      <c r="C591" s="132"/>
      <c r="V591" s="132"/>
      <c r="W591" s="132"/>
      <c r="X591" s="132"/>
      <c r="Y591" s="132"/>
      <c r="Z591" s="132"/>
    </row>
    <row r="592" spans="3:26" ht="12.75" customHeight="1" x14ac:dyDescent="0.35">
      <c r="C592" s="132"/>
      <c r="V592" s="132"/>
      <c r="W592" s="132"/>
      <c r="X592" s="132"/>
      <c r="Y592" s="132"/>
      <c r="Z592" s="132"/>
    </row>
    <row r="593" spans="3:26" ht="12.75" customHeight="1" x14ac:dyDescent="0.35">
      <c r="C593" s="132"/>
      <c r="V593" s="132"/>
      <c r="W593" s="132"/>
      <c r="X593" s="132"/>
      <c r="Y593" s="132"/>
      <c r="Z593" s="132"/>
    </row>
    <row r="594" spans="3:26" ht="12.75" customHeight="1" x14ac:dyDescent="0.35">
      <c r="C594" s="132"/>
      <c r="V594" s="132"/>
      <c r="W594" s="132"/>
      <c r="X594" s="132"/>
      <c r="Y594" s="132"/>
      <c r="Z594" s="132"/>
    </row>
    <row r="595" spans="3:26" ht="12.75" customHeight="1" x14ac:dyDescent="0.35">
      <c r="C595" s="132"/>
      <c r="V595" s="132"/>
      <c r="W595" s="132"/>
      <c r="X595" s="132"/>
      <c r="Y595" s="132"/>
      <c r="Z595" s="132"/>
    </row>
    <row r="596" spans="3:26" ht="12.75" customHeight="1" x14ac:dyDescent="0.35">
      <c r="C596" s="132"/>
      <c r="V596" s="132"/>
      <c r="W596" s="132"/>
      <c r="X596" s="132"/>
      <c r="Y596" s="132"/>
      <c r="Z596" s="132"/>
    </row>
    <row r="597" spans="3:26" ht="12.75" customHeight="1" x14ac:dyDescent="0.35">
      <c r="C597" s="132"/>
      <c r="V597" s="132"/>
      <c r="W597" s="132"/>
      <c r="X597" s="132"/>
      <c r="Y597" s="132"/>
      <c r="Z597" s="132"/>
    </row>
    <row r="598" spans="3:26" ht="12.75" customHeight="1" x14ac:dyDescent="0.35">
      <c r="C598" s="132"/>
      <c r="V598" s="132"/>
      <c r="W598" s="132"/>
      <c r="X598" s="132"/>
      <c r="Y598" s="132"/>
      <c r="Z598" s="132"/>
    </row>
    <row r="599" spans="3:26" ht="12.75" customHeight="1" x14ac:dyDescent="0.35">
      <c r="C599" s="132"/>
      <c r="V599" s="132"/>
      <c r="W599" s="132"/>
      <c r="X599" s="132"/>
      <c r="Y599" s="132"/>
      <c r="Z599" s="132"/>
    </row>
    <row r="600" spans="3:26" ht="12.75" customHeight="1" x14ac:dyDescent="0.35">
      <c r="C600" s="132"/>
      <c r="V600" s="132"/>
      <c r="W600" s="132"/>
      <c r="X600" s="132"/>
      <c r="Y600" s="132"/>
      <c r="Z600" s="132"/>
    </row>
    <row r="601" spans="3:26" ht="12.75" customHeight="1" x14ac:dyDescent="0.35">
      <c r="C601" s="132"/>
      <c r="V601" s="132"/>
      <c r="W601" s="132"/>
      <c r="X601" s="132"/>
      <c r="Y601" s="132"/>
      <c r="Z601" s="132"/>
    </row>
    <row r="602" spans="3:26" ht="12.75" customHeight="1" x14ac:dyDescent="0.35">
      <c r="C602" s="132"/>
      <c r="V602" s="132"/>
      <c r="W602" s="132"/>
      <c r="X602" s="132"/>
      <c r="Y602" s="132"/>
      <c r="Z602" s="132"/>
    </row>
    <row r="603" spans="3:26" ht="12.75" customHeight="1" x14ac:dyDescent="0.35">
      <c r="C603" s="132"/>
      <c r="V603" s="132"/>
      <c r="W603" s="132"/>
      <c r="X603" s="132"/>
      <c r="Y603" s="132"/>
      <c r="Z603" s="132"/>
    </row>
    <row r="604" spans="3:26" ht="12.75" customHeight="1" x14ac:dyDescent="0.35">
      <c r="C604" s="132"/>
      <c r="V604" s="132"/>
      <c r="W604" s="132"/>
      <c r="X604" s="132"/>
      <c r="Y604" s="132"/>
      <c r="Z604" s="132"/>
    </row>
    <row r="605" spans="3:26" ht="12.75" customHeight="1" x14ac:dyDescent="0.35">
      <c r="C605" s="132"/>
      <c r="V605" s="132"/>
      <c r="W605" s="132"/>
      <c r="X605" s="132"/>
      <c r="Y605" s="132"/>
      <c r="Z605" s="132"/>
    </row>
    <row r="606" spans="3:26" ht="12.75" customHeight="1" x14ac:dyDescent="0.35">
      <c r="C606" s="132"/>
      <c r="V606" s="132"/>
      <c r="W606" s="132"/>
      <c r="X606" s="132"/>
      <c r="Y606" s="132"/>
      <c r="Z606" s="132"/>
    </row>
    <row r="607" spans="3:26" ht="12.75" customHeight="1" x14ac:dyDescent="0.35">
      <c r="C607" s="132"/>
      <c r="V607" s="132"/>
      <c r="W607" s="132"/>
      <c r="X607" s="132"/>
      <c r="Y607" s="132"/>
      <c r="Z607" s="132"/>
    </row>
    <row r="608" spans="3:26" ht="12.75" customHeight="1" x14ac:dyDescent="0.35">
      <c r="C608" s="132"/>
      <c r="V608" s="132"/>
      <c r="W608" s="132"/>
      <c r="X608" s="132"/>
      <c r="Y608" s="132"/>
      <c r="Z608" s="132"/>
    </row>
    <row r="609" spans="3:26" ht="12.75" customHeight="1" x14ac:dyDescent="0.35">
      <c r="C609" s="132"/>
      <c r="V609" s="132"/>
      <c r="W609" s="132"/>
      <c r="X609" s="132"/>
      <c r="Y609" s="132"/>
      <c r="Z609" s="132"/>
    </row>
    <row r="610" spans="3:26" ht="12.75" customHeight="1" x14ac:dyDescent="0.35">
      <c r="C610" s="132"/>
      <c r="V610" s="132"/>
      <c r="W610" s="132"/>
      <c r="X610" s="132"/>
      <c r="Y610" s="132"/>
      <c r="Z610" s="132"/>
    </row>
    <row r="611" spans="3:26" ht="12.75" customHeight="1" x14ac:dyDescent="0.35">
      <c r="C611" s="132"/>
      <c r="V611" s="132"/>
      <c r="W611" s="132"/>
      <c r="X611" s="132"/>
      <c r="Y611" s="132"/>
      <c r="Z611" s="132"/>
    </row>
    <row r="612" spans="3:26" ht="12.75" customHeight="1" x14ac:dyDescent="0.35">
      <c r="C612" s="132"/>
      <c r="V612" s="132"/>
      <c r="W612" s="132"/>
      <c r="X612" s="132"/>
      <c r="Y612" s="132"/>
      <c r="Z612" s="132"/>
    </row>
    <row r="613" spans="3:26" ht="12.75" customHeight="1" x14ac:dyDescent="0.35">
      <c r="C613" s="132"/>
      <c r="V613" s="132"/>
      <c r="W613" s="132"/>
      <c r="X613" s="132"/>
      <c r="Y613" s="132"/>
      <c r="Z613" s="132"/>
    </row>
    <row r="614" spans="3:26" ht="12.75" customHeight="1" x14ac:dyDescent="0.35">
      <c r="C614" s="132"/>
      <c r="V614" s="132"/>
      <c r="W614" s="132"/>
      <c r="X614" s="132"/>
      <c r="Y614" s="132"/>
      <c r="Z614" s="132"/>
    </row>
    <row r="615" spans="3:26" ht="12.75" customHeight="1" x14ac:dyDescent="0.35">
      <c r="C615" s="132"/>
      <c r="V615" s="132"/>
      <c r="W615" s="132"/>
      <c r="X615" s="132"/>
      <c r="Y615" s="132"/>
      <c r="Z615" s="132"/>
    </row>
    <row r="616" spans="3:26" ht="12.75" customHeight="1" x14ac:dyDescent="0.35">
      <c r="C616" s="132"/>
      <c r="V616" s="132"/>
      <c r="W616" s="132"/>
      <c r="X616" s="132"/>
      <c r="Y616" s="132"/>
      <c r="Z616" s="132"/>
    </row>
    <row r="617" spans="3:26" ht="12.75" customHeight="1" x14ac:dyDescent="0.35">
      <c r="C617" s="132"/>
      <c r="V617" s="132"/>
      <c r="W617" s="132"/>
      <c r="X617" s="132"/>
      <c r="Y617" s="132"/>
      <c r="Z617" s="132"/>
    </row>
    <row r="618" spans="3:26" ht="12.75" customHeight="1" x14ac:dyDescent="0.35">
      <c r="C618" s="132"/>
      <c r="V618" s="132"/>
      <c r="W618" s="132"/>
      <c r="X618" s="132"/>
      <c r="Y618" s="132"/>
      <c r="Z618" s="132"/>
    </row>
    <row r="619" spans="3:26" ht="12.75" customHeight="1" x14ac:dyDescent="0.35">
      <c r="C619" s="132"/>
      <c r="V619" s="132"/>
      <c r="W619" s="132"/>
      <c r="X619" s="132"/>
      <c r="Y619" s="132"/>
      <c r="Z619" s="132"/>
    </row>
    <row r="620" spans="3:26" ht="12.75" customHeight="1" x14ac:dyDescent="0.35">
      <c r="C620" s="132"/>
      <c r="V620" s="132"/>
      <c r="W620" s="132"/>
      <c r="X620" s="132"/>
      <c r="Y620" s="132"/>
      <c r="Z620" s="132"/>
    </row>
    <row r="621" spans="3:26" ht="12.75" customHeight="1" x14ac:dyDescent="0.35">
      <c r="C621" s="132"/>
      <c r="V621" s="132"/>
      <c r="W621" s="132"/>
      <c r="X621" s="132"/>
      <c r="Y621" s="132"/>
      <c r="Z621" s="132"/>
    </row>
    <row r="622" spans="3:26" ht="12.75" customHeight="1" x14ac:dyDescent="0.35">
      <c r="C622" s="132"/>
      <c r="V622" s="132"/>
      <c r="W622" s="132"/>
      <c r="X622" s="132"/>
      <c r="Y622" s="132"/>
      <c r="Z622" s="132"/>
    </row>
    <row r="623" spans="3:26" ht="12.75" customHeight="1" x14ac:dyDescent="0.35">
      <c r="C623" s="132"/>
      <c r="V623" s="132"/>
      <c r="W623" s="132"/>
      <c r="X623" s="132"/>
      <c r="Y623" s="132"/>
      <c r="Z623" s="132"/>
    </row>
    <row r="624" spans="3:26" ht="12.75" customHeight="1" x14ac:dyDescent="0.35">
      <c r="C624" s="132"/>
      <c r="V624" s="132"/>
      <c r="W624" s="132"/>
      <c r="X624" s="132"/>
      <c r="Y624" s="132"/>
      <c r="Z624" s="132"/>
    </row>
    <row r="625" spans="3:26" ht="12.75" customHeight="1" x14ac:dyDescent="0.35">
      <c r="C625" s="132"/>
      <c r="V625" s="132"/>
      <c r="W625" s="132"/>
      <c r="X625" s="132"/>
      <c r="Y625" s="132"/>
      <c r="Z625" s="132"/>
    </row>
    <row r="626" spans="3:26" ht="12.75" customHeight="1" x14ac:dyDescent="0.35">
      <c r="C626" s="132"/>
      <c r="V626" s="132"/>
      <c r="W626" s="132"/>
      <c r="X626" s="132"/>
      <c r="Y626" s="132"/>
      <c r="Z626" s="132"/>
    </row>
    <row r="627" spans="3:26" ht="12.75" customHeight="1" x14ac:dyDescent="0.35">
      <c r="C627" s="132"/>
      <c r="V627" s="132"/>
      <c r="W627" s="132"/>
      <c r="X627" s="132"/>
      <c r="Y627" s="132"/>
      <c r="Z627" s="132"/>
    </row>
    <row r="628" spans="3:26" ht="12.75" customHeight="1" x14ac:dyDescent="0.35">
      <c r="C628" s="132"/>
      <c r="V628" s="132"/>
      <c r="W628" s="132"/>
      <c r="X628" s="132"/>
      <c r="Y628" s="132"/>
      <c r="Z628" s="132"/>
    </row>
    <row r="629" spans="3:26" ht="12.75" customHeight="1" x14ac:dyDescent="0.35">
      <c r="C629" s="132"/>
      <c r="V629" s="132"/>
      <c r="W629" s="132"/>
      <c r="X629" s="132"/>
      <c r="Y629" s="132"/>
      <c r="Z629" s="132"/>
    </row>
    <row r="630" spans="3:26" ht="12.75" customHeight="1" x14ac:dyDescent="0.35">
      <c r="C630" s="132"/>
      <c r="V630" s="132"/>
      <c r="W630" s="132"/>
      <c r="X630" s="132"/>
      <c r="Y630" s="132"/>
      <c r="Z630" s="132"/>
    </row>
    <row r="631" spans="3:26" ht="12.75" customHeight="1" x14ac:dyDescent="0.35">
      <c r="C631" s="132"/>
      <c r="V631" s="132"/>
      <c r="W631" s="132"/>
      <c r="X631" s="132"/>
      <c r="Y631" s="132"/>
      <c r="Z631" s="132"/>
    </row>
    <row r="632" spans="3:26" ht="12.75" customHeight="1" x14ac:dyDescent="0.35">
      <c r="C632" s="132"/>
      <c r="V632" s="132"/>
      <c r="W632" s="132"/>
      <c r="X632" s="132"/>
      <c r="Y632" s="132"/>
      <c r="Z632" s="132"/>
    </row>
    <row r="633" spans="3:26" ht="12.75" customHeight="1" x14ac:dyDescent="0.35">
      <c r="C633" s="132"/>
      <c r="V633" s="132"/>
      <c r="W633" s="132"/>
      <c r="X633" s="132"/>
      <c r="Y633" s="132"/>
      <c r="Z633" s="132"/>
    </row>
    <row r="634" spans="3:26" ht="12.75" customHeight="1" x14ac:dyDescent="0.35">
      <c r="C634" s="132"/>
      <c r="V634" s="132"/>
      <c r="W634" s="132"/>
      <c r="X634" s="132"/>
      <c r="Y634" s="132"/>
      <c r="Z634" s="132"/>
    </row>
    <row r="635" spans="3:26" ht="12.75" customHeight="1" x14ac:dyDescent="0.35">
      <c r="C635" s="132"/>
      <c r="V635" s="132"/>
      <c r="W635" s="132"/>
      <c r="X635" s="132"/>
      <c r="Y635" s="132"/>
      <c r="Z635" s="132"/>
    </row>
    <row r="636" spans="3:26" ht="12.75" customHeight="1" x14ac:dyDescent="0.35">
      <c r="C636" s="132"/>
      <c r="V636" s="132"/>
      <c r="W636" s="132"/>
      <c r="X636" s="132"/>
      <c r="Y636" s="132"/>
      <c r="Z636" s="132"/>
    </row>
    <row r="637" spans="3:26" ht="12.75" customHeight="1" x14ac:dyDescent="0.35">
      <c r="C637" s="132"/>
      <c r="V637" s="132"/>
      <c r="W637" s="132"/>
      <c r="X637" s="132"/>
      <c r="Y637" s="132"/>
      <c r="Z637" s="132"/>
    </row>
    <row r="638" spans="3:26" ht="12.75" customHeight="1" x14ac:dyDescent="0.35">
      <c r="C638" s="132"/>
      <c r="V638" s="132"/>
      <c r="W638" s="132"/>
      <c r="X638" s="132"/>
      <c r="Y638" s="132"/>
      <c r="Z638" s="132"/>
    </row>
    <row r="639" spans="3:26" ht="12.75" customHeight="1" x14ac:dyDescent="0.35">
      <c r="C639" s="132"/>
      <c r="V639" s="132"/>
      <c r="W639" s="132"/>
      <c r="X639" s="132"/>
      <c r="Y639" s="132"/>
      <c r="Z639" s="132"/>
    </row>
    <row r="640" spans="3:26" ht="12.75" customHeight="1" x14ac:dyDescent="0.35">
      <c r="C640" s="132"/>
      <c r="V640" s="132"/>
      <c r="W640" s="132"/>
      <c r="X640" s="132"/>
      <c r="Y640" s="132"/>
      <c r="Z640" s="132"/>
    </row>
    <row r="641" spans="3:26" ht="12.75" customHeight="1" x14ac:dyDescent="0.35">
      <c r="C641" s="132"/>
      <c r="V641" s="132"/>
      <c r="W641" s="132"/>
      <c r="X641" s="132"/>
      <c r="Y641" s="132"/>
      <c r="Z641" s="132"/>
    </row>
    <row r="642" spans="3:26" ht="12.75" customHeight="1" x14ac:dyDescent="0.35">
      <c r="C642" s="132"/>
      <c r="V642" s="132"/>
      <c r="W642" s="132"/>
      <c r="X642" s="132"/>
      <c r="Y642" s="132"/>
      <c r="Z642" s="132"/>
    </row>
    <row r="643" spans="3:26" ht="12.75" customHeight="1" x14ac:dyDescent="0.35">
      <c r="C643" s="132"/>
      <c r="V643" s="132"/>
      <c r="W643" s="132"/>
      <c r="X643" s="132"/>
      <c r="Y643" s="132"/>
      <c r="Z643" s="132"/>
    </row>
    <row r="644" spans="3:26" ht="12.75" customHeight="1" x14ac:dyDescent="0.35">
      <c r="C644" s="132"/>
      <c r="V644" s="132"/>
      <c r="W644" s="132"/>
      <c r="X644" s="132"/>
      <c r="Y644" s="132"/>
      <c r="Z644" s="132"/>
    </row>
    <row r="645" spans="3:26" ht="12.75" customHeight="1" x14ac:dyDescent="0.35">
      <c r="C645" s="132"/>
      <c r="V645" s="132"/>
      <c r="W645" s="132"/>
      <c r="X645" s="132"/>
      <c r="Y645" s="132"/>
      <c r="Z645" s="132"/>
    </row>
    <row r="646" spans="3:26" ht="12.75" customHeight="1" x14ac:dyDescent="0.35">
      <c r="C646" s="132"/>
      <c r="V646" s="132"/>
      <c r="W646" s="132"/>
      <c r="X646" s="132"/>
      <c r="Y646" s="132"/>
      <c r="Z646" s="132"/>
    </row>
    <row r="647" spans="3:26" ht="12.75" customHeight="1" x14ac:dyDescent="0.35">
      <c r="C647" s="132"/>
      <c r="V647" s="132"/>
      <c r="W647" s="132"/>
      <c r="X647" s="132"/>
      <c r="Y647" s="132"/>
      <c r="Z647" s="132"/>
    </row>
    <row r="648" spans="3:26" ht="12.75" customHeight="1" x14ac:dyDescent="0.35">
      <c r="C648" s="132"/>
      <c r="V648" s="132"/>
      <c r="W648" s="132"/>
      <c r="X648" s="132"/>
      <c r="Y648" s="132"/>
      <c r="Z648" s="132"/>
    </row>
    <row r="649" spans="3:26" ht="12.75" customHeight="1" x14ac:dyDescent="0.35">
      <c r="C649" s="132"/>
      <c r="V649" s="132"/>
      <c r="W649" s="132"/>
      <c r="X649" s="132"/>
      <c r="Y649" s="132"/>
      <c r="Z649" s="132"/>
    </row>
    <row r="650" spans="3:26" ht="12.75" customHeight="1" x14ac:dyDescent="0.35">
      <c r="C650" s="132"/>
      <c r="V650" s="132"/>
      <c r="W650" s="132"/>
      <c r="X650" s="132"/>
      <c r="Y650" s="132"/>
      <c r="Z650" s="132"/>
    </row>
    <row r="651" spans="3:26" ht="12.75" customHeight="1" x14ac:dyDescent="0.35">
      <c r="C651" s="132"/>
      <c r="V651" s="132"/>
      <c r="W651" s="132"/>
      <c r="X651" s="132"/>
      <c r="Y651" s="132"/>
      <c r="Z651" s="132"/>
    </row>
    <row r="652" spans="3:26" ht="12.75" customHeight="1" x14ac:dyDescent="0.35">
      <c r="C652" s="132"/>
      <c r="V652" s="132"/>
      <c r="W652" s="132"/>
      <c r="X652" s="132"/>
      <c r="Y652" s="132"/>
      <c r="Z652" s="132"/>
    </row>
    <row r="653" spans="3:26" ht="12.75" customHeight="1" x14ac:dyDescent="0.35">
      <c r="C653" s="132"/>
      <c r="V653" s="132"/>
      <c r="W653" s="132"/>
      <c r="X653" s="132"/>
      <c r="Y653" s="132"/>
      <c r="Z653" s="132"/>
    </row>
    <row r="654" spans="3:26" ht="12.75" customHeight="1" x14ac:dyDescent="0.35">
      <c r="C654" s="132"/>
      <c r="V654" s="132"/>
      <c r="W654" s="132"/>
      <c r="X654" s="132"/>
      <c r="Y654" s="132"/>
      <c r="Z654" s="132"/>
    </row>
    <row r="655" spans="3:26" ht="12.75" customHeight="1" x14ac:dyDescent="0.35">
      <c r="C655" s="132"/>
      <c r="V655" s="132"/>
      <c r="W655" s="132"/>
      <c r="X655" s="132"/>
      <c r="Y655" s="132"/>
      <c r="Z655" s="132"/>
    </row>
    <row r="656" spans="3:26" ht="12.75" customHeight="1" x14ac:dyDescent="0.35">
      <c r="C656" s="132"/>
      <c r="V656" s="132"/>
      <c r="W656" s="132"/>
      <c r="X656" s="132"/>
      <c r="Y656" s="132"/>
      <c r="Z656" s="132"/>
    </row>
    <row r="657" spans="3:26" ht="12.75" customHeight="1" x14ac:dyDescent="0.35">
      <c r="C657" s="132"/>
      <c r="V657" s="132"/>
      <c r="W657" s="132"/>
      <c r="X657" s="132"/>
      <c r="Y657" s="132"/>
      <c r="Z657" s="132"/>
    </row>
    <row r="658" spans="3:26" ht="12.75" customHeight="1" x14ac:dyDescent="0.35">
      <c r="C658" s="132"/>
      <c r="V658" s="132"/>
      <c r="W658" s="132"/>
      <c r="X658" s="132"/>
      <c r="Y658" s="132"/>
      <c r="Z658" s="132"/>
    </row>
    <row r="659" spans="3:26" ht="12.75" customHeight="1" x14ac:dyDescent="0.35">
      <c r="C659" s="132"/>
      <c r="V659" s="132"/>
      <c r="W659" s="132"/>
      <c r="X659" s="132"/>
      <c r="Y659" s="132"/>
      <c r="Z659" s="132"/>
    </row>
    <row r="660" spans="3:26" ht="12.75" customHeight="1" x14ac:dyDescent="0.35">
      <c r="C660" s="132"/>
      <c r="V660" s="132"/>
      <c r="W660" s="132"/>
      <c r="X660" s="132"/>
      <c r="Y660" s="132"/>
      <c r="Z660" s="132"/>
    </row>
    <row r="661" spans="3:26" ht="12.75" customHeight="1" x14ac:dyDescent="0.35">
      <c r="C661" s="132"/>
      <c r="V661" s="132"/>
      <c r="W661" s="132"/>
      <c r="X661" s="132"/>
      <c r="Y661" s="132"/>
      <c r="Z661" s="132"/>
    </row>
    <row r="662" spans="3:26" ht="12.75" customHeight="1" x14ac:dyDescent="0.35">
      <c r="C662" s="132"/>
      <c r="V662" s="132"/>
      <c r="W662" s="132"/>
      <c r="X662" s="132"/>
      <c r="Y662" s="132"/>
      <c r="Z662" s="132"/>
    </row>
    <row r="663" spans="3:26" ht="12.75" customHeight="1" x14ac:dyDescent="0.35">
      <c r="C663" s="132"/>
      <c r="V663" s="132"/>
      <c r="W663" s="132"/>
      <c r="X663" s="132"/>
      <c r="Y663" s="132"/>
      <c r="Z663" s="132"/>
    </row>
    <row r="664" spans="3:26" ht="12.75" customHeight="1" x14ac:dyDescent="0.35">
      <c r="C664" s="132"/>
      <c r="V664" s="132"/>
      <c r="W664" s="132"/>
      <c r="X664" s="132"/>
      <c r="Y664" s="132"/>
      <c r="Z664" s="132"/>
    </row>
    <row r="665" spans="3:26" ht="12.75" customHeight="1" x14ac:dyDescent="0.35">
      <c r="C665" s="132"/>
      <c r="V665" s="132"/>
      <c r="W665" s="132"/>
      <c r="X665" s="132"/>
      <c r="Y665" s="132"/>
      <c r="Z665" s="132"/>
    </row>
    <row r="666" spans="3:26" ht="12.75" customHeight="1" x14ac:dyDescent="0.35">
      <c r="C666" s="132"/>
      <c r="V666" s="132"/>
      <c r="W666" s="132"/>
      <c r="X666" s="132"/>
      <c r="Y666" s="132"/>
      <c r="Z666" s="132"/>
    </row>
    <row r="667" spans="3:26" ht="12.75" customHeight="1" x14ac:dyDescent="0.35">
      <c r="C667" s="132"/>
      <c r="V667" s="132"/>
      <c r="W667" s="132"/>
      <c r="X667" s="132"/>
      <c r="Y667" s="132"/>
      <c r="Z667" s="132"/>
    </row>
    <row r="668" spans="3:26" ht="12.75" customHeight="1" x14ac:dyDescent="0.35">
      <c r="C668" s="132"/>
      <c r="V668" s="132"/>
      <c r="W668" s="132"/>
      <c r="X668" s="132"/>
      <c r="Y668" s="132"/>
      <c r="Z668" s="132"/>
    </row>
    <row r="669" spans="3:26" ht="12.75" customHeight="1" x14ac:dyDescent="0.35">
      <c r="C669" s="132"/>
      <c r="V669" s="132"/>
      <c r="W669" s="132"/>
      <c r="X669" s="132"/>
      <c r="Y669" s="132"/>
      <c r="Z669" s="132"/>
    </row>
    <row r="670" spans="3:26" ht="12.75" customHeight="1" x14ac:dyDescent="0.35">
      <c r="C670" s="132"/>
      <c r="V670" s="132"/>
      <c r="W670" s="132"/>
      <c r="X670" s="132"/>
      <c r="Y670" s="132"/>
      <c r="Z670" s="132"/>
    </row>
    <row r="671" spans="3:26" ht="12.75" customHeight="1" x14ac:dyDescent="0.35">
      <c r="C671" s="132"/>
      <c r="V671" s="132"/>
      <c r="W671" s="132"/>
      <c r="X671" s="132"/>
      <c r="Y671" s="132"/>
      <c r="Z671" s="132"/>
    </row>
    <row r="672" spans="3:26" ht="12.75" customHeight="1" x14ac:dyDescent="0.35">
      <c r="C672" s="132"/>
      <c r="V672" s="132"/>
      <c r="W672" s="132"/>
      <c r="X672" s="132"/>
      <c r="Y672" s="132"/>
      <c r="Z672" s="132"/>
    </row>
    <row r="673" spans="3:26" ht="12.75" customHeight="1" x14ac:dyDescent="0.35">
      <c r="C673" s="132"/>
      <c r="V673" s="132"/>
      <c r="W673" s="132"/>
      <c r="X673" s="132"/>
      <c r="Y673" s="132"/>
      <c r="Z673" s="132"/>
    </row>
    <row r="674" spans="3:26" ht="12.75" customHeight="1" x14ac:dyDescent="0.35">
      <c r="C674" s="132"/>
      <c r="V674" s="132"/>
      <c r="W674" s="132"/>
      <c r="X674" s="132"/>
      <c r="Y674" s="132"/>
      <c r="Z674" s="132"/>
    </row>
    <row r="675" spans="3:26" ht="12.75" customHeight="1" x14ac:dyDescent="0.35">
      <c r="C675" s="132"/>
      <c r="V675" s="132"/>
      <c r="W675" s="132"/>
      <c r="X675" s="132"/>
      <c r="Y675" s="132"/>
      <c r="Z675" s="132"/>
    </row>
    <row r="676" spans="3:26" ht="12.75" customHeight="1" x14ac:dyDescent="0.35">
      <c r="C676" s="132"/>
      <c r="V676" s="132"/>
      <c r="W676" s="132"/>
      <c r="X676" s="132"/>
      <c r="Y676" s="132"/>
      <c r="Z676" s="132"/>
    </row>
    <row r="677" spans="3:26" ht="12.75" customHeight="1" x14ac:dyDescent="0.35">
      <c r="C677" s="132"/>
      <c r="V677" s="132"/>
      <c r="W677" s="132"/>
      <c r="X677" s="132"/>
      <c r="Y677" s="132"/>
      <c r="Z677" s="132"/>
    </row>
    <row r="678" spans="3:26" ht="12.75" customHeight="1" x14ac:dyDescent="0.35">
      <c r="C678" s="132"/>
      <c r="V678" s="132"/>
      <c r="W678" s="132"/>
      <c r="X678" s="132"/>
      <c r="Y678" s="132"/>
      <c r="Z678" s="132"/>
    </row>
    <row r="679" spans="3:26" ht="12.75" customHeight="1" x14ac:dyDescent="0.35">
      <c r="C679" s="132"/>
      <c r="V679" s="132"/>
      <c r="W679" s="132"/>
      <c r="X679" s="132"/>
      <c r="Y679" s="132"/>
      <c r="Z679" s="132"/>
    </row>
    <row r="680" spans="3:26" ht="12.75" customHeight="1" x14ac:dyDescent="0.35">
      <c r="C680" s="132"/>
      <c r="V680" s="132"/>
      <c r="W680" s="132"/>
      <c r="X680" s="132"/>
      <c r="Y680" s="132"/>
      <c r="Z680" s="132"/>
    </row>
    <row r="681" spans="3:26" ht="12.75" customHeight="1" x14ac:dyDescent="0.35">
      <c r="C681" s="132"/>
      <c r="V681" s="132"/>
      <c r="W681" s="132"/>
      <c r="X681" s="132"/>
      <c r="Y681" s="132"/>
      <c r="Z681" s="132"/>
    </row>
    <row r="682" spans="3:26" ht="12.75" customHeight="1" x14ac:dyDescent="0.35">
      <c r="C682" s="132"/>
      <c r="V682" s="132"/>
      <c r="W682" s="132"/>
      <c r="X682" s="132"/>
      <c r="Y682" s="132"/>
      <c r="Z682" s="132"/>
    </row>
    <row r="683" spans="3:26" ht="12.75" customHeight="1" x14ac:dyDescent="0.35">
      <c r="C683" s="132"/>
      <c r="V683" s="132"/>
      <c r="W683" s="132"/>
      <c r="X683" s="132"/>
      <c r="Y683" s="132"/>
      <c r="Z683" s="132"/>
    </row>
    <row r="684" spans="3:26" ht="12.75" customHeight="1" x14ac:dyDescent="0.35">
      <c r="C684" s="132"/>
      <c r="V684" s="132"/>
      <c r="W684" s="132"/>
      <c r="X684" s="132"/>
      <c r="Y684" s="132"/>
      <c r="Z684" s="132"/>
    </row>
    <row r="685" spans="3:26" ht="12.75" customHeight="1" x14ac:dyDescent="0.35">
      <c r="C685" s="132"/>
      <c r="V685" s="132"/>
      <c r="W685" s="132"/>
      <c r="X685" s="132"/>
      <c r="Y685" s="132"/>
      <c r="Z685" s="132"/>
    </row>
    <row r="686" spans="3:26" ht="12.75" customHeight="1" x14ac:dyDescent="0.35">
      <c r="C686" s="132"/>
      <c r="V686" s="132"/>
      <c r="W686" s="132"/>
      <c r="X686" s="132"/>
      <c r="Y686" s="132"/>
      <c r="Z686" s="132"/>
    </row>
    <row r="687" spans="3:26" ht="12.75" customHeight="1" x14ac:dyDescent="0.35">
      <c r="C687" s="132"/>
      <c r="V687" s="132"/>
      <c r="W687" s="132"/>
      <c r="X687" s="132"/>
      <c r="Y687" s="132"/>
      <c r="Z687" s="132"/>
    </row>
    <row r="688" spans="3:26" ht="12.75" customHeight="1" x14ac:dyDescent="0.35">
      <c r="C688" s="132"/>
      <c r="V688" s="132"/>
      <c r="W688" s="132"/>
      <c r="X688" s="132"/>
      <c r="Y688" s="132"/>
      <c r="Z688" s="132"/>
    </row>
    <row r="689" spans="3:26" ht="12.75" customHeight="1" x14ac:dyDescent="0.35">
      <c r="C689" s="132"/>
      <c r="V689" s="132"/>
      <c r="W689" s="132"/>
      <c r="X689" s="132"/>
      <c r="Y689" s="132"/>
      <c r="Z689" s="132"/>
    </row>
    <row r="690" spans="3:26" ht="12.75" customHeight="1" x14ac:dyDescent="0.35">
      <c r="C690" s="132"/>
      <c r="V690" s="132"/>
      <c r="W690" s="132"/>
      <c r="X690" s="132"/>
      <c r="Y690" s="132"/>
      <c r="Z690" s="132"/>
    </row>
    <row r="691" spans="3:26" ht="12.75" customHeight="1" x14ac:dyDescent="0.35">
      <c r="C691" s="132"/>
      <c r="V691" s="132"/>
      <c r="W691" s="132"/>
      <c r="X691" s="132"/>
      <c r="Y691" s="132"/>
      <c r="Z691" s="132"/>
    </row>
    <row r="692" spans="3:26" ht="12.75" customHeight="1" x14ac:dyDescent="0.35">
      <c r="C692" s="132"/>
      <c r="V692" s="132"/>
      <c r="W692" s="132"/>
      <c r="X692" s="132"/>
      <c r="Y692" s="132"/>
      <c r="Z692" s="132"/>
    </row>
    <row r="693" spans="3:26" ht="12.75" customHeight="1" x14ac:dyDescent="0.35">
      <c r="C693" s="132"/>
      <c r="V693" s="132"/>
      <c r="W693" s="132"/>
      <c r="X693" s="132"/>
      <c r="Y693" s="132"/>
      <c r="Z693" s="132"/>
    </row>
    <row r="694" spans="3:26" ht="12.75" customHeight="1" x14ac:dyDescent="0.35">
      <c r="C694" s="132"/>
      <c r="V694" s="132"/>
      <c r="W694" s="132"/>
      <c r="X694" s="132"/>
      <c r="Y694" s="132"/>
      <c r="Z694" s="132"/>
    </row>
    <row r="695" spans="3:26" ht="12.75" customHeight="1" x14ac:dyDescent="0.35">
      <c r="C695" s="132"/>
      <c r="V695" s="132"/>
      <c r="W695" s="132"/>
      <c r="X695" s="132"/>
      <c r="Y695" s="132"/>
      <c r="Z695" s="132"/>
    </row>
    <row r="696" spans="3:26" ht="12.75" customHeight="1" x14ac:dyDescent="0.35">
      <c r="C696" s="132"/>
      <c r="V696" s="132"/>
      <c r="W696" s="132"/>
      <c r="X696" s="132"/>
      <c r="Y696" s="132"/>
      <c r="Z696" s="132"/>
    </row>
    <row r="697" spans="3:26" ht="12.75" customHeight="1" x14ac:dyDescent="0.35">
      <c r="C697" s="132"/>
      <c r="V697" s="132"/>
      <c r="W697" s="132"/>
      <c r="X697" s="132"/>
      <c r="Y697" s="132"/>
      <c r="Z697" s="132"/>
    </row>
    <row r="698" spans="3:26" ht="12.75" customHeight="1" x14ac:dyDescent="0.35">
      <c r="C698" s="132"/>
      <c r="V698" s="132"/>
      <c r="W698" s="132"/>
      <c r="X698" s="132"/>
      <c r="Y698" s="132"/>
      <c r="Z698" s="132"/>
    </row>
    <row r="699" spans="3:26" ht="12.75" customHeight="1" x14ac:dyDescent="0.35">
      <c r="C699" s="132"/>
      <c r="V699" s="132"/>
      <c r="W699" s="132"/>
      <c r="X699" s="132"/>
      <c r="Y699" s="132"/>
      <c r="Z699" s="132"/>
    </row>
    <row r="700" spans="3:26" ht="12.75" customHeight="1" x14ac:dyDescent="0.35">
      <c r="C700" s="132"/>
      <c r="V700" s="132"/>
      <c r="W700" s="132"/>
      <c r="X700" s="132"/>
      <c r="Y700" s="132"/>
      <c r="Z700" s="132"/>
    </row>
    <row r="701" spans="3:26" ht="12.75" customHeight="1" x14ac:dyDescent="0.35">
      <c r="C701" s="132"/>
      <c r="V701" s="132"/>
      <c r="W701" s="132"/>
      <c r="X701" s="132"/>
      <c r="Y701" s="132"/>
      <c r="Z701" s="132"/>
    </row>
    <row r="702" spans="3:26" ht="12.75" customHeight="1" x14ac:dyDescent="0.35">
      <c r="C702" s="132"/>
      <c r="V702" s="132"/>
      <c r="W702" s="132"/>
      <c r="X702" s="132"/>
      <c r="Y702" s="132"/>
      <c r="Z702" s="132"/>
    </row>
    <row r="703" spans="3:26" ht="12.75" customHeight="1" x14ac:dyDescent="0.35">
      <c r="C703" s="132"/>
      <c r="V703" s="132"/>
      <c r="W703" s="132"/>
      <c r="X703" s="132"/>
      <c r="Y703" s="132"/>
      <c r="Z703" s="132"/>
    </row>
    <row r="704" spans="3:26" ht="12.75" customHeight="1" x14ac:dyDescent="0.35">
      <c r="C704" s="132"/>
      <c r="V704" s="132"/>
      <c r="W704" s="132"/>
      <c r="X704" s="132"/>
      <c r="Y704" s="132"/>
      <c r="Z704" s="132"/>
    </row>
    <row r="705" spans="3:26" ht="12.75" customHeight="1" x14ac:dyDescent="0.35">
      <c r="C705" s="132"/>
      <c r="V705" s="132"/>
      <c r="W705" s="132"/>
      <c r="X705" s="132"/>
      <c r="Y705" s="132"/>
      <c r="Z705" s="132"/>
    </row>
    <row r="706" spans="3:26" ht="12.75" customHeight="1" x14ac:dyDescent="0.35">
      <c r="C706" s="132"/>
      <c r="V706" s="132"/>
      <c r="W706" s="132"/>
      <c r="X706" s="132"/>
      <c r="Y706" s="132"/>
      <c r="Z706" s="132"/>
    </row>
    <row r="707" spans="3:26" ht="12.75" customHeight="1" x14ac:dyDescent="0.35">
      <c r="C707" s="132"/>
      <c r="V707" s="132"/>
      <c r="W707" s="132"/>
      <c r="X707" s="132"/>
      <c r="Y707" s="132"/>
      <c r="Z707" s="132"/>
    </row>
    <row r="708" spans="3:26" ht="12.75" customHeight="1" x14ac:dyDescent="0.35">
      <c r="C708" s="132"/>
      <c r="V708" s="132"/>
      <c r="W708" s="132"/>
      <c r="X708" s="132"/>
      <c r="Y708" s="132"/>
      <c r="Z708" s="132"/>
    </row>
    <row r="709" spans="3:26" ht="12.75" customHeight="1" x14ac:dyDescent="0.35">
      <c r="C709" s="132"/>
      <c r="V709" s="132"/>
      <c r="W709" s="132"/>
      <c r="X709" s="132"/>
      <c r="Y709" s="132"/>
      <c r="Z709" s="132"/>
    </row>
    <row r="710" spans="3:26" ht="12.75" customHeight="1" x14ac:dyDescent="0.35">
      <c r="C710" s="132"/>
      <c r="V710" s="132"/>
      <c r="W710" s="132"/>
      <c r="X710" s="132"/>
      <c r="Y710" s="132"/>
      <c r="Z710" s="132"/>
    </row>
    <row r="711" spans="3:26" ht="12.75" customHeight="1" x14ac:dyDescent="0.35">
      <c r="C711" s="132"/>
      <c r="V711" s="132"/>
      <c r="W711" s="132"/>
      <c r="X711" s="132"/>
      <c r="Y711" s="132"/>
      <c r="Z711" s="132"/>
    </row>
    <row r="712" spans="3:26" ht="12.75" customHeight="1" x14ac:dyDescent="0.35">
      <c r="C712" s="132"/>
      <c r="V712" s="132"/>
      <c r="W712" s="132"/>
      <c r="X712" s="132"/>
      <c r="Y712" s="132"/>
      <c r="Z712" s="132"/>
    </row>
    <row r="713" spans="3:26" ht="12.75" customHeight="1" x14ac:dyDescent="0.35">
      <c r="C713" s="132"/>
      <c r="V713" s="132"/>
      <c r="W713" s="132"/>
      <c r="X713" s="132"/>
      <c r="Y713" s="132"/>
      <c r="Z713" s="132"/>
    </row>
    <row r="714" spans="3:26" ht="12.75" customHeight="1" x14ac:dyDescent="0.35">
      <c r="C714" s="132"/>
      <c r="V714" s="132"/>
      <c r="W714" s="132"/>
      <c r="X714" s="132"/>
      <c r="Y714" s="132"/>
      <c r="Z714" s="132"/>
    </row>
    <row r="715" spans="3:26" ht="12.75" customHeight="1" x14ac:dyDescent="0.35">
      <c r="C715" s="132"/>
      <c r="V715" s="132"/>
      <c r="W715" s="132"/>
      <c r="X715" s="132"/>
      <c r="Y715" s="132"/>
      <c r="Z715" s="132"/>
    </row>
    <row r="716" spans="3:26" ht="12.75" customHeight="1" x14ac:dyDescent="0.35">
      <c r="C716" s="132"/>
      <c r="V716" s="132"/>
      <c r="W716" s="132"/>
      <c r="X716" s="132"/>
      <c r="Y716" s="132"/>
      <c r="Z716" s="132"/>
    </row>
    <row r="717" spans="3:26" ht="12.75" customHeight="1" x14ac:dyDescent="0.35">
      <c r="C717" s="132"/>
      <c r="V717" s="132"/>
      <c r="W717" s="132"/>
      <c r="X717" s="132"/>
      <c r="Y717" s="132"/>
      <c r="Z717" s="132"/>
    </row>
    <row r="718" spans="3:26" ht="12.75" customHeight="1" x14ac:dyDescent="0.35">
      <c r="C718" s="132"/>
      <c r="V718" s="132"/>
      <c r="W718" s="132"/>
      <c r="X718" s="132"/>
      <c r="Y718" s="132"/>
      <c r="Z718" s="132"/>
    </row>
    <row r="719" spans="3:26" ht="12.75" customHeight="1" x14ac:dyDescent="0.35">
      <c r="C719" s="132"/>
      <c r="V719" s="132"/>
      <c r="W719" s="132"/>
      <c r="X719" s="132"/>
      <c r="Y719" s="132"/>
      <c r="Z719" s="132"/>
    </row>
    <row r="720" spans="3:26" ht="12.75" customHeight="1" x14ac:dyDescent="0.35">
      <c r="C720" s="132"/>
      <c r="V720" s="132"/>
      <c r="W720" s="132"/>
      <c r="X720" s="132"/>
      <c r="Y720" s="132"/>
      <c r="Z720" s="132"/>
    </row>
    <row r="721" spans="3:26" ht="12.75" customHeight="1" x14ac:dyDescent="0.35">
      <c r="C721" s="132"/>
      <c r="V721" s="132"/>
      <c r="W721" s="132"/>
      <c r="X721" s="132"/>
      <c r="Y721" s="132"/>
      <c r="Z721" s="132"/>
    </row>
    <row r="722" spans="3:26" ht="12.75" customHeight="1" x14ac:dyDescent="0.35">
      <c r="C722" s="132"/>
      <c r="V722" s="132"/>
      <c r="W722" s="132"/>
      <c r="X722" s="132"/>
      <c r="Y722" s="132"/>
      <c r="Z722" s="132"/>
    </row>
    <row r="723" spans="3:26" ht="12.75" customHeight="1" x14ac:dyDescent="0.35">
      <c r="C723" s="132"/>
      <c r="V723" s="132"/>
      <c r="W723" s="132"/>
      <c r="X723" s="132"/>
      <c r="Y723" s="132"/>
      <c r="Z723" s="132"/>
    </row>
    <row r="724" spans="3:26" ht="12.75" customHeight="1" x14ac:dyDescent="0.35">
      <c r="C724" s="132"/>
      <c r="V724" s="132"/>
      <c r="W724" s="132"/>
      <c r="X724" s="132"/>
      <c r="Y724" s="132"/>
      <c r="Z724" s="132"/>
    </row>
    <row r="725" spans="3:26" ht="12.75" customHeight="1" x14ac:dyDescent="0.35">
      <c r="C725" s="132"/>
      <c r="V725" s="132"/>
      <c r="W725" s="132"/>
      <c r="X725" s="132"/>
      <c r="Y725" s="132"/>
      <c r="Z725" s="132"/>
    </row>
    <row r="726" spans="3:26" ht="12.75" customHeight="1" x14ac:dyDescent="0.35">
      <c r="C726" s="132"/>
      <c r="V726" s="132"/>
      <c r="W726" s="132"/>
      <c r="X726" s="132"/>
      <c r="Y726" s="132"/>
      <c r="Z726" s="132"/>
    </row>
    <row r="727" spans="3:26" ht="12.75" customHeight="1" x14ac:dyDescent="0.35">
      <c r="C727" s="132"/>
      <c r="V727" s="132"/>
      <c r="W727" s="132"/>
      <c r="X727" s="132"/>
      <c r="Y727" s="132"/>
      <c r="Z727" s="132"/>
    </row>
    <row r="728" spans="3:26" ht="12.75" customHeight="1" x14ac:dyDescent="0.35">
      <c r="C728" s="132"/>
      <c r="V728" s="132"/>
      <c r="W728" s="132"/>
      <c r="X728" s="132"/>
      <c r="Y728" s="132"/>
      <c r="Z728" s="132"/>
    </row>
    <row r="729" spans="3:26" ht="12.75" customHeight="1" x14ac:dyDescent="0.35">
      <c r="C729" s="132"/>
      <c r="V729" s="132"/>
      <c r="W729" s="132"/>
      <c r="X729" s="132"/>
      <c r="Y729" s="132"/>
      <c r="Z729" s="132"/>
    </row>
    <row r="730" spans="3:26" ht="12.75" customHeight="1" x14ac:dyDescent="0.35">
      <c r="C730" s="132"/>
      <c r="V730" s="132"/>
      <c r="W730" s="132"/>
      <c r="X730" s="132"/>
      <c r="Y730" s="132"/>
      <c r="Z730" s="132"/>
    </row>
    <row r="731" spans="3:26" ht="12.75" customHeight="1" x14ac:dyDescent="0.35">
      <c r="C731" s="132"/>
      <c r="V731" s="132"/>
      <c r="W731" s="132"/>
      <c r="X731" s="132"/>
      <c r="Y731" s="132"/>
      <c r="Z731" s="132"/>
    </row>
    <row r="732" spans="3:26" ht="12.75" customHeight="1" x14ac:dyDescent="0.35">
      <c r="C732" s="132"/>
      <c r="V732" s="132"/>
      <c r="W732" s="132"/>
      <c r="X732" s="132"/>
      <c r="Y732" s="132"/>
      <c r="Z732" s="132"/>
    </row>
    <row r="733" spans="3:26" ht="12.75" customHeight="1" x14ac:dyDescent="0.35">
      <c r="C733" s="132"/>
      <c r="V733" s="132"/>
      <c r="W733" s="132"/>
      <c r="X733" s="132"/>
      <c r="Y733" s="132"/>
      <c r="Z733" s="132"/>
    </row>
    <row r="734" spans="3:26" ht="12.75" customHeight="1" x14ac:dyDescent="0.35">
      <c r="C734" s="132"/>
      <c r="V734" s="132"/>
      <c r="W734" s="132"/>
      <c r="X734" s="132"/>
      <c r="Y734" s="132"/>
      <c r="Z734" s="132"/>
    </row>
    <row r="735" spans="3:26" ht="12.75" customHeight="1" x14ac:dyDescent="0.35">
      <c r="C735" s="132"/>
      <c r="V735" s="132"/>
      <c r="W735" s="132"/>
      <c r="X735" s="132"/>
      <c r="Y735" s="132"/>
      <c r="Z735" s="132"/>
    </row>
    <row r="736" spans="3:26" ht="12.75" customHeight="1" x14ac:dyDescent="0.35">
      <c r="C736" s="132"/>
      <c r="V736" s="132"/>
      <c r="W736" s="132"/>
      <c r="X736" s="132"/>
      <c r="Y736" s="132"/>
      <c r="Z736" s="132"/>
    </row>
    <row r="737" spans="3:26" ht="12.75" customHeight="1" x14ac:dyDescent="0.35">
      <c r="C737" s="132"/>
      <c r="V737" s="132"/>
      <c r="W737" s="132"/>
      <c r="X737" s="132"/>
      <c r="Y737" s="132"/>
      <c r="Z737" s="132"/>
    </row>
    <row r="738" spans="3:26" ht="12.75" customHeight="1" x14ac:dyDescent="0.35">
      <c r="C738" s="132"/>
      <c r="V738" s="132"/>
      <c r="W738" s="132"/>
      <c r="X738" s="132"/>
      <c r="Y738" s="132"/>
      <c r="Z738" s="132"/>
    </row>
    <row r="739" spans="3:26" ht="12.75" customHeight="1" x14ac:dyDescent="0.35">
      <c r="C739" s="132"/>
      <c r="V739" s="132"/>
      <c r="W739" s="132"/>
      <c r="X739" s="132"/>
      <c r="Y739" s="132"/>
      <c r="Z739" s="132"/>
    </row>
    <row r="740" spans="3:26" ht="12.75" customHeight="1" x14ac:dyDescent="0.35">
      <c r="C740" s="132"/>
      <c r="V740" s="132"/>
      <c r="W740" s="132"/>
      <c r="X740" s="132"/>
      <c r="Y740" s="132"/>
      <c r="Z740" s="132"/>
    </row>
    <row r="741" spans="3:26" ht="12.75" customHeight="1" x14ac:dyDescent="0.35">
      <c r="C741" s="132"/>
      <c r="V741" s="132"/>
      <c r="W741" s="132"/>
      <c r="X741" s="132"/>
      <c r="Y741" s="132"/>
      <c r="Z741" s="132"/>
    </row>
    <row r="742" spans="3:26" ht="12.75" customHeight="1" x14ac:dyDescent="0.35">
      <c r="C742" s="132"/>
      <c r="V742" s="132"/>
      <c r="W742" s="132"/>
      <c r="X742" s="132"/>
      <c r="Y742" s="132"/>
      <c r="Z742" s="132"/>
    </row>
    <row r="743" spans="3:26" ht="12.75" customHeight="1" x14ac:dyDescent="0.35">
      <c r="C743" s="132"/>
      <c r="V743" s="132"/>
      <c r="W743" s="132"/>
      <c r="X743" s="132"/>
      <c r="Y743" s="132"/>
      <c r="Z743" s="132"/>
    </row>
    <row r="744" spans="3:26" ht="12.75" customHeight="1" x14ac:dyDescent="0.35">
      <c r="C744" s="132"/>
      <c r="V744" s="132"/>
      <c r="W744" s="132"/>
      <c r="X744" s="132"/>
      <c r="Y744" s="132"/>
      <c r="Z744" s="132"/>
    </row>
    <row r="745" spans="3:26" ht="12.75" customHeight="1" x14ac:dyDescent="0.35">
      <c r="C745" s="132"/>
      <c r="V745" s="132"/>
      <c r="W745" s="132"/>
      <c r="X745" s="132"/>
      <c r="Y745" s="132"/>
      <c r="Z745" s="132"/>
    </row>
    <row r="746" spans="3:26" ht="12.75" customHeight="1" x14ac:dyDescent="0.35">
      <c r="C746" s="132"/>
      <c r="V746" s="132"/>
      <c r="W746" s="132"/>
      <c r="X746" s="132"/>
      <c r="Y746" s="132"/>
      <c r="Z746" s="132"/>
    </row>
    <row r="747" spans="3:26" ht="12.75" customHeight="1" x14ac:dyDescent="0.35">
      <c r="C747" s="132"/>
      <c r="V747" s="132"/>
      <c r="W747" s="132"/>
      <c r="X747" s="132"/>
      <c r="Y747" s="132"/>
      <c r="Z747" s="132"/>
    </row>
    <row r="748" spans="3:26" ht="12.75" customHeight="1" x14ac:dyDescent="0.35">
      <c r="C748" s="132"/>
      <c r="V748" s="132"/>
      <c r="W748" s="132"/>
      <c r="X748" s="132"/>
      <c r="Y748" s="132"/>
      <c r="Z748" s="132"/>
    </row>
    <row r="749" spans="3:26" ht="12.75" customHeight="1" x14ac:dyDescent="0.35">
      <c r="C749" s="132"/>
      <c r="V749" s="132"/>
      <c r="W749" s="132"/>
      <c r="X749" s="132"/>
      <c r="Y749" s="132"/>
      <c r="Z749" s="132"/>
    </row>
    <row r="750" spans="3:26" ht="12.75" customHeight="1" x14ac:dyDescent="0.35">
      <c r="C750" s="132"/>
      <c r="V750" s="132"/>
      <c r="W750" s="132"/>
      <c r="X750" s="132"/>
      <c r="Y750" s="132"/>
      <c r="Z750" s="132"/>
    </row>
    <row r="751" spans="3:26" ht="12.75" customHeight="1" x14ac:dyDescent="0.35">
      <c r="C751" s="132"/>
      <c r="V751" s="132"/>
      <c r="W751" s="132"/>
      <c r="X751" s="132"/>
      <c r="Y751" s="132"/>
      <c r="Z751" s="132"/>
    </row>
    <row r="752" spans="3:26" ht="12.75" customHeight="1" x14ac:dyDescent="0.35">
      <c r="C752" s="132"/>
      <c r="V752" s="132"/>
      <c r="W752" s="132"/>
      <c r="X752" s="132"/>
      <c r="Y752" s="132"/>
      <c r="Z752" s="132"/>
    </row>
    <row r="753" spans="3:26" ht="12.75" customHeight="1" x14ac:dyDescent="0.35">
      <c r="C753" s="132"/>
      <c r="V753" s="132"/>
      <c r="W753" s="132"/>
      <c r="X753" s="132"/>
      <c r="Y753" s="132"/>
      <c r="Z753" s="132"/>
    </row>
    <row r="754" spans="3:26" ht="12.75" customHeight="1" x14ac:dyDescent="0.35">
      <c r="C754" s="132"/>
      <c r="V754" s="132"/>
      <c r="W754" s="132"/>
      <c r="X754" s="132"/>
      <c r="Y754" s="132"/>
      <c r="Z754" s="132"/>
    </row>
    <row r="755" spans="3:26" ht="12.75" customHeight="1" x14ac:dyDescent="0.35">
      <c r="C755" s="132"/>
      <c r="V755" s="132"/>
      <c r="W755" s="132"/>
      <c r="X755" s="132"/>
      <c r="Y755" s="132"/>
      <c r="Z755" s="132"/>
    </row>
    <row r="756" spans="3:26" ht="12.75" customHeight="1" x14ac:dyDescent="0.35">
      <c r="C756" s="132"/>
      <c r="V756" s="132"/>
      <c r="W756" s="132"/>
      <c r="X756" s="132"/>
      <c r="Y756" s="132"/>
      <c r="Z756" s="132"/>
    </row>
    <row r="757" spans="3:26" ht="12.75" customHeight="1" x14ac:dyDescent="0.35">
      <c r="C757" s="132"/>
      <c r="V757" s="132"/>
      <c r="W757" s="132"/>
      <c r="X757" s="132"/>
      <c r="Y757" s="132"/>
      <c r="Z757" s="132"/>
    </row>
    <row r="758" spans="3:26" ht="12.75" customHeight="1" x14ac:dyDescent="0.35">
      <c r="C758" s="132"/>
      <c r="V758" s="132"/>
      <c r="W758" s="132"/>
      <c r="X758" s="132"/>
      <c r="Y758" s="132"/>
      <c r="Z758" s="132"/>
    </row>
    <row r="759" spans="3:26" ht="12.75" customHeight="1" x14ac:dyDescent="0.35">
      <c r="C759" s="132"/>
      <c r="V759" s="132"/>
      <c r="W759" s="132"/>
      <c r="X759" s="132"/>
      <c r="Y759" s="132"/>
      <c r="Z759" s="132"/>
    </row>
    <row r="760" spans="3:26" ht="12.75" customHeight="1" x14ac:dyDescent="0.35">
      <c r="C760" s="132"/>
      <c r="V760" s="132"/>
      <c r="W760" s="132"/>
      <c r="X760" s="132"/>
      <c r="Y760" s="132"/>
      <c r="Z760" s="132"/>
    </row>
    <row r="761" spans="3:26" ht="12.75" customHeight="1" x14ac:dyDescent="0.35">
      <c r="C761" s="132"/>
      <c r="V761" s="132"/>
      <c r="W761" s="132"/>
      <c r="X761" s="132"/>
      <c r="Y761" s="132"/>
      <c r="Z761" s="132"/>
    </row>
    <row r="762" spans="3:26" ht="12.75" customHeight="1" x14ac:dyDescent="0.35">
      <c r="C762" s="132"/>
      <c r="V762" s="132"/>
      <c r="W762" s="132"/>
      <c r="X762" s="132"/>
      <c r="Y762" s="132"/>
      <c r="Z762" s="132"/>
    </row>
    <row r="763" spans="3:26" ht="12.75" customHeight="1" x14ac:dyDescent="0.35">
      <c r="C763" s="132"/>
      <c r="V763" s="132"/>
      <c r="W763" s="132"/>
      <c r="X763" s="132"/>
      <c r="Y763" s="132"/>
      <c r="Z763" s="132"/>
    </row>
    <row r="764" spans="3:26" ht="12.75" customHeight="1" x14ac:dyDescent="0.35">
      <c r="C764" s="132"/>
      <c r="V764" s="132"/>
      <c r="W764" s="132"/>
      <c r="X764" s="132"/>
      <c r="Y764" s="132"/>
      <c r="Z764" s="132"/>
    </row>
    <row r="765" spans="3:26" ht="12.75" customHeight="1" x14ac:dyDescent="0.35">
      <c r="C765" s="132"/>
      <c r="V765" s="132"/>
      <c r="W765" s="132"/>
      <c r="X765" s="132"/>
      <c r="Y765" s="132"/>
      <c r="Z765" s="132"/>
    </row>
    <row r="766" spans="3:26" ht="12.75" customHeight="1" x14ac:dyDescent="0.35">
      <c r="C766" s="132"/>
      <c r="V766" s="132"/>
      <c r="W766" s="132"/>
      <c r="X766" s="132"/>
      <c r="Y766" s="132"/>
      <c r="Z766" s="132"/>
    </row>
    <row r="767" spans="3:26" ht="12.75" customHeight="1" x14ac:dyDescent="0.35">
      <c r="C767" s="132"/>
      <c r="V767" s="132"/>
      <c r="W767" s="132"/>
      <c r="X767" s="132"/>
      <c r="Y767" s="132"/>
      <c r="Z767" s="132"/>
    </row>
    <row r="768" spans="3:26" ht="12.75" customHeight="1" x14ac:dyDescent="0.35">
      <c r="C768" s="132"/>
      <c r="V768" s="132"/>
      <c r="W768" s="132"/>
      <c r="X768" s="132"/>
      <c r="Y768" s="132"/>
      <c r="Z768" s="132"/>
    </row>
    <row r="769" spans="3:26" ht="12.75" customHeight="1" x14ac:dyDescent="0.35">
      <c r="C769" s="132"/>
      <c r="V769" s="132"/>
      <c r="W769" s="132"/>
      <c r="X769" s="132"/>
      <c r="Y769" s="132"/>
      <c r="Z769" s="132"/>
    </row>
    <row r="770" spans="3:26" ht="12.75" customHeight="1" x14ac:dyDescent="0.35">
      <c r="C770" s="132"/>
      <c r="V770" s="132"/>
      <c r="W770" s="132"/>
      <c r="X770" s="132"/>
      <c r="Y770" s="132"/>
      <c r="Z770" s="132"/>
    </row>
    <row r="771" spans="3:26" ht="12.75" customHeight="1" x14ac:dyDescent="0.35">
      <c r="C771" s="132"/>
      <c r="V771" s="132"/>
      <c r="W771" s="132"/>
      <c r="X771" s="132"/>
      <c r="Y771" s="132"/>
      <c r="Z771" s="132"/>
    </row>
    <row r="772" spans="3:26" ht="12.75" customHeight="1" x14ac:dyDescent="0.35">
      <c r="C772" s="132"/>
      <c r="V772" s="132"/>
      <c r="W772" s="132"/>
      <c r="X772" s="132"/>
      <c r="Y772" s="132"/>
      <c r="Z772" s="132"/>
    </row>
    <row r="773" spans="3:26" ht="12.75" customHeight="1" x14ac:dyDescent="0.35">
      <c r="C773" s="132"/>
      <c r="V773" s="132"/>
      <c r="W773" s="132"/>
      <c r="X773" s="132"/>
      <c r="Y773" s="132"/>
      <c r="Z773" s="132"/>
    </row>
    <row r="774" spans="3:26" ht="12.75" customHeight="1" x14ac:dyDescent="0.35">
      <c r="C774" s="132"/>
      <c r="V774" s="132"/>
      <c r="W774" s="132"/>
      <c r="X774" s="132"/>
      <c r="Y774" s="132"/>
      <c r="Z774" s="132"/>
    </row>
    <row r="775" spans="3:26" ht="12.75" customHeight="1" x14ac:dyDescent="0.35">
      <c r="C775" s="132"/>
      <c r="V775" s="132"/>
      <c r="W775" s="132"/>
      <c r="X775" s="132"/>
      <c r="Y775" s="132"/>
      <c r="Z775" s="132"/>
    </row>
    <row r="776" spans="3:26" ht="12.75" customHeight="1" x14ac:dyDescent="0.35">
      <c r="C776" s="132"/>
      <c r="V776" s="132"/>
      <c r="W776" s="132"/>
      <c r="X776" s="132"/>
      <c r="Y776" s="132"/>
      <c r="Z776" s="132"/>
    </row>
    <row r="777" spans="3:26" ht="12.75" customHeight="1" x14ac:dyDescent="0.35">
      <c r="C777" s="132"/>
      <c r="V777" s="132"/>
      <c r="W777" s="132"/>
      <c r="X777" s="132"/>
      <c r="Y777" s="132"/>
      <c r="Z777" s="132"/>
    </row>
    <row r="778" spans="3:26" ht="12.75" customHeight="1" x14ac:dyDescent="0.35">
      <c r="C778" s="132"/>
      <c r="V778" s="132"/>
      <c r="W778" s="132"/>
      <c r="X778" s="132"/>
      <c r="Y778" s="132"/>
      <c r="Z778" s="132"/>
    </row>
    <row r="779" spans="3:26" ht="12.75" customHeight="1" x14ac:dyDescent="0.35">
      <c r="C779" s="132"/>
      <c r="V779" s="132"/>
      <c r="W779" s="132"/>
      <c r="X779" s="132"/>
      <c r="Y779" s="132"/>
      <c r="Z779" s="132"/>
    </row>
    <row r="780" spans="3:26" ht="12.75" customHeight="1" x14ac:dyDescent="0.35">
      <c r="C780" s="132"/>
      <c r="V780" s="132"/>
      <c r="W780" s="132"/>
      <c r="X780" s="132"/>
      <c r="Y780" s="132"/>
      <c r="Z780" s="132"/>
    </row>
    <row r="781" spans="3:26" ht="12.75" customHeight="1" x14ac:dyDescent="0.35">
      <c r="C781" s="132"/>
      <c r="V781" s="132"/>
      <c r="W781" s="132"/>
      <c r="X781" s="132"/>
      <c r="Y781" s="132"/>
      <c r="Z781" s="132"/>
    </row>
    <row r="782" spans="3:26" ht="12.75" customHeight="1" x14ac:dyDescent="0.35">
      <c r="C782" s="132"/>
      <c r="V782" s="132"/>
      <c r="W782" s="132"/>
      <c r="X782" s="132"/>
      <c r="Y782" s="132"/>
      <c r="Z782" s="132"/>
    </row>
    <row r="783" spans="3:26" ht="12.75" customHeight="1" x14ac:dyDescent="0.35">
      <c r="C783" s="132"/>
      <c r="V783" s="132"/>
      <c r="W783" s="132"/>
      <c r="X783" s="132"/>
      <c r="Y783" s="132"/>
      <c r="Z783" s="132"/>
    </row>
    <row r="784" spans="3:26" ht="12.75" customHeight="1" x14ac:dyDescent="0.35">
      <c r="C784" s="132"/>
      <c r="V784" s="132"/>
      <c r="W784" s="132"/>
      <c r="X784" s="132"/>
      <c r="Y784" s="132"/>
      <c r="Z784" s="132"/>
    </row>
    <row r="785" spans="3:26" ht="12.75" customHeight="1" x14ac:dyDescent="0.35">
      <c r="C785" s="132"/>
      <c r="V785" s="132"/>
      <c r="W785" s="132"/>
      <c r="X785" s="132"/>
      <c r="Y785" s="132"/>
      <c r="Z785" s="132"/>
    </row>
    <row r="786" spans="3:26" ht="12.75" customHeight="1" x14ac:dyDescent="0.35">
      <c r="C786" s="132"/>
      <c r="V786" s="132"/>
      <c r="W786" s="132"/>
      <c r="X786" s="132"/>
      <c r="Y786" s="132"/>
      <c r="Z786" s="132"/>
    </row>
    <row r="787" spans="3:26" ht="12.75" customHeight="1" x14ac:dyDescent="0.35">
      <c r="C787" s="132"/>
      <c r="V787" s="132"/>
      <c r="W787" s="132"/>
      <c r="X787" s="132"/>
      <c r="Y787" s="132"/>
      <c r="Z787" s="132"/>
    </row>
    <row r="788" spans="3:26" ht="12.75" customHeight="1" x14ac:dyDescent="0.35">
      <c r="C788" s="132"/>
      <c r="V788" s="132"/>
      <c r="W788" s="132"/>
      <c r="X788" s="132"/>
      <c r="Y788" s="132"/>
      <c r="Z788" s="132"/>
    </row>
    <row r="789" spans="3:26" ht="12.75" customHeight="1" x14ac:dyDescent="0.35">
      <c r="C789" s="132"/>
      <c r="V789" s="132"/>
      <c r="W789" s="132"/>
      <c r="X789" s="132"/>
      <c r="Y789" s="132"/>
      <c r="Z789" s="132"/>
    </row>
    <row r="790" spans="3:26" ht="12.75" customHeight="1" x14ac:dyDescent="0.35">
      <c r="C790" s="132"/>
      <c r="V790" s="132"/>
      <c r="W790" s="132"/>
      <c r="X790" s="132"/>
      <c r="Y790" s="132"/>
      <c r="Z790" s="132"/>
    </row>
    <row r="791" spans="3:26" ht="12.75" customHeight="1" x14ac:dyDescent="0.35">
      <c r="C791" s="132"/>
      <c r="V791" s="132"/>
      <c r="W791" s="132"/>
      <c r="X791" s="132"/>
      <c r="Y791" s="132"/>
      <c r="Z791" s="132"/>
    </row>
    <row r="792" spans="3:26" ht="12.75" customHeight="1" x14ac:dyDescent="0.35">
      <c r="C792" s="132"/>
      <c r="V792" s="132"/>
      <c r="W792" s="132"/>
      <c r="X792" s="132"/>
      <c r="Y792" s="132"/>
      <c r="Z792" s="132"/>
    </row>
    <row r="793" spans="3:26" ht="12.75" customHeight="1" x14ac:dyDescent="0.35">
      <c r="C793" s="132"/>
      <c r="V793" s="132"/>
      <c r="W793" s="132"/>
      <c r="X793" s="132"/>
      <c r="Y793" s="132"/>
      <c r="Z793" s="132"/>
    </row>
    <row r="794" spans="3:26" ht="12.75" customHeight="1" x14ac:dyDescent="0.35">
      <c r="C794" s="132"/>
      <c r="V794" s="132"/>
      <c r="W794" s="132"/>
      <c r="X794" s="132"/>
      <c r="Y794" s="132"/>
      <c r="Z794" s="132"/>
    </row>
    <row r="795" spans="3:26" ht="12.75" customHeight="1" x14ac:dyDescent="0.35">
      <c r="C795" s="132"/>
      <c r="V795" s="132"/>
      <c r="W795" s="132"/>
      <c r="X795" s="132"/>
      <c r="Y795" s="132"/>
      <c r="Z795" s="132"/>
    </row>
    <row r="796" spans="3:26" ht="12.75" customHeight="1" x14ac:dyDescent="0.35">
      <c r="C796" s="132"/>
      <c r="V796" s="132"/>
      <c r="W796" s="132"/>
      <c r="X796" s="132"/>
      <c r="Y796" s="132"/>
      <c r="Z796" s="132"/>
    </row>
    <row r="797" spans="3:26" ht="12.75" customHeight="1" x14ac:dyDescent="0.35">
      <c r="C797" s="132"/>
      <c r="V797" s="132"/>
      <c r="W797" s="132"/>
      <c r="X797" s="132"/>
      <c r="Y797" s="132"/>
      <c r="Z797" s="132"/>
    </row>
    <row r="798" spans="3:26" ht="12.75" customHeight="1" x14ac:dyDescent="0.35">
      <c r="C798" s="132"/>
      <c r="V798" s="132"/>
      <c r="W798" s="132"/>
      <c r="X798" s="132"/>
      <c r="Y798" s="132"/>
      <c r="Z798" s="132"/>
    </row>
    <row r="799" spans="3:26" ht="12.75" customHeight="1" x14ac:dyDescent="0.35">
      <c r="C799" s="132"/>
      <c r="V799" s="132"/>
      <c r="W799" s="132"/>
      <c r="X799" s="132"/>
      <c r="Y799" s="132"/>
      <c r="Z799" s="132"/>
    </row>
    <row r="800" spans="3:26" ht="12.75" customHeight="1" x14ac:dyDescent="0.35">
      <c r="C800" s="132"/>
      <c r="V800" s="132"/>
      <c r="W800" s="132"/>
      <c r="X800" s="132"/>
      <c r="Y800" s="132"/>
      <c r="Z800" s="132"/>
    </row>
    <row r="801" spans="3:26" ht="12.75" customHeight="1" x14ac:dyDescent="0.35">
      <c r="C801" s="132"/>
      <c r="V801" s="132"/>
      <c r="W801" s="132"/>
      <c r="X801" s="132"/>
      <c r="Y801" s="132"/>
      <c r="Z801" s="132"/>
    </row>
    <row r="802" spans="3:26" ht="12.75" customHeight="1" x14ac:dyDescent="0.35">
      <c r="C802" s="132"/>
      <c r="V802" s="132"/>
      <c r="W802" s="132"/>
      <c r="X802" s="132"/>
      <c r="Y802" s="132"/>
      <c r="Z802" s="132"/>
    </row>
    <row r="803" spans="3:26" ht="12.75" customHeight="1" x14ac:dyDescent="0.35">
      <c r="C803" s="132"/>
      <c r="V803" s="132"/>
      <c r="W803" s="132"/>
      <c r="X803" s="132"/>
      <c r="Y803" s="132"/>
      <c r="Z803" s="132"/>
    </row>
    <row r="804" spans="3:26" ht="12.75" customHeight="1" x14ac:dyDescent="0.35">
      <c r="C804" s="132"/>
      <c r="V804" s="132"/>
      <c r="W804" s="132"/>
      <c r="X804" s="132"/>
      <c r="Y804" s="132"/>
      <c r="Z804" s="132"/>
    </row>
    <row r="805" spans="3:26" ht="12.75" customHeight="1" x14ac:dyDescent="0.35">
      <c r="C805" s="132"/>
      <c r="V805" s="132"/>
      <c r="W805" s="132"/>
      <c r="X805" s="132"/>
      <c r="Y805" s="132"/>
      <c r="Z805" s="132"/>
    </row>
    <row r="806" spans="3:26" ht="12.75" customHeight="1" x14ac:dyDescent="0.35">
      <c r="C806" s="132"/>
      <c r="V806" s="132"/>
      <c r="W806" s="132"/>
      <c r="X806" s="132"/>
      <c r="Y806" s="132"/>
      <c r="Z806" s="132"/>
    </row>
    <row r="807" spans="3:26" ht="12.75" customHeight="1" x14ac:dyDescent="0.35">
      <c r="C807" s="132"/>
      <c r="V807" s="132"/>
      <c r="W807" s="132"/>
      <c r="X807" s="132"/>
      <c r="Y807" s="132"/>
      <c r="Z807" s="132"/>
    </row>
    <row r="808" spans="3:26" ht="12.75" customHeight="1" x14ac:dyDescent="0.35">
      <c r="C808" s="132"/>
      <c r="V808" s="132"/>
      <c r="W808" s="132"/>
      <c r="X808" s="132"/>
      <c r="Y808" s="132"/>
      <c r="Z808" s="132"/>
    </row>
    <row r="809" spans="3:26" ht="12.75" customHeight="1" x14ac:dyDescent="0.35">
      <c r="C809" s="132"/>
      <c r="V809" s="132"/>
      <c r="W809" s="132"/>
      <c r="X809" s="132"/>
      <c r="Y809" s="132"/>
      <c r="Z809" s="132"/>
    </row>
    <row r="810" spans="3:26" ht="12.75" customHeight="1" x14ac:dyDescent="0.35">
      <c r="C810" s="132"/>
      <c r="V810" s="132"/>
      <c r="W810" s="132"/>
      <c r="X810" s="132"/>
      <c r="Y810" s="132"/>
      <c r="Z810" s="132"/>
    </row>
    <row r="811" spans="3:26" ht="12.75" customHeight="1" x14ac:dyDescent="0.35">
      <c r="C811" s="132"/>
      <c r="V811" s="132"/>
      <c r="W811" s="132"/>
      <c r="X811" s="132"/>
      <c r="Y811" s="132"/>
      <c r="Z811" s="132"/>
    </row>
    <row r="812" spans="3:26" ht="12.75" customHeight="1" x14ac:dyDescent="0.35">
      <c r="C812" s="132"/>
      <c r="V812" s="132"/>
      <c r="W812" s="132"/>
      <c r="X812" s="132"/>
      <c r="Y812" s="132"/>
      <c r="Z812" s="132"/>
    </row>
    <row r="813" spans="3:26" ht="12.75" customHeight="1" x14ac:dyDescent="0.35">
      <c r="C813" s="132"/>
      <c r="V813" s="132"/>
      <c r="W813" s="132"/>
      <c r="X813" s="132"/>
      <c r="Y813" s="132"/>
      <c r="Z813" s="132"/>
    </row>
    <row r="814" spans="3:26" ht="12.75" customHeight="1" x14ac:dyDescent="0.35">
      <c r="C814" s="132"/>
      <c r="V814" s="132"/>
      <c r="W814" s="132"/>
      <c r="X814" s="132"/>
      <c r="Y814" s="132"/>
      <c r="Z814" s="132"/>
    </row>
    <row r="815" spans="3:26" ht="12.75" customHeight="1" x14ac:dyDescent="0.35">
      <c r="C815" s="132"/>
      <c r="V815" s="132"/>
      <c r="W815" s="132"/>
      <c r="X815" s="132"/>
      <c r="Y815" s="132"/>
      <c r="Z815" s="132"/>
    </row>
    <row r="816" spans="3:26" ht="12.75" customHeight="1" x14ac:dyDescent="0.35">
      <c r="C816" s="132"/>
      <c r="V816" s="132"/>
      <c r="W816" s="132"/>
      <c r="X816" s="132"/>
      <c r="Y816" s="132"/>
      <c r="Z816" s="132"/>
    </row>
    <row r="817" spans="3:26" ht="12.75" customHeight="1" x14ac:dyDescent="0.35">
      <c r="C817" s="132"/>
      <c r="V817" s="132"/>
      <c r="W817" s="132"/>
      <c r="X817" s="132"/>
      <c r="Y817" s="132"/>
      <c r="Z817" s="132"/>
    </row>
    <row r="818" spans="3:26" ht="12.75" customHeight="1" x14ac:dyDescent="0.35">
      <c r="C818" s="132"/>
      <c r="V818" s="132"/>
      <c r="W818" s="132"/>
      <c r="X818" s="132"/>
      <c r="Y818" s="132"/>
      <c r="Z818" s="132"/>
    </row>
    <row r="819" spans="3:26" ht="12.75" customHeight="1" x14ac:dyDescent="0.35">
      <c r="C819" s="132"/>
      <c r="V819" s="132"/>
      <c r="W819" s="132"/>
      <c r="X819" s="132"/>
      <c r="Y819" s="132"/>
      <c r="Z819" s="132"/>
    </row>
    <row r="820" spans="3:26" ht="12.75" customHeight="1" x14ac:dyDescent="0.35">
      <c r="C820" s="132"/>
      <c r="V820" s="132"/>
      <c r="W820" s="132"/>
      <c r="X820" s="132"/>
      <c r="Y820" s="132"/>
      <c r="Z820" s="132"/>
    </row>
    <row r="821" spans="3:26" ht="12.75" customHeight="1" x14ac:dyDescent="0.35">
      <c r="C821" s="132"/>
      <c r="V821" s="132"/>
      <c r="W821" s="132"/>
      <c r="X821" s="132"/>
      <c r="Y821" s="132"/>
      <c r="Z821" s="132"/>
    </row>
    <row r="822" spans="3:26" ht="12.75" customHeight="1" x14ac:dyDescent="0.35">
      <c r="C822" s="132"/>
      <c r="V822" s="132"/>
      <c r="W822" s="132"/>
      <c r="X822" s="132"/>
      <c r="Y822" s="132"/>
      <c r="Z822" s="132"/>
    </row>
    <row r="823" spans="3:26" ht="12.75" customHeight="1" x14ac:dyDescent="0.35">
      <c r="C823" s="132"/>
      <c r="V823" s="132"/>
      <c r="W823" s="132"/>
      <c r="X823" s="132"/>
      <c r="Y823" s="132"/>
      <c r="Z823" s="132"/>
    </row>
    <row r="824" spans="3:26" ht="12.75" customHeight="1" x14ac:dyDescent="0.35">
      <c r="C824" s="132"/>
      <c r="V824" s="132"/>
      <c r="W824" s="132"/>
      <c r="X824" s="132"/>
      <c r="Y824" s="132"/>
      <c r="Z824" s="132"/>
    </row>
    <row r="825" spans="3:26" ht="12.75" customHeight="1" x14ac:dyDescent="0.35">
      <c r="C825" s="132"/>
      <c r="V825" s="132"/>
      <c r="W825" s="132"/>
      <c r="X825" s="132"/>
      <c r="Y825" s="132"/>
      <c r="Z825" s="132"/>
    </row>
    <row r="826" spans="3:26" ht="12.75" customHeight="1" x14ac:dyDescent="0.35">
      <c r="C826" s="132"/>
      <c r="V826" s="132"/>
      <c r="W826" s="132"/>
      <c r="X826" s="132"/>
      <c r="Y826" s="132"/>
      <c r="Z826" s="132"/>
    </row>
    <row r="827" spans="3:26" ht="12.75" customHeight="1" x14ac:dyDescent="0.35">
      <c r="C827" s="132"/>
      <c r="V827" s="132"/>
      <c r="W827" s="132"/>
      <c r="X827" s="132"/>
      <c r="Y827" s="132"/>
      <c r="Z827" s="132"/>
    </row>
    <row r="828" spans="3:26" ht="12.75" customHeight="1" x14ac:dyDescent="0.35">
      <c r="C828" s="132"/>
      <c r="V828" s="132"/>
      <c r="W828" s="132"/>
      <c r="X828" s="132"/>
      <c r="Y828" s="132"/>
      <c r="Z828" s="132"/>
    </row>
    <row r="829" spans="3:26" ht="12.75" customHeight="1" x14ac:dyDescent="0.35">
      <c r="C829" s="132"/>
      <c r="V829" s="132"/>
      <c r="W829" s="132"/>
      <c r="X829" s="132"/>
      <c r="Y829" s="132"/>
      <c r="Z829" s="132"/>
    </row>
    <row r="830" spans="3:26" ht="12.75" customHeight="1" x14ac:dyDescent="0.35">
      <c r="C830" s="132"/>
      <c r="V830" s="132"/>
      <c r="W830" s="132"/>
      <c r="X830" s="132"/>
      <c r="Y830" s="132"/>
      <c r="Z830" s="132"/>
    </row>
    <row r="831" spans="3:26" ht="12.75" customHeight="1" x14ac:dyDescent="0.35">
      <c r="C831" s="132"/>
      <c r="V831" s="132"/>
      <c r="W831" s="132"/>
      <c r="X831" s="132"/>
      <c r="Y831" s="132"/>
      <c r="Z831" s="132"/>
    </row>
    <row r="832" spans="3:26" ht="12.75" customHeight="1" x14ac:dyDescent="0.35">
      <c r="C832" s="132"/>
      <c r="V832" s="132"/>
      <c r="W832" s="132"/>
      <c r="X832" s="132"/>
      <c r="Y832" s="132"/>
      <c r="Z832" s="132"/>
    </row>
    <row r="833" spans="3:26" ht="12.75" customHeight="1" x14ac:dyDescent="0.35">
      <c r="C833" s="132"/>
      <c r="V833" s="132"/>
      <c r="W833" s="132"/>
      <c r="X833" s="132"/>
      <c r="Y833" s="132"/>
      <c r="Z833" s="132"/>
    </row>
    <row r="834" spans="3:26" ht="12.75" customHeight="1" x14ac:dyDescent="0.35">
      <c r="C834" s="132"/>
      <c r="V834" s="132"/>
      <c r="W834" s="132"/>
      <c r="X834" s="132"/>
      <c r="Y834" s="132"/>
      <c r="Z834" s="132"/>
    </row>
    <row r="835" spans="3:26" ht="12.75" customHeight="1" x14ac:dyDescent="0.35">
      <c r="C835" s="132"/>
      <c r="V835" s="132"/>
      <c r="W835" s="132"/>
      <c r="X835" s="132"/>
      <c r="Y835" s="132"/>
      <c r="Z835" s="132"/>
    </row>
    <row r="836" spans="3:26" ht="12.75" customHeight="1" x14ac:dyDescent="0.35">
      <c r="C836" s="132"/>
      <c r="V836" s="132"/>
      <c r="W836" s="132"/>
      <c r="X836" s="132"/>
      <c r="Y836" s="132"/>
      <c r="Z836" s="132"/>
    </row>
    <row r="837" spans="3:26" ht="12.75" customHeight="1" x14ac:dyDescent="0.35">
      <c r="C837" s="132"/>
      <c r="V837" s="132"/>
      <c r="W837" s="132"/>
      <c r="X837" s="132"/>
      <c r="Y837" s="132"/>
      <c r="Z837" s="132"/>
    </row>
    <row r="838" spans="3:26" ht="12.75" customHeight="1" x14ac:dyDescent="0.35">
      <c r="C838" s="132"/>
      <c r="V838" s="132"/>
      <c r="W838" s="132"/>
      <c r="X838" s="132"/>
      <c r="Y838" s="132"/>
      <c r="Z838" s="132"/>
    </row>
    <row r="839" spans="3:26" ht="12.75" customHeight="1" x14ac:dyDescent="0.35">
      <c r="C839" s="132"/>
      <c r="V839" s="132"/>
      <c r="W839" s="132"/>
      <c r="X839" s="132"/>
      <c r="Y839" s="132"/>
      <c r="Z839" s="132"/>
    </row>
    <row r="840" spans="3:26" ht="12.75" customHeight="1" x14ac:dyDescent="0.35">
      <c r="C840" s="132"/>
      <c r="V840" s="132"/>
      <c r="W840" s="132"/>
      <c r="X840" s="132"/>
      <c r="Y840" s="132"/>
      <c r="Z840" s="132"/>
    </row>
    <row r="841" spans="3:26" ht="12.75" customHeight="1" x14ac:dyDescent="0.35">
      <c r="C841" s="132"/>
      <c r="V841" s="132"/>
      <c r="W841" s="132"/>
      <c r="X841" s="132"/>
      <c r="Y841" s="132"/>
      <c r="Z841" s="132"/>
    </row>
    <row r="842" spans="3:26" ht="12.75" customHeight="1" x14ac:dyDescent="0.35">
      <c r="C842" s="132"/>
      <c r="V842" s="132"/>
      <c r="W842" s="132"/>
      <c r="X842" s="132"/>
      <c r="Y842" s="132"/>
      <c r="Z842" s="132"/>
    </row>
    <row r="843" spans="3:26" ht="12.75" customHeight="1" x14ac:dyDescent="0.35">
      <c r="C843" s="132"/>
      <c r="V843" s="132"/>
      <c r="W843" s="132"/>
      <c r="X843" s="132"/>
      <c r="Y843" s="132"/>
      <c r="Z843" s="132"/>
    </row>
    <row r="844" spans="3:26" ht="12.75" customHeight="1" x14ac:dyDescent="0.35">
      <c r="C844" s="132"/>
      <c r="V844" s="132"/>
      <c r="W844" s="132"/>
      <c r="X844" s="132"/>
      <c r="Y844" s="132"/>
      <c r="Z844" s="132"/>
    </row>
    <row r="845" spans="3:26" ht="12.75" customHeight="1" x14ac:dyDescent="0.35">
      <c r="C845" s="132"/>
      <c r="V845" s="132"/>
      <c r="W845" s="132"/>
      <c r="X845" s="132"/>
      <c r="Y845" s="132"/>
      <c r="Z845" s="132"/>
    </row>
    <row r="846" spans="3:26" ht="12.75" customHeight="1" x14ac:dyDescent="0.35">
      <c r="C846" s="132"/>
      <c r="V846" s="132"/>
      <c r="W846" s="132"/>
      <c r="X846" s="132"/>
      <c r="Y846" s="132"/>
      <c r="Z846" s="132"/>
    </row>
    <row r="847" spans="3:26" ht="12.75" customHeight="1" x14ac:dyDescent="0.35">
      <c r="C847" s="132"/>
      <c r="V847" s="132"/>
      <c r="W847" s="132"/>
      <c r="X847" s="132"/>
      <c r="Y847" s="132"/>
      <c r="Z847" s="132"/>
    </row>
    <row r="848" spans="3:26" ht="12.75" customHeight="1" x14ac:dyDescent="0.35">
      <c r="C848" s="132"/>
      <c r="V848" s="132"/>
      <c r="W848" s="132"/>
      <c r="X848" s="132"/>
      <c r="Y848" s="132"/>
      <c r="Z848" s="132"/>
    </row>
    <row r="849" spans="3:26" ht="12.75" customHeight="1" x14ac:dyDescent="0.35">
      <c r="C849" s="132"/>
      <c r="V849" s="132"/>
      <c r="W849" s="132"/>
      <c r="X849" s="132"/>
      <c r="Y849" s="132"/>
      <c r="Z849" s="132"/>
    </row>
    <row r="850" spans="3:26" ht="12.75" customHeight="1" x14ac:dyDescent="0.35">
      <c r="C850" s="132"/>
      <c r="V850" s="132"/>
      <c r="W850" s="132"/>
      <c r="X850" s="132"/>
      <c r="Y850" s="132"/>
      <c r="Z850" s="132"/>
    </row>
    <row r="851" spans="3:26" ht="12.75" customHeight="1" x14ac:dyDescent="0.35">
      <c r="C851" s="132"/>
      <c r="V851" s="132"/>
      <c r="W851" s="132"/>
      <c r="X851" s="132"/>
      <c r="Y851" s="132"/>
      <c r="Z851" s="132"/>
    </row>
    <row r="852" spans="3:26" ht="12.75" customHeight="1" x14ac:dyDescent="0.35">
      <c r="C852" s="132"/>
      <c r="V852" s="132"/>
      <c r="W852" s="132"/>
      <c r="X852" s="132"/>
      <c r="Y852" s="132"/>
      <c r="Z852" s="132"/>
    </row>
    <row r="853" spans="3:26" ht="12.75" customHeight="1" x14ac:dyDescent="0.35">
      <c r="C853" s="132"/>
      <c r="V853" s="132"/>
      <c r="W853" s="132"/>
      <c r="X853" s="132"/>
      <c r="Y853" s="132"/>
      <c r="Z853" s="132"/>
    </row>
    <row r="854" spans="3:26" ht="12.75" customHeight="1" x14ac:dyDescent="0.35">
      <c r="C854" s="132"/>
      <c r="V854" s="132"/>
      <c r="W854" s="132"/>
      <c r="X854" s="132"/>
      <c r="Y854" s="132"/>
      <c r="Z854" s="132"/>
    </row>
    <row r="855" spans="3:26" ht="12.75" customHeight="1" x14ac:dyDescent="0.35">
      <c r="C855" s="132"/>
      <c r="V855" s="132"/>
      <c r="W855" s="132"/>
      <c r="X855" s="132"/>
      <c r="Y855" s="132"/>
      <c r="Z855" s="132"/>
    </row>
    <row r="856" spans="3:26" ht="12.75" customHeight="1" x14ac:dyDescent="0.35">
      <c r="C856" s="132"/>
      <c r="V856" s="132"/>
      <c r="W856" s="132"/>
      <c r="X856" s="132"/>
      <c r="Y856" s="132"/>
      <c r="Z856" s="132"/>
    </row>
    <row r="857" spans="3:26" ht="12.75" customHeight="1" x14ac:dyDescent="0.35">
      <c r="C857" s="132"/>
      <c r="V857" s="132"/>
      <c r="W857" s="132"/>
      <c r="X857" s="132"/>
      <c r="Y857" s="132"/>
      <c r="Z857" s="132"/>
    </row>
    <row r="858" spans="3:26" ht="12.75" customHeight="1" x14ac:dyDescent="0.35">
      <c r="C858" s="132"/>
      <c r="V858" s="132"/>
      <c r="W858" s="132"/>
      <c r="X858" s="132"/>
      <c r="Y858" s="132"/>
      <c r="Z858" s="132"/>
    </row>
    <row r="859" spans="3:26" ht="12.75" customHeight="1" x14ac:dyDescent="0.35">
      <c r="C859" s="132"/>
      <c r="V859" s="132"/>
      <c r="W859" s="132"/>
      <c r="X859" s="132"/>
      <c r="Y859" s="132"/>
      <c r="Z859" s="132"/>
    </row>
    <row r="860" spans="3:26" ht="12.75" customHeight="1" x14ac:dyDescent="0.35">
      <c r="C860" s="132"/>
      <c r="V860" s="132"/>
      <c r="W860" s="132"/>
      <c r="X860" s="132"/>
      <c r="Y860" s="132"/>
      <c r="Z860" s="132"/>
    </row>
    <row r="861" spans="3:26" ht="12.75" customHeight="1" x14ac:dyDescent="0.35">
      <c r="C861" s="132"/>
      <c r="V861" s="132"/>
      <c r="W861" s="132"/>
      <c r="X861" s="132"/>
      <c r="Y861" s="132"/>
      <c r="Z861" s="132"/>
    </row>
    <row r="862" spans="3:26" ht="12.75" customHeight="1" x14ac:dyDescent="0.35">
      <c r="C862" s="132"/>
      <c r="V862" s="132"/>
      <c r="W862" s="132"/>
      <c r="X862" s="132"/>
      <c r="Y862" s="132"/>
      <c r="Z862" s="132"/>
    </row>
    <row r="863" spans="3:26" ht="12.75" customHeight="1" x14ac:dyDescent="0.35">
      <c r="C863" s="132"/>
      <c r="V863" s="132"/>
      <c r="W863" s="132"/>
      <c r="X863" s="132"/>
      <c r="Y863" s="132"/>
      <c r="Z863" s="132"/>
    </row>
    <row r="864" spans="3:26" ht="12.75" customHeight="1" x14ac:dyDescent="0.35">
      <c r="C864" s="132"/>
      <c r="V864" s="132"/>
      <c r="W864" s="132"/>
      <c r="X864" s="132"/>
      <c r="Y864" s="132"/>
      <c r="Z864" s="132"/>
    </row>
    <row r="865" spans="3:26" ht="12.75" customHeight="1" x14ac:dyDescent="0.35">
      <c r="C865" s="132"/>
      <c r="V865" s="132"/>
      <c r="W865" s="132"/>
      <c r="X865" s="132"/>
      <c r="Y865" s="132"/>
      <c r="Z865" s="132"/>
    </row>
    <row r="866" spans="3:26" ht="12.75" customHeight="1" x14ac:dyDescent="0.35">
      <c r="C866" s="132"/>
      <c r="V866" s="132"/>
      <c r="W866" s="132"/>
      <c r="X866" s="132"/>
      <c r="Y866" s="132"/>
      <c r="Z866" s="132"/>
    </row>
    <row r="867" spans="3:26" ht="12.75" customHeight="1" x14ac:dyDescent="0.35">
      <c r="C867" s="132"/>
      <c r="V867" s="132"/>
      <c r="W867" s="132"/>
      <c r="X867" s="132"/>
      <c r="Y867" s="132"/>
      <c r="Z867" s="132"/>
    </row>
    <row r="868" spans="3:26" ht="12.75" customHeight="1" x14ac:dyDescent="0.35">
      <c r="C868" s="132"/>
      <c r="V868" s="132"/>
      <c r="W868" s="132"/>
      <c r="X868" s="132"/>
      <c r="Y868" s="132"/>
      <c r="Z868" s="132"/>
    </row>
    <row r="869" spans="3:26" ht="12.75" customHeight="1" x14ac:dyDescent="0.35">
      <c r="C869" s="132"/>
      <c r="V869" s="132"/>
      <c r="W869" s="132"/>
      <c r="X869" s="132"/>
      <c r="Y869" s="132"/>
      <c r="Z869" s="132"/>
    </row>
    <row r="870" spans="3:26" ht="12.75" customHeight="1" x14ac:dyDescent="0.35">
      <c r="C870" s="132"/>
      <c r="V870" s="132"/>
      <c r="W870" s="132"/>
      <c r="X870" s="132"/>
      <c r="Y870" s="132"/>
      <c r="Z870" s="132"/>
    </row>
    <row r="871" spans="3:26" ht="12.75" customHeight="1" x14ac:dyDescent="0.35">
      <c r="C871" s="132"/>
      <c r="V871" s="132"/>
      <c r="W871" s="132"/>
      <c r="X871" s="132"/>
      <c r="Y871" s="132"/>
      <c r="Z871" s="132"/>
    </row>
    <row r="872" spans="3:26" ht="12.75" customHeight="1" x14ac:dyDescent="0.35">
      <c r="C872" s="132"/>
      <c r="V872" s="132"/>
      <c r="W872" s="132"/>
      <c r="X872" s="132"/>
      <c r="Y872" s="132"/>
      <c r="Z872" s="132"/>
    </row>
    <row r="873" spans="3:26" ht="12.75" customHeight="1" x14ac:dyDescent="0.35">
      <c r="C873" s="132"/>
      <c r="V873" s="132"/>
      <c r="W873" s="132"/>
      <c r="X873" s="132"/>
      <c r="Y873" s="132"/>
      <c r="Z873" s="132"/>
    </row>
    <row r="874" spans="3:26" ht="12.75" customHeight="1" x14ac:dyDescent="0.35">
      <c r="C874" s="132"/>
      <c r="V874" s="132"/>
      <c r="W874" s="132"/>
      <c r="X874" s="132"/>
      <c r="Y874" s="132"/>
      <c r="Z874" s="132"/>
    </row>
    <row r="875" spans="3:26" ht="12.75" customHeight="1" x14ac:dyDescent="0.35">
      <c r="C875" s="132"/>
      <c r="V875" s="132"/>
      <c r="W875" s="132"/>
      <c r="X875" s="132"/>
      <c r="Y875" s="132"/>
      <c r="Z875" s="132"/>
    </row>
    <row r="876" spans="3:26" ht="12.75" customHeight="1" x14ac:dyDescent="0.35">
      <c r="C876" s="132"/>
      <c r="V876" s="132"/>
      <c r="W876" s="132"/>
      <c r="X876" s="132"/>
      <c r="Y876" s="132"/>
      <c r="Z876" s="132"/>
    </row>
    <row r="877" spans="3:26" ht="12.75" customHeight="1" x14ac:dyDescent="0.35">
      <c r="C877" s="132"/>
      <c r="V877" s="132"/>
      <c r="W877" s="132"/>
      <c r="X877" s="132"/>
      <c r="Y877" s="132"/>
      <c r="Z877" s="132"/>
    </row>
    <row r="878" spans="3:26" ht="12.75" customHeight="1" x14ac:dyDescent="0.35">
      <c r="C878" s="132"/>
      <c r="V878" s="132"/>
      <c r="W878" s="132"/>
      <c r="X878" s="132"/>
      <c r="Y878" s="132"/>
      <c r="Z878" s="132"/>
    </row>
    <row r="879" spans="3:26" ht="12.75" customHeight="1" x14ac:dyDescent="0.35">
      <c r="C879" s="132"/>
      <c r="V879" s="132"/>
      <c r="W879" s="132"/>
      <c r="X879" s="132"/>
      <c r="Y879" s="132"/>
      <c r="Z879" s="132"/>
    </row>
    <row r="880" spans="3:26" ht="12.75" customHeight="1" x14ac:dyDescent="0.35">
      <c r="C880" s="132"/>
      <c r="V880" s="132"/>
      <c r="W880" s="132"/>
      <c r="X880" s="132"/>
      <c r="Y880" s="132"/>
      <c r="Z880" s="132"/>
    </row>
    <row r="881" spans="3:26" ht="12.75" customHeight="1" x14ac:dyDescent="0.35">
      <c r="C881" s="132"/>
      <c r="V881" s="132"/>
      <c r="W881" s="132"/>
      <c r="X881" s="132"/>
      <c r="Y881" s="132"/>
      <c r="Z881" s="132"/>
    </row>
    <row r="882" spans="3:26" ht="12.75" customHeight="1" x14ac:dyDescent="0.35">
      <c r="C882" s="132"/>
      <c r="V882" s="132"/>
      <c r="W882" s="132"/>
      <c r="X882" s="132"/>
      <c r="Y882" s="132"/>
      <c r="Z882" s="132"/>
    </row>
    <row r="883" spans="3:26" ht="12.75" customHeight="1" x14ac:dyDescent="0.35">
      <c r="C883" s="132"/>
      <c r="V883" s="132"/>
      <c r="W883" s="132"/>
      <c r="X883" s="132"/>
      <c r="Y883" s="132"/>
      <c r="Z883" s="132"/>
    </row>
    <row r="884" spans="3:26" ht="12.75" customHeight="1" x14ac:dyDescent="0.35">
      <c r="C884" s="132"/>
      <c r="V884" s="132"/>
      <c r="W884" s="132"/>
      <c r="X884" s="132"/>
      <c r="Y884" s="132"/>
      <c r="Z884" s="132"/>
    </row>
    <row r="885" spans="3:26" ht="12.75" customHeight="1" x14ac:dyDescent="0.35">
      <c r="C885" s="132"/>
      <c r="V885" s="132"/>
      <c r="W885" s="132"/>
      <c r="X885" s="132"/>
      <c r="Y885" s="132"/>
      <c r="Z885" s="132"/>
    </row>
    <row r="886" spans="3:26" ht="12.75" customHeight="1" x14ac:dyDescent="0.35">
      <c r="C886" s="132"/>
      <c r="V886" s="132"/>
      <c r="W886" s="132"/>
      <c r="X886" s="132"/>
      <c r="Y886" s="132"/>
      <c r="Z886" s="132"/>
    </row>
    <row r="887" spans="3:26" ht="12.75" customHeight="1" x14ac:dyDescent="0.35">
      <c r="C887" s="132"/>
      <c r="V887" s="132"/>
      <c r="W887" s="132"/>
      <c r="X887" s="132"/>
      <c r="Y887" s="132"/>
      <c r="Z887" s="132"/>
    </row>
    <row r="888" spans="3:26" ht="12.75" customHeight="1" x14ac:dyDescent="0.35">
      <c r="C888" s="132"/>
      <c r="V888" s="132"/>
      <c r="W888" s="132"/>
      <c r="X888" s="132"/>
      <c r="Y888" s="132"/>
      <c r="Z888" s="132"/>
    </row>
    <row r="889" spans="3:26" ht="12.75" customHeight="1" x14ac:dyDescent="0.35">
      <c r="C889" s="132"/>
      <c r="V889" s="132"/>
      <c r="W889" s="132"/>
      <c r="X889" s="132"/>
      <c r="Y889" s="132"/>
      <c r="Z889" s="132"/>
    </row>
    <row r="890" spans="3:26" ht="12.75" customHeight="1" x14ac:dyDescent="0.35">
      <c r="C890" s="132"/>
      <c r="V890" s="132"/>
      <c r="W890" s="132"/>
      <c r="X890" s="132"/>
      <c r="Y890" s="132"/>
      <c r="Z890" s="132"/>
    </row>
    <row r="891" spans="3:26" ht="12.75" customHeight="1" x14ac:dyDescent="0.35">
      <c r="C891" s="132"/>
      <c r="V891" s="132"/>
      <c r="W891" s="132"/>
      <c r="X891" s="132"/>
      <c r="Y891" s="132"/>
      <c r="Z891" s="132"/>
    </row>
    <row r="892" spans="3:26" ht="12.75" customHeight="1" x14ac:dyDescent="0.35">
      <c r="C892" s="132"/>
      <c r="V892" s="132"/>
      <c r="W892" s="132"/>
      <c r="X892" s="132"/>
      <c r="Y892" s="132"/>
      <c r="Z892" s="132"/>
    </row>
    <row r="893" spans="3:26" ht="12.75" customHeight="1" x14ac:dyDescent="0.35">
      <c r="C893" s="132"/>
      <c r="V893" s="132"/>
      <c r="W893" s="132"/>
      <c r="X893" s="132"/>
      <c r="Y893" s="132"/>
      <c r="Z893" s="132"/>
    </row>
    <row r="894" spans="3:26" ht="12.75" customHeight="1" x14ac:dyDescent="0.35">
      <c r="C894" s="132"/>
      <c r="V894" s="132"/>
      <c r="W894" s="132"/>
      <c r="X894" s="132"/>
      <c r="Y894" s="132"/>
      <c r="Z894" s="132"/>
    </row>
    <row r="895" spans="3:26" ht="12.75" customHeight="1" x14ac:dyDescent="0.35">
      <c r="C895" s="132"/>
      <c r="V895" s="132"/>
      <c r="W895" s="132"/>
      <c r="X895" s="132"/>
      <c r="Y895" s="132"/>
      <c r="Z895" s="132"/>
    </row>
    <row r="896" spans="3:26" ht="12.75" customHeight="1" x14ac:dyDescent="0.35">
      <c r="C896" s="132"/>
      <c r="V896" s="132"/>
      <c r="W896" s="132"/>
      <c r="X896" s="132"/>
      <c r="Y896" s="132"/>
      <c r="Z896" s="132"/>
    </row>
    <row r="897" spans="3:26" ht="12.75" customHeight="1" x14ac:dyDescent="0.35">
      <c r="C897" s="132"/>
      <c r="V897" s="132"/>
      <c r="W897" s="132"/>
      <c r="X897" s="132"/>
      <c r="Y897" s="132"/>
      <c r="Z897" s="132"/>
    </row>
    <row r="898" spans="3:26" ht="12.75" customHeight="1" x14ac:dyDescent="0.35">
      <c r="C898" s="132"/>
      <c r="V898" s="132"/>
      <c r="W898" s="132"/>
      <c r="X898" s="132"/>
      <c r="Y898" s="132"/>
      <c r="Z898" s="132"/>
    </row>
    <row r="899" spans="3:26" ht="12.75" customHeight="1" x14ac:dyDescent="0.35">
      <c r="C899" s="132"/>
      <c r="V899" s="132"/>
      <c r="W899" s="132"/>
      <c r="X899" s="132"/>
      <c r="Y899" s="132"/>
      <c r="Z899" s="132"/>
    </row>
    <row r="900" spans="3:26" ht="12.75" customHeight="1" x14ac:dyDescent="0.35">
      <c r="C900" s="132"/>
      <c r="V900" s="132"/>
      <c r="W900" s="132"/>
      <c r="X900" s="132"/>
      <c r="Y900" s="132"/>
      <c r="Z900" s="132"/>
    </row>
    <row r="901" spans="3:26" ht="12.75" customHeight="1" x14ac:dyDescent="0.35">
      <c r="C901" s="132"/>
      <c r="V901" s="132"/>
      <c r="W901" s="132"/>
      <c r="X901" s="132"/>
      <c r="Y901" s="132"/>
      <c r="Z901" s="132"/>
    </row>
    <row r="902" spans="3:26" ht="12.75" customHeight="1" x14ac:dyDescent="0.35">
      <c r="C902" s="132"/>
      <c r="V902" s="132"/>
      <c r="W902" s="132"/>
      <c r="X902" s="132"/>
      <c r="Y902" s="132"/>
      <c r="Z902" s="132"/>
    </row>
    <row r="903" spans="3:26" ht="12.75" customHeight="1" x14ac:dyDescent="0.35">
      <c r="C903" s="132"/>
      <c r="V903" s="132"/>
      <c r="W903" s="132"/>
      <c r="X903" s="132"/>
      <c r="Y903" s="132"/>
      <c r="Z903" s="132"/>
    </row>
    <row r="904" spans="3:26" ht="12.75" customHeight="1" x14ac:dyDescent="0.35">
      <c r="C904" s="132"/>
      <c r="V904" s="132"/>
      <c r="W904" s="132"/>
      <c r="X904" s="132"/>
      <c r="Y904" s="132"/>
      <c r="Z904" s="132"/>
    </row>
    <row r="905" spans="3:26" ht="12.75" customHeight="1" x14ac:dyDescent="0.35">
      <c r="C905" s="132"/>
      <c r="V905" s="132"/>
      <c r="W905" s="132"/>
      <c r="X905" s="132"/>
      <c r="Y905" s="132"/>
      <c r="Z905" s="132"/>
    </row>
    <row r="906" spans="3:26" ht="12.75" customHeight="1" x14ac:dyDescent="0.35">
      <c r="C906" s="132"/>
      <c r="V906" s="132"/>
      <c r="W906" s="132"/>
      <c r="X906" s="132"/>
      <c r="Y906" s="132"/>
      <c r="Z906" s="132"/>
    </row>
    <row r="907" spans="3:26" ht="12.75" customHeight="1" x14ac:dyDescent="0.35">
      <c r="C907" s="132"/>
      <c r="V907" s="132"/>
      <c r="W907" s="132"/>
      <c r="X907" s="132"/>
      <c r="Y907" s="132"/>
      <c r="Z907" s="132"/>
    </row>
    <row r="908" spans="3:26" ht="12.75" customHeight="1" x14ac:dyDescent="0.35">
      <c r="C908" s="132"/>
      <c r="V908" s="132"/>
      <c r="W908" s="132"/>
      <c r="X908" s="132"/>
      <c r="Y908" s="132"/>
      <c r="Z908" s="132"/>
    </row>
    <row r="909" spans="3:26" ht="12.75" customHeight="1" x14ac:dyDescent="0.35">
      <c r="C909" s="132"/>
      <c r="V909" s="132"/>
      <c r="W909" s="132"/>
      <c r="X909" s="132"/>
      <c r="Y909" s="132"/>
      <c r="Z909" s="132"/>
    </row>
    <row r="910" spans="3:26" ht="12.75" customHeight="1" x14ac:dyDescent="0.35">
      <c r="C910" s="132"/>
      <c r="V910" s="132"/>
      <c r="W910" s="132"/>
      <c r="X910" s="132"/>
      <c r="Y910" s="132"/>
      <c r="Z910" s="132"/>
    </row>
    <row r="911" spans="3:26" ht="12.75" customHeight="1" x14ac:dyDescent="0.35">
      <c r="C911" s="132"/>
      <c r="V911" s="132"/>
      <c r="W911" s="132"/>
      <c r="X911" s="132"/>
      <c r="Y911" s="132"/>
      <c r="Z911" s="132"/>
    </row>
    <row r="912" spans="3:26" ht="12.75" customHeight="1" x14ac:dyDescent="0.35">
      <c r="C912" s="132"/>
      <c r="V912" s="132"/>
      <c r="W912" s="132"/>
      <c r="X912" s="132"/>
      <c r="Y912" s="132"/>
      <c r="Z912" s="132"/>
    </row>
    <row r="913" spans="3:26" ht="12.75" customHeight="1" x14ac:dyDescent="0.35">
      <c r="C913" s="132"/>
      <c r="V913" s="132"/>
      <c r="W913" s="132"/>
      <c r="X913" s="132"/>
      <c r="Y913" s="132"/>
      <c r="Z913" s="132"/>
    </row>
    <row r="914" spans="3:26" ht="12.75" customHeight="1" x14ac:dyDescent="0.35">
      <c r="C914" s="132"/>
      <c r="V914" s="132"/>
      <c r="W914" s="132"/>
      <c r="X914" s="132"/>
      <c r="Y914" s="132"/>
      <c r="Z914" s="132"/>
    </row>
    <row r="915" spans="3:26" ht="12.75" customHeight="1" x14ac:dyDescent="0.35">
      <c r="C915" s="132"/>
      <c r="V915" s="132"/>
      <c r="W915" s="132"/>
      <c r="X915" s="132"/>
      <c r="Y915" s="132"/>
      <c r="Z915" s="132"/>
    </row>
    <row r="916" spans="3:26" ht="12.75" customHeight="1" x14ac:dyDescent="0.35">
      <c r="C916" s="132"/>
      <c r="V916" s="132"/>
      <c r="W916" s="132"/>
      <c r="X916" s="132"/>
      <c r="Y916" s="132"/>
      <c r="Z916" s="132"/>
    </row>
    <row r="917" spans="3:26" ht="12.75" customHeight="1" x14ac:dyDescent="0.35">
      <c r="C917" s="132"/>
      <c r="V917" s="132"/>
      <c r="W917" s="132"/>
      <c r="X917" s="132"/>
      <c r="Y917" s="132"/>
      <c r="Z917" s="132"/>
    </row>
    <row r="918" spans="3:26" ht="12.75" customHeight="1" x14ac:dyDescent="0.35">
      <c r="C918" s="132"/>
      <c r="V918" s="132"/>
      <c r="W918" s="132"/>
      <c r="X918" s="132"/>
      <c r="Y918" s="132"/>
      <c r="Z918" s="132"/>
    </row>
    <row r="919" spans="3:26" ht="12.75" customHeight="1" x14ac:dyDescent="0.35">
      <c r="C919" s="132"/>
      <c r="V919" s="132"/>
      <c r="W919" s="132"/>
      <c r="X919" s="132"/>
      <c r="Y919" s="132"/>
      <c r="Z919" s="132"/>
    </row>
    <row r="920" spans="3:26" ht="12.75" customHeight="1" x14ac:dyDescent="0.35">
      <c r="C920" s="132"/>
      <c r="V920" s="132"/>
      <c r="W920" s="132"/>
      <c r="X920" s="132"/>
      <c r="Y920" s="132"/>
      <c r="Z920" s="132"/>
    </row>
    <row r="921" spans="3:26" ht="12.75" customHeight="1" x14ac:dyDescent="0.35">
      <c r="C921" s="132"/>
      <c r="V921" s="132"/>
      <c r="W921" s="132"/>
      <c r="X921" s="132"/>
      <c r="Y921" s="132"/>
      <c r="Z921" s="132"/>
    </row>
    <row r="922" spans="3:26" ht="12.75" customHeight="1" x14ac:dyDescent="0.35">
      <c r="C922" s="132"/>
      <c r="V922" s="132"/>
      <c r="W922" s="132"/>
      <c r="X922" s="132"/>
      <c r="Y922" s="132"/>
      <c r="Z922" s="132"/>
    </row>
    <row r="923" spans="3:26" ht="12.75" customHeight="1" x14ac:dyDescent="0.35">
      <c r="C923" s="132"/>
      <c r="V923" s="132"/>
      <c r="W923" s="132"/>
      <c r="X923" s="132"/>
      <c r="Y923" s="132"/>
      <c r="Z923" s="132"/>
    </row>
    <row r="924" spans="3:26" ht="12.75" customHeight="1" x14ac:dyDescent="0.35">
      <c r="C924" s="132"/>
      <c r="V924" s="132"/>
      <c r="W924" s="132"/>
      <c r="X924" s="132"/>
      <c r="Y924" s="132"/>
      <c r="Z924" s="132"/>
    </row>
    <row r="925" spans="3:26" ht="12.75" customHeight="1" x14ac:dyDescent="0.35">
      <c r="C925" s="132"/>
      <c r="V925" s="132"/>
      <c r="W925" s="132"/>
      <c r="X925" s="132"/>
      <c r="Y925" s="132"/>
      <c r="Z925" s="132"/>
    </row>
    <row r="926" spans="3:26" ht="12.75" customHeight="1" x14ac:dyDescent="0.35">
      <c r="C926" s="132"/>
      <c r="V926" s="132"/>
      <c r="W926" s="132"/>
      <c r="X926" s="132"/>
      <c r="Y926" s="132"/>
      <c r="Z926" s="132"/>
    </row>
    <row r="927" spans="3:26" ht="12.75" customHeight="1" x14ac:dyDescent="0.35">
      <c r="C927" s="132"/>
      <c r="V927" s="132"/>
      <c r="W927" s="132"/>
      <c r="X927" s="132"/>
      <c r="Y927" s="132"/>
      <c r="Z927" s="132"/>
    </row>
    <row r="928" spans="3:26" ht="12.75" customHeight="1" x14ac:dyDescent="0.35">
      <c r="C928" s="132"/>
      <c r="V928" s="132"/>
      <c r="W928" s="132"/>
      <c r="X928" s="132"/>
      <c r="Y928" s="132"/>
      <c r="Z928" s="132"/>
    </row>
    <row r="929" spans="3:26" ht="12.75" customHeight="1" x14ac:dyDescent="0.35">
      <c r="C929" s="132"/>
      <c r="V929" s="132"/>
      <c r="W929" s="132"/>
      <c r="X929" s="132"/>
      <c r="Y929" s="132"/>
      <c r="Z929" s="132"/>
    </row>
    <row r="930" spans="3:26" ht="12.75" customHeight="1" x14ac:dyDescent="0.35">
      <c r="C930" s="132"/>
      <c r="V930" s="132"/>
      <c r="W930" s="132"/>
      <c r="X930" s="132"/>
      <c r="Y930" s="132"/>
      <c r="Z930" s="132"/>
    </row>
    <row r="931" spans="3:26" ht="12.75" customHeight="1" x14ac:dyDescent="0.35">
      <c r="C931" s="132"/>
      <c r="V931" s="132"/>
      <c r="W931" s="132"/>
      <c r="X931" s="132"/>
      <c r="Y931" s="132"/>
      <c r="Z931" s="132"/>
    </row>
    <row r="932" spans="3:26" ht="12.75" customHeight="1" x14ac:dyDescent="0.35">
      <c r="C932" s="132"/>
      <c r="V932" s="132"/>
      <c r="W932" s="132"/>
      <c r="X932" s="132"/>
      <c r="Y932" s="132"/>
      <c r="Z932" s="132"/>
    </row>
    <row r="933" spans="3:26" ht="12.75" customHeight="1" x14ac:dyDescent="0.35">
      <c r="C933" s="132"/>
      <c r="V933" s="132"/>
      <c r="W933" s="132"/>
      <c r="X933" s="132"/>
      <c r="Y933" s="132"/>
      <c r="Z933" s="132"/>
    </row>
    <row r="934" spans="3:26" ht="12.75" customHeight="1" x14ac:dyDescent="0.35">
      <c r="C934" s="132"/>
      <c r="V934" s="132"/>
      <c r="W934" s="132"/>
      <c r="X934" s="132"/>
      <c r="Y934" s="132"/>
      <c r="Z934" s="132"/>
    </row>
    <row r="935" spans="3:26" ht="12.75" customHeight="1" x14ac:dyDescent="0.35">
      <c r="C935" s="132"/>
      <c r="V935" s="132"/>
      <c r="W935" s="132"/>
      <c r="X935" s="132"/>
      <c r="Y935" s="132"/>
      <c r="Z935" s="132"/>
    </row>
    <row r="936" spans="3:26" ht="12.75" customHeight="1" x14ac:dyDescent="0.35">
      <c r="C936" s="132"/>
      <c r="V936" s="132"/>
      <c r="W936" s="132"/>
      <c r="X936" s="132"/>
      <c r="Y936" s="132"/>
      <c r="Z936" s="132"/>
    </row>
    <row r="937" spans="3:26" ht="12.75" customHeight="1" x14ac:dyDescent="0.35">
      <c r="C937" s="132"/>
      <c r="V937" s="132"/>
      <c r="W937" s="132"/>
      <c r="X937" s="132"/>
      <c r="Y937" s="132"/>
      <c r="Z937" s="132"/>
    </row>
    <row r="938" spans="3:26" ht="12.75" customHeight="1" x14ac:dyDescent="0.35">
      <c r="C938" s="132"/>
      <c r="V938" s="132"/>
      <c r="W938" s="132"/>
      <c r="X938" s="132"/>
      <c r="Y938" s="132"/>
      <c r="Z938" s="132"/>
    </row>
    <row r="939" spans="3:26" ht="12.75" customHeight="1" x14ac:dyDescent="0.35">
      <c r="C939" s="132"/>
      <c r="V939" s="132"/>
      <c r="W939" s="132"/>
      <c r="X939" s="132"/>
      <c r="Y939" s="132"/>
      <c r="Z939" s="132"/>
    </row>
    <row r="940" spans="3:26" ht="12.75" customHeight="1" x14ac:dyDescent="0.35">
      <c r="C940" s="132"/>
      <c r="V940" s="132"/>
      <c r="W940" s="132"/>
      <c r="X940" s="132"/>
      <c r="Y940" s="132"/>
      <c r="Z940" s="132"/>
    </row>
    <row r="941" spans="3:26" ht="12.75" customHeight="1" x14ac:dyDescent="0.35">
      <c r="C941" s="132"/>
      <c r="V941" s="132"/>
      <c r="W941" s="132"/>
      <c r="X941" s="132"/>
      <c r="Y941" s="132"/>
      <c r="Z941" s="132"/>
    </row>
    <row r="942" spans="3:26" ht="12.75" customHeight="1" x14ac:dyDescent="0.35">
      <c r="C942" s="132"/>
      <c r="V942" s="132"/>
      <c r="W942" s="132"/>
      <c r="X942" s="132"/>
      <c r="Y942" s="132"/>
      <c r="Z942" s="132"/>
    </row>
    <row r="943" spans="3:26" ht="12.75" customHeight="1" x14ac:dyDescent="0.35">
      <c r="C943" s="132"/>
      <c r="V943" s="132"/>
      <c r="W943" s="132"/>
      <c r="X943" s="132"/>
      <c r="Y943" s="132"/>
      <c r="Z943" s="132"/>
    </row>
    <row r="944" spans="3:26" ht="12.75" customHeight="1" x14ac:dyDescent="0.35">
      <c r="C944" s="132"/>
      <c r="V944" s="132"/>
      <c r="W944" s="132"/>
      <c r="X944" s="132"/>
      <c r="Y944" s="132"/>
      <c r="Z944" s="132"/>
    </row>
    <row r="945" spans="3:26" ht="12.75" customHeight="1" x14ac:dyDescent="0.35">
      <c r="C945" s="132"/>
      <c r="V945" s="132"/>
      <c r="W945" s="132"/>
      <c r="X945" s="132"/>
      <c r="Y945" s="132"/>
      <c r="Z945" s="132"/>
    </row>
    <row r="946" spans="3:26" ht="12.75" customHeight="1" x14ac:dyDescent="0.35">
      <c r="C946" s="132"/>
      <c r="V946" s="132"/>
      <c r="W946" s="132"/>
      <c r="X946" s="132"/>
      <c r="Y946" s="132"/>
      <c r="Z946" s="132"/>
    </row>
    <row r="947" spans="3:26" ht="12.75" customHeight="1" x14ac:dyDescent="0.35">
      <c r="C947" s="132"/>
      <c r="V947" s="132"/>
      <c r="W947" s="132"/>
      <c r="X947" s="132"/>
      <c r="Y947" s="132"/>
      <c r="Z947" s="132"/>
    </row>
    <row r="948" spans="3:26" ht="12.75" customHeight="1" x14ac:dyDescent="0.35">
      <c r="C948" s="132"/>
      <c r="V948" s="132"/>
      <c r="W948" s="132"/>
      <c r="X948" s="132"/>
      <c r="Y948" s="132"/>
      <c r="Z948" s="132"/>
    </row>
    <row r="949" spans="3:26" ht="12.75" customHeight="1" x14ac:dyDescent="0.35">
      <c r="C949" s="132"/>
      <c r="V949" s="132"/>
      <c r="W949" s="132"/>
      <c r="X949" s="132"/>
      <c r="Y949" s="132"/>
      <c r="Z949" s="132"/>
    </row>
    <row r="950" spans="3:26" ht="12.75" customHeight="1" x14ac:dyDescent="0.35">
      <c r="C950" s="132"/>
      <c r="V950" s="132"/>
      <c r="W950" s="132"/>
      <c r="X950" s="132"/>
      <c r="Y950" s="132"/>
      <c r="Z950" s="132"/>
    </row>
    <row r="951" spans="3:26" ht="12.75" customHeight="1" x14ac:dyDescent="0.35">
      <c r="C951" s="132"/>
      <c r="V951" s="132"/>
      <c r="W951" s="132"/>
      <c r="X951" s="132"/>
      <c r="Y951" s="132"/>
      <c r="Z951" s="132"/>
    </row>
    <row r="952" spans="3:26" ht="12.75" customHeight="1" x14ac:dyDescent="0.35">
      <c r="C952" s="132"/>
      <c r="V952" s="132"/>
      <c r="W952" s="132"/>
      <c r="X952" s="132"/>
      <c r="Y952" s="132"/>
      <c r="Z952" s="132"/>
    </row>
    <row r="953" spans="3:26" ht="12.75" customHeight="1" x14ac:dyDescent="0.35">
      <c r="C953" s="132"/>
      <c r="V953" s="132"/>
      <c r="W953" s="132"/>
      <c r="X953" s="132"/>
      <c r="Y953" s="132"/>
      <c r="Z953" s="132"/>
    </row>
    <row r="954" spans="3:26" ht="12.75" customHeight="1" x14ac:dyDescent="0.35">
      <c r="C954" s="132"/>
      <c r="V954" s="132"/>
      <c r="W954" s="132"/>
      <c r="X954" s="132"/>
      <c r="Y954" s="132"/>
      <c r="Z954" s="132"/>
    </row>
    <row r="955" spans="3:26" ht="12.75" customHeight="1" x14ac:dyDescent="0.35">
      <c r="C955" s="132"/>
      <c r="V955" s="132"/>
      <c r="W955" s="132"/>
      <c r="X955" s="132"/>
      <c r="Y955" s="132"/>
      <c r="Z955" s="132"/>
    </row>
    <row r="956" spans="3:26" ht="12.75" customHeight="1" x14ac:dyDescent="0.35">
      <c r="C956" s="132"/>
      <c r="V956" s="132"/>
      <c r="W956" s="132"/>
      <c r="X956" s="132"/>
      <c r="Y956" s="132"/>
      <c r="Z956" s="132"/>
    </row>
    <row r="957" spans="3:26" ht="12.75" customHeight="1" x14ac:dyDescent="0.35">
      <c r="C957" s="132"/>
      <c r="V957" s="132"/>
      <c r="W957" s="132"/>
      <c r="X957" s="132"/>
      <c r="Y957" s="132"/>
      <c r="Z957" s="132"/>
    </row>
    <row r="958" spans="3:26" ht="12.75" customHeight="1" x14ac:dyDescent="0.35">
      <c r="C958" s="132"/>
      <c r="V958" s="132"/>
      <c r="W958" s="132"/>
      <c r="X958" s="132"/>
      <c r="Y958" s="132"/>
      <c r="Z958" s="132"/>
    </row>
    <row r="959" spans="3:26" ht="12.75" customHeight="1" x14ac:dyDescent="0.35">
      <c r="C959" s="132"/>
      <c r="V959" s="132"/>
      <c r="W959" s="132"/>
      <c r="X959" s="132"/>
      <c r="Y959" s="132"/>
      <c r="Z959" s="132"/>
    </row>
    <row r="960" spans="3:26" ht="12.75" customHeight="1" x14ac:dyDescent="0.35">
      <c r="C960" s="132"/>
      <c r="V960" s="132"/>
      <c r="W960" s="132"/>
      <c r="X960" s="132"/>
      <c r="Y960" s="132"/>
      <c r="Z960" s="132"/>
    </row>
    <row r="961" spans="3:26" ht="12.75" customHeight="1" x14ac:dyDescent="0.35">
      <c r="C961" s="132"/>
      <c r="V961" s="132"/>
      <c r="W961" s="132"/>
      <c r="X961" s="132"/>
      <c r="Y961" s="132"/>
      <c r="Z961" s="132"/>
    </row>
    <row r="962" spans="3:26" ht="12.75" customHeight="1" x14ac:dyDescent="0.35">
      <c r="C962" s="132"/>
      <c r="V962" s="132"/>
      <c r="W962" s="132"/>
      <c r="X962" s="132"/>
      <c r="Y962" s="132"/>
      <c r="Z962" s="132"/>
    </row>
    <row r="963" spans="3:26" ht="12.75" customHeight="1" x14ac:dyDescent="0.35">
      <c r="C963" s="132"/>
      <c r="V963" s="132"/>
      <c r="W963" s="132"/>
      <c r="X963" s="132"/>
      <c r="Y963" s="132"/>
      <c r="Z963" s="132"/>
    </row>
    <row r="964" spans="3:26" ht="12.75" customHeight="1" x14ac:dyDescent="0.35">
      <c r="C964" s="132"/>
      <c r="V964" s="132"/>
      <c r="W964" s="132"/>
      <c r="X964" s="132"/>
      <c r="Y964" s="132"/>
      <c r="Z964" s="132"/>
    </row>
    <row r="965" spans="3:26" ht="12.75" customHeight="1" x14ac:dyDescent="0.35">
      <c r="C965" s="132"/>
      <c r="V965" s="132"/>
      <c r="W965" s="132"/>
      <c r="X965" s="132"/>
      <c r="Y965" s="132"/>
      <c r="Z965" s="132"/>
    </row>
    <row r="966" spans="3:26" ht="12.75" customHeight="1" x14ac:dyDescent="0.35">
      <c r="C966" s="132"/>
      <c r="V966" s="132"/>
      <c r="W966" s="132"/>
      <c r="X966" s="132"/>
      <c r="Y966" s="132"/>
      <c r="Z966" s="132"/>
    </row>
    <row r="967" spans="3:26" ht="12.75" customHeight="1" x14ac:dyDescent="0.35">
      <c r="C967" s="132"/>
      <c r="V967" s="132"/>
      <c r="W967" s="132"/>
      <c r="X967" s="132"/>
      <c r="Y967" s="132"/>
      <c r="Z967" s="132"/>
    </row>
    <row r="968" spans="3:26" ht="12.75" customHeight="1" x14ac:dyDescent="0.35">
      <c r="C968" s="132"/>
      <c r="V968" s="132"/>
      <c r="W968" s="132"/>
      <c r="X968" s="132"/>
      <c r="Y968" s="132"/>
      <c r="Z968" s="132"/>
    </row>
    <row r="969" spans="3:26" ht="12.75" customHeight="1" x14ac:dyDescent="0.35">
      <c r="C969" s="132"/>
      <c r="V969" s="132"/>
      <c r="W969" s="132"/>
      <c r="X969" s="132"/>
      <c r="Y969" s="132"/>
      <c r="Z969" s="132"/>
    </row>
    <row r="970" spans="3:26" ht="12.75" customHeight="1" x14ac:dyDescent="0.35">
      <c r="C970" s="132"/>
      <c r="V970" s="132"/>
      <c r="W970" s="132"/>
      <c r="X970" s="132"/>
      <c r="Y970" s="132"/>
      <c r="Z970" s="132"/>
    </row>
    <row r="971" spans="3:26" ht="12.75" customHeight="1" x14ac:dyDescent="0.35">
      <c r="C971" s="132"/>
      <c r="V971" s="132"/>
      <c r="W971" s="132"/>
      <c r="X971" s="132"/>
      <c r="Y971" s="132"/>
      <c r="Z971" s="132"/>
    </row>
    <row r="972" spans="3:26" ht="12.75" customHeight="1" x14ac:dyDescent="0.35">
      <c r="C972" s="132"/>
      <c r="V972" s="132"/>
      <c r="W972" s="132"/>
      <c r="X972" s="132"/>
      <c r="Y972" s="132"/>
      <c r="Z972" s="132"/>
    </row>
    <row r="973" spans="3:26" ht="12.75" customHeight="1" x14ac:dyDescent="0.35">
      <c r="C973" s="132"/>
      <c r="V973" s="132"/>
      <c r="W973" s="132"/>
      <c r="X973" s="132"/>
      <c r="Y973" s="132"/>
      <c r="Z973" s="132"/>
    </row>
    <row r="974" spans="3:26" ht="12.75" customHeight="1" x14ac:dyDescent="0.35">
      <c r="C974" s="132"/>
      <c r="V974" s="132"/>
      <c r="W974" s="132"/>
      <c r="X974" s="132"/>
      <c r="Y974" s="132"/>
      <c r="Z974" s="132"/>
    </row>
    <row r="975" spans="3:26" ht="12.75" customHeight="1" x14ac:dyDescent="0.35">
      <c r="C975" s="132"/>
      <c r="V975" s="132"/>
      <c r="W975" s="132"/>
      <c r="X975" s="132"/>
      <c r="Y975" s="132"/>
      <c r="Z975" s="132"/>
    </row>
    <row r="976" spans="3:26" ht="12.75" customHeight="1" x14ac:dyDescent="0.35">
      <c r="C976" s="132"/>
      <c r="V976" s="132"/>
      <c r="W976" s="132"/>
      <c r="X976" s="132"/>
      <c r="Y976" s="132"/>
      <c r="Z976" s="132"/>
    </row>
    <row r="977" spans="3:26" ht="12.75" customHeight="1" x14ac:dyDescent="0.35">
      <c r="C977" s="132"/>
      <c r="V977" s="132"/>
      <c r="W977" s="132"/>
      <c r="X977" s="132"/>
      <c r="Y977" s="132"/>
      <c r="Z977" s="132"/>
    </row>
    <row r="978" spans="3:26" ht="12.75" customHeight="1" x14ac:dyDescent="0.35">
      <c r="C978" s="132"/>
      <c r="V978" s="132"/>
      <c r="W978" s="132"/>
      <c r="X978" s="132"/>
      <c r="Y978" s="132"/>
      <c r="Z978" s="132"/>
    </row>
    <row r="979" spans="3:26" ht="12.75" customHeight="1" x14ac:dyDescent="0.35">
      <c r="C979" s="132"/>
      <c r="V979" s="132"/>
      <c r="W979" s="132"/>
      <c r="X979" s="132"/>
      <c r="Y979" s="132"/>
      <c r="Z979" s="132"/>
    </row>
    <row r="980" spans="3:26" ht="12.75" customHeight="1" x14ac:dyDescent="0.35">
      <c r="C980" s="132"/>
      <c r="V980" s="132"/>
      <c r="W980" s="132"/>
      <c r="X980" s="132"/>
      <c r="Y980" s="132"/>
      <c r="Z980" s="132"/>
    </row>
    <row r="981" spans="3:26" ht="12.75" customHeight="1" x14ac:dyDescent="0.35">
      <c r="C981" s="132"/>
      <c r="V981" s="132"/>
      <c r="W981" s="132"/>
      <c r="X981" s="132"/>
      <c r="Y981" s="132"/>
      <c r="Z981" s="132"/>
    </row>
    <row r="982" spans="3:26" ht="12.75" customHeight="1" x14ac:dyDescent="0.35">
      <c r="C982" s="132"/>
      <c r="V982" s="132"/>
      <c r="W982" s="132"/>
      <c r="X982" s="132"/>
      <c r="Y982" s="132"/>
      <c r="Z982" s="132"/>
    </row>
    <row r="983" spans="3:26" ht="12.75" customHeight="1" x14ac:dyDescent="0.35">
      <c r="C983" s="132"/>
      <c r="V983" s="132"/>
      <c r="W983" s="132"/>
      <c r="X983" s="132"/>
      <c r="Y983" s="132"/>
      <c r="Z983" s="132"/>
    </row>
    <row r="984" spans="3:26" ht="12.75" customHeight="1" x14ac:dyDescent="0.35">
      <c r="C984" s="132"/>
      <c r="V984" s="132"/>
      <c r="W984" s="132"/>
      <c r="X984" s="132"/>
      <c r="Y984" s="132"/>
      <c r="Z984" s="132"/>
    </row>
    <row r="985" spans="3:26" ht="12.75" customHeight="1" x14ac:dyDescent="0.35">
      <c r="C985" s="132"/>
      <c r="V985" s="132"/>
      <c r="W985" s="132"/>
      <c r="X985" s="132"/>
      <c r="Y985" s="132"/>
      <c r="Z985" s="132"/>
    </row>
    <row r="986" spans="3:26" ht="12.75" customHeight="1" x14ac:dyDescent="0.35">
      <c r="C986" s="132"/>
      <c r="V986" s="132"/>
      <c r="W986" s="132"/>
      <c r="X986" s="132"/>
      <c r="Y986" s="132"/>
      <c r="Z986" s="132"/>
    </row>
    <row r="987" spans="3:26" ht="12.75" customHeight="1" x14ac:dyDescent="0.35">
      <c r="C987" s="132"/>
      <c r="V987" s="132"/>
      <c r="W987" s="132"/>
      <c r="X987" s="132"/>
      <c r="Y987" s="132"/>
      <c r="Z987" s="132"/>
    </row>
    <row r="988" spans="3:26" ht="12.75" customHeight="1" x14ac:dyDescent="0.35">
      <c r="C988" s="132"/>
      <c r="V988" s="132"/>
      <c r="W988" s="132"/>
      <c r="X988" s="132"/>
      <c r="Y988" s="132"/>
      <c r="Z988" s="132"/>
    </row>
    <row r="989" spans="3:26" ht="12.75" customHeight="1" x14ac:dyDescent="0.35">
      <c r="C989" s="132"/>
      <c r="V989" s="132"/>
      <c r="W989" s="132"/>
      <c r="X989" s="132"/>
      <c r="Y989" s="132"/>
      <c r="Z989" s="132"/>
    </row>
    <row r="990" spans="3:26" ht="12.75" customHeight="1" x14ac:dyDescent="0.35">
      <c r="C990" s="132"/>
      <c r="V990" s="132"/>
      <c r="W990" s="132"/>
      <c r="X990" s="132"/>
      <c r="Y990" s="132"/>
      <c r="Z990" s="132"/>
    </row>
    <row r="991" spans="3:26" ht="12.75" customHeight="1" x14ac:dyDescent="0.35">
      <c r="C991" s="132"/>
      <c r="V991" s="132"/>
      <c r="W991" s="132"/>
      <c r="X991" s="132"/>
      <c r="Y991" s="132"/>
      <c r="Z991" s="132"/>
    </row>
    <row r="992" spans="3:26" ht="12.75" customHeight="1" x14ac:dyDescent="0.35">
      <c r="C992" s="132"/>
      <c r="V992" s="132"/>
      <c r="W992" s="132"/>
      <c r="X992" s="132"/>
      <c r="Y992" s="132"/>
      <c r="Z992" s="132"/>
    </row>
    <row r="993" spans="3:26" ht="12.75" customHeight="1" x14ac:dyDescent="0.35">
      <c r="C993" s="132"/>
      <c r="V993" s="132"/>
      <c r="W993" s="132"/>
      <c r="X993" s="132"/>
      <c r="Y993" s="132"/>
      <c r="Z993" s="132"/>
    </row>
    <row r="994" spans="3:26" ht="12.75" customHeight="1" x14ac:dyDescent="0.35">
      <c r="C994" s="132"/>
      <c r="V994" s="132"/>
      <c r="W994" s="132"/>
      <c r="X994" s="132"/>
      <c r="Y994" s="132"/>
      <c r="Z994" s="132"/>
    </row>
    <row r="995" spans="3:26" ht="12.75" customHeight="1" x14ac:dyDescent="0.35">
      <c r="C995" s="132"/>
      <c r="V995" s="132"/>
      <c r="W995" s="132"/>
      <c r="X995" s="132"/>
      <c r="Y995" s="132"/>
      <c r="Z995" s="132"/>
    </row>
    <row r="996" spans="3:26" ht="12.75" customHeight="1" x14ac:dyDescent="0.35">
      <c r="C996" s="132"/>
      <c r="V996" s="132"/>
      <c r="W996" s="132"/>
      <c r="X996" s="132"/>
      <c r="Y996" s="132"/>
      <c r="Z996" s="132"/>
    </row>
    <row r="997" spans="3:26" ht="12.75" customHeight="1" x14ac:dyDescent="0.35">
      <c r="C997" s="132"/>
      <c r="V997" s="132"/>
      <c r="W997" s="132"/>
      <c r="X997" s="132"/>
      <c r="Y997" s="132"/>
      <c r="Z997" s="132"/>
    </row>
    <row r="998" spans="3:26" ht="12.75" customHeight="1" x14ac:dyDescent="0.35">
      <c r="C998" s="132"/>
      <c r="V998" s="132"/>
      <c r="W998" s="132"/>
      <c r="X998" s="132"/>
      <c r="Y998" s="132"/>
      <c r="Z998" s="132"/>
    </row>
    <row r="999" spans="3:26" ht="12.75" customHeight="1" x14ac:dyDescent="0.35">
      <c r="C999" s="132"/>
      <c r="V999" s="132"/>
      <c r="W999" s="132"/>
      <c r="X999" s="132"/>
      <c r="Y999" s="132"/>
      <c r="Z999" s="132"/>
    </row>
    <row r="1000" spans="3:26" ht="12.75" customHeight="1" x14ac:dyDescent="0.35">
      <c r="C1000" s="132"/>
      <c r="V1000" s="132"/>
      <c r="W1000" s="132"/>
      <c r="X1000" s="132"/>
      <c r="Y1000" s="132"/>
      <c r="Z1000" s="132"/>
    </row>
    <row r="1001" spans="3:26" ht="12.75" customHeight="1" x14ac:dyDescent="0.35">
      <c r="C1001" s="132"/>
      <c r="V1001" s="132"/>
      <c r="W1001" s="132"/>
      <c r="X1001" s="132"/>
      <c r="Y1001" s="132"/>
      <c r="Z1001" s="132"/>
    </row>
    <row r="1002" spans="3:26" ht="12.75" customHeight="1" x14ac:dyDescent="0.35">
      <c r="C1002" s="132"/>
      <c r="V1002" s="132"/>
      <c r="W1002" s="132"/>
      <c r="X1002" s="132"/>
      <c r="Y1002" s="132"/>
      <c r="Z1002" s="132"/>
    </row>
    <row r="1003" spans="3:26" ht="12.75" customHeight="1" x14ac:dyDescent="0.35">
      <c r="C1003" s="132"/>
      <c r="V1003" s="132"/>
      <c r="W1003" s="132"/>
      <c r="X1003" s="132"/>
      <c r="Y1003" s="132"/>
      <c r="Z1003" s="132"/>
    </row>
    <row r="1004" spans="3:26" ht="12.75" customHeight="1" x14ac:dyDescent="0.35">
      <c r="C1004" s="132"/>
      <c r="V1004" s="132"/>
      <c r="W1004" s="132"/>
      <c r="X1004" s="132"/>
      <c r="Y1004" s="132"/>
      <c r="Z1004" s="132"/>
    </row>
    <row r="1005" spans="3:26" ht="12.75" customHeight="1" x14ac:dyDescent="0.35">
      <c r="C1005" s="132"/>
      <c r="V1005" s="132"/>
      <c r="W1005" s="132"/>
      <c r="X1005" s="132"/>
      <c r="Y1005" s="132"/>
      <c r="Z1005" s="132"/>
    </row>
    <row r="1006" spans="3:26" ht="12.75" customHeight="1" x14ac:dyDescent="0.35">
      <c r="C1006" s="132"/>
      <c r="V1006" s="132"/>
      <c r="W1006" s="132"/>
      <c r="X1006" s="132"/>
      <c r="Y1006" s="132"/>
      <c r="Z1006" s="132"/>
    </row>
    <row r="1007" spans="3:26" ht="12.75" customHeight="1" x14ac:dyDescent="0.35">
      <c r="C1007" s="132"/>
      <c r="V1007" s="132"/>
      <c r="W1007" s="132"/>
      <c r="X1007" s="132"/>
      <c r="Y1007" s="132"/>
      <c r="Z1007" s="132"/>
    </row>
    <row r="1008" spans="3:26" ht="12.75" customHeight="1" x14ac:dyDescent="0.35">
      <c r="C1008" s="132"/>
      <c r="V1008" s="132"/>
      <c r="W1008" s="132"/>
      <c r="X1008" s="132"/>
      <c r="Y1008" s="132"/>
      <c r="Z1008" s="132"/>
    </row>
    <row r="1009" spans="3:26" ht="12.75" customHeight="1" x14ac:dyDescent="0.35">
      <c r="C1009" s="132"/>
      <c r="V1009" s="132"/>
      <c r="W1009" s="132"/>
      <c r="X1009" s="132"/>
      <c r="Y1009" s="132"/>
      <c r="Z1009" s="132"/>
    </row>
    <row r="1010" spans="3:26" ht="12.75" customHeight="1" x14ac:dyDescent="0.35">
      <c r="C1010" s="132"/>
      <c r="V1010" s="132"/>
      <c r="W1010" s="132"/>
      <c r="X1010" s="132"/>
      <c r="Y1010" s="132"/>
      <c r="Z1010" s="132"/>
    </row>
    <row r="1011" spans="3:26" ht="12.75" customHeight="1" x14ac:dyDescent="0.35">
      <c r="C1011" s="132"/>
      <c r="V1011" s="132"/>
      <c r="W1011" s="132"/>
      <c r="X1011" s="132"/>
      <c r="Y1011" s="132"/>
      <c r="Z1011" s="132"/>
    </row>
    <row r="1012" spans="3:26" ht="12.75" customHeight="1" x14ac:dyDescent="0.35">
      <c r="C1012" s="132"/>
      <c r="V1012" s="132"/>
      <c r="W1012" s="132"/>
      <c r="X1012" s="132"/>
      <c r="Y1012" s="132"/>
      <c r="Z1012" s="132"/>
    </row>
  </sheetData>
  <sheetProtection password="C71F" sheet="1" objects="1" scenarios="1"/>
  <autoFilter ref="V2:X272"/>
  <mergeCells count="6">
    <mergeCell ref="A1:A2"/>
    <mergeCell ref="B1:B2"/>
    <mergeCell ref="C1:S1"/>
    <mergeCell ref="AB1:AB2"/>
    <mergeCell ref="V1:X1"/>
    <mergeCell ref="Y1:Y2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75"/>
  <sheetViews>
    <sheetView view="pageBreakPreview" zoomScale="85" zoomScaleNormal="100" zoomScaleSheetLayoutView="85" workbookViewId="0">
      <pane ySplit="8" topLeftCell="A9" activePane="bottomLeft" state="frozen"/>
      <selection activeCell="A285" sqref="A285:D285"/>
      <selection pane="bottomLeft" activeCell="F2" sqref="F2"/>
    </sheetView>
  </sheetViews>
  <sheetFormatPr defaultColWidth="9.1796875" defaultRowHeight="13" outlineLevelRow="3" x14ac:dyDescent="0.35"/>
  <cols>
    <col min="1" max="6" width="25.7265625" style="53" customWidth="1"/>
    <col min="7" max="16384" width="9.1796875" style="53"/>
  </cols>
  <sheetData>
    <row r="1" spans="1:6" x14ac:dyDescent="0.35">
      <c r="A1" s="65"/>
      <c r="F1" s="147" t="s">
        <v>516</v>
      </c>
    </row>
    <row r="2" spans="1:6" ht="14.5" customHeight="1" x14ac:dyDescent="0.35">
      <c r="A2" s="65"/>
      <c r="F2" s="146" t="s">
        <v>517</v>
      </c>
    </row>
    <row r="3" spans="1:6" x14ac:dyDescent="0.35">
      <c r="A3" s="67"/>
    </row>
    <row r="4" spans="1:6" x14ac:dyDescent="0.35">
      <c r="A4" s="180" t="s">
        <v>379</v>
      </c>
      <c r="B4" s="180"/>
      <c r="C4" s="180"/>
      <c r="D4" s="180"/>
      <c r="E4" s="180"/>
      <c r="F4" s="180"/>
    </row>
    <row r="5" spans="1:6" x14ac:dyDescent="0.35">
      <c r="A5" s="180" t="s">
        <v>380</v>
      </c>
      <c r="B5" s="180"/>
      <c r="C5" s="180"/>
      <c r="D5" s="180"/>
      <c r="E5" s="180"/>
      <c r="F5" s="180"/>
    </row>
    <row r="6" spans="1:6" x14ac:dyDescent="0.35">
      <c r="A6" s="67"/>
    </row>
    <row r="7" spans="1:6" ht="26" x14ac:dyDescent="0.35">
      <c r="A7" s="58" t="s">
        <v>0</v>
      </c>
      <c r="B7" s="58" t="s">
        <v>255</v>
      </c>
      <c r="C7" s="58" t="s">
        <v>257</v>
      </c>
      <c r="D7" s="58" t="s">
        <v>258</v>
      </c>
      <c r="E7" s="58" t="s">
        <v>259</v>
      </c>
      <c r="F7" s="58" t="s">
        <v>381</v>
      </c>
    </row>
    <row r="8" spans="1:6" x14ac:dyDescent="0.35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</row>
    <row r="9" spans="1:6" ht="28.9" customHeight="1" x14ac:dyDescent="0.35">
      <c r="A9" s="175" t="s">
        <v>430</v>
      </c>
      <c r="B9" s="175"/>
      <c r="C9" s="175"/>
      <c r="D9" s="175"/>
      <c r="E9" s="175"/>
      <c r="F9" s="175"/>
    </row>
    <row r="10" spans="1:6" ht="28.9" customHeight="1" x14ac:dyDescent="0.35">
      <c r="A10" s="175" t="s">
        <v>489</v>
      </c>
      <c r="B10" s="175"/>
      <c r="C10" s="175"/>
      <c r="D10" s="175"/>
      <c r="E10" s="175"/>
      <c r="F10" s="175"/>
    </row>
    <row r="11" spans="1:6" ht="30" customHeight="1" x14ac:dyDescent="0.35">
      <c r="A11" s="175" t="s">
        <v>4</v>
      </c>
      <c r="B11" s="175"/>
      <c r="C11" s="175"/>
      <c r="D11" s="175"/>
      <c r="E11" s="68">
        <f>E12+E16+E107</f>
        <v>30897.080569784204</v>
      </c>
      <c r="F11" s="181" t="s">
        <v>414</v>
      </c>
    </row>
    <row r="12" spans="1:6" ht="30" customHeight="1" outlineLevel="1" collapsed="1" x14ac:dyDescent="0.35">
      <c r="A12" s="175" t="s">
        <v>5</v>
      </c>
      <c r="B12" s="175"/>
      <c r="C12" s="175"/>
      <c r="D12" s="175"/>
      <c r="E12" s="52">
        <f>SUM(E13:E15)</f>
        <v>6390.5722196585139</v>
      </c>
      <c r="F12" s="182"/>
    </row>
    <row r="13" spans="1:6" hidden="1" outlineLevel="2" x14ac:dyDescent="0.35">
      <c r="A13" s="55"/>
      <c r="B13" s="60"/>
      <c r="C13" s="52"/>
      <c r="D13" s="52"/>
      <c r="E13" s="52"/>
      <c r="F13" s="182"/>
    </row>
    <row r="14" spans="1:6" ht="26" outlineLevel="2" x14ac:dyDescent="0.35">
      <c r="A14" s="55" t="str">
        <f>Базовый!A6</f>
        <v>Средний медицинский персонал</v>
      </c>
      <c r="B14" s="60">
        <f>Базовый!C6</f>
        <v>9.6908167974157824E-3</v>
      </c>
      <c r="C14" s="52">
        <f>Базовый!T6</f>
        <v>1</v>
      </c>
      <c r="D14" s="52">
        <f>Базовый!U6</f>
        <v>557890</v>
      </c>
      <c r="E14" s="52">
        <f>B14/C14*D14</f>
        <v>5406.4097831102908</v>
      </c>
      <c r="F14" s="182"/>
    </row>
    <row r="15" spans="1:6" outlineLevel="2" x14ac:dyDescent="0.35">
      <c r="A15" s="55" t="str">
        <f>Базовый!A7</f>
        <v xml:space="preserve">Учебно-вспомогательный </v>
      </c>
      <c r="B15" s="60">
        <f>Базовый!C7</f>
        <v>4.6146746654360873E-3</v>
      </c>
      <c r="C15" s="52">
        <f>Базовый!T7</f>
        <v>1</v>
      </c>
      <c r="D15" s="52">
        <f>Базовый!U7</f>
        <v>213268</v>
      </c>
      <c r="E15" s="52">
        <f>B15/C15*D15</f>
        <v>984.16243654822347</v>
      </c>
      <c r="F15" s="182"/>
    </row>
    <row r="16" spans="1:6" ht="45" customHeight="1" outlineLevel="1" x14ac:dyDescent="0.35">
      <c r="A16" s="175" t="s">
        <v>6</v>
      </c>
      <c r="B16" s="175"/>
      <c r="C16" s="175"/>
      <c r="D16" s="175"/>
      <c r="E16" s="52">
        <f>E17+E19+E27+E46+E77+E84+E89+E104</f>
        <v>23595.413160589978</v>
      </c>
      <c r="F16" s="182"/>
    </row>
    <row r="17" spans="1:6" ht="26" outlineLevel="2" x14ac:dyDescent="0.35">
      <c r="A17" s="55" t="str">
        <f>Базовый!A9</f>
        <v>Приобретение продуктов питания</v>
      </c>
      <c r="B17" s="60" t="str">
        <f>Базовый!C9</f>
        <v>х</v>
      </c>
      <c r="C17" s="52" t="str">
        <f>Базовый!T9</f>
        <v>х</v>
      </c>
      <c r="D17" s="52" t="str">
        <f>Базовый!U9</f>
        <v>х</v>
      </c>
      <c r="E17" s="52">
        <f>E18</f>
        <v>21208.431010613753</v>
      </c>
      <c r="F17" s="182"/>
    </row>
    <row r="18" spans="1:6" ht="26" outlineLevel="3" x14ac:dyDescent="0.35">
      <c r="A18" s="55" t="str">
        <f>Базовый!A10</f>
        <v>Продукты питания, согласно СанПиН 2.4.1.3049-13.</v>
      </c>
      <c r="B18" s="60">
        <f>Базовый!C10</f>
        <v>135.38070000000002</v>
      </c>
      <c r="C18" s="52">
        <f>Базовый!T10</f>
        <v>1</v>
      </c>
      <c r="D18" s="52">
        <f>Базовый!U10</f>
        <v>156.6577142134274</v>
      </c>
      <c r="E18" s="52">
        <f>B18/C18*D18</f>
        <v>21208.431010613753</v>
      </c>
      <c r="F18" s="182"/>
    </row>
    <row r="19" spans="1:6" ht="26" outlineLevel="2" x14ac:dyDescent="0.35">
      <c r="A19" s="55" t="str">
        <f>Базовый!A11</f>
        <v>Приобретение постельных принадлежностей</v>
      </c>
      <c r="B19" s="60" t="str">
        <f>Базовый!C11</f>
        <v>х</v>
      </c>
      <c r="C19" s="52" t="str">
        <f>Базовый!T11</f>
        <v>х</v>
      </c>
      <c r="D19" s="52" t="str">
        <f>Базовый!U11</f>
        <v>х</v>
      </c>
      <c r="E19" s="52">
        <f>SUM(E20:E26)</f>
        <v>815.47666666666669</v>
      </c>
      <c r="F19" s="182"/>
    </row>
    <row r="20" spans="1:6" outlineLevel="3" x14ac:dyDescent="0.35">
      <c r="A20" s="55" t="str">
        <f>Базовый!A12</f>
        <v>Приобретение матрасов</v>
      </c>
      <c r="B20" s="60">
        <f>Базовый!C12</f>
        <v>1</v>
      </c>
      <c r="C20" s="52">
        <f>Базовый!T12</f>
        <v>10</v>
      </c>
      <c r="D20" s="52">
        <f>Базовый!U12</f>
        <v>766.66666666666663</v>
      </c>
      <c r="E20" s="52">
        <f>B20/C20*D20</f>
        <v>76.666666666666671</v>
      </c>
      <c r="F20" s="182"/>
    </row>
    <row r="21" spans="1:6" outlineLevel="3" x14ac:dyDescent="0.35">
      <c r="A21" s="55" t="str">
        <f>Базовый!A13</f>
        <v>Приобретение подушек</v>
      </c>
      <c r="B21" s="60">
        <f>Базовый!C13</f>
        <v>1</v>
      </c>
      <c r="C21" s="52">
        <f>Базовый!T13</f>
        <v>5</v>
      </c>
      <c r="D21" s="52">
        <f>Базовый!U13</f>
        <v>176.5</v>
      </c>
      <c r="E21" s="52">
        <f>B21/C21*D21</f>
        <v>35.300000000000004</v>
      </c>
      <c r="F21" s="182"/>
    </row>
    <row r="22" spans="1:6" outlineLevel="3" x14ac:dyDescent="0.35">
      <c r="A22" s="55" t="str">
        <f>Базовый!A14</f>
        <v>Одеяло детское</v>
      </c>
      <c r="B22" s="60">
        <f>Базовый!C14</f>
        <v>1</v>
      </c>
      <c r="C22" s="52">
        <f>Базовый!T14</f>
        <v>10</v>
      </c>
      <c r="D22" s="52">
        <f>Базовый!U14</f>
        <v>430</v>
      </c>
      <c r="E22" s="52">
        <f>B22/C22*D22</f>
        <v>43</v>
      </c>
      <c r="F22" s="182"/>
    </row>
    <row r="23" spans="1:6" outlineLevel="3" x14ac:dyDescent="0.35">
      <c r="A23" s="55" t="str">
        <f>Базовый!A15</f>
        <v>Наволочки</v>
      </c>
      <c r="B23" s="60">
        <f>Базовый!C15</f>
        <v>1</v>
      </c>
      <c r="C23" s="52">
        <f>Базовый!T15</f>
        <v>1</v>
      </c>
      <c r="D23" s="52">
        <f>Базовый!U15</f>
        <v>90</v>
      </c>
      <c r="E23" s="52">
        <f t="shared" ref="E23:E86" si="0">B23/C23*D23</f>
        <v>90</v>
      </c>
      <c r="F23" s="182"/>
    </row>
    <row r="24" spans="1:6" outlineLevel="3" x14ac:dyDescent="0.35">
      <c r="A24" s="55" t="str">
        <f>Базовый!A16</f>
        <v>Простыни</v>
      </c>
      <c r="B24" s="60">
        <f>Базовый!C16</f>
        <v>1</v>
      </c>
      <c r="C24" s="52">
        <f>Базовый!T16</f>
        <v>1</v>
      </c>
      <c r="D24" s="52">
        <f>Базовый!U16</f>
        <v>161.66666666666666</v>
      </c>
      <c r="E24" s="52">
        <f t="shared" si="0"/>
        <v>161.66666666666666</v>
      </c>
      <c r="F24" s="182"/>
    </row>
    <row r="25" spans="1:6" outlineLevel="3" x14ac:dyDescent="0.35">
      <c r="A25" s="55" t="str">
        <f>Базовый!A17</f>
        <v>Пододеяльники</v>
      </c>
      <c r="B25" s="60">
        <f>Базовый!C17</f>
        <v>1</v>
      </c>
      <c r="C25" s="52">
        <f>Базовый!T17</f>
        <v>1</v>
      </c>
      <c r="D25" s="52">
        <f>Базовый!U17</f>
        <v>314.33333333333331</v>
      </c>
      <c r="E25" s="52">
        <f t="shared" si="0"/>
        <v>314.33333333333331</v>
      </c>
      <c r="F25" s="182"/>
    </row>
    <row r="26" spans="1:6" outlineLevel="3" x14ac:dyDescent="0.35">
      <c r="A26" s="55" t="str">
        <f>Базовый!A18</f>
        <v>Полотенце вафельное</v>
      </c>
      <c r="B26" s="60">
        <f>Базовый!C18</f>
        <v>1</v>
      </c>
      <c r="C26" s="52">
        <f>Базовый!T18</f>
        <v>1</v>
      </c>
      <c r="D26" s="52">
        <f>Базовый!U18</f>
        <v>94.509999999999991</v>
      </c>
      <c r="E26" s="52">
        <f t="shared" si="0"/>
        <v>94.509999999999991</v>
      </c>
      <c r="F26" s="182"/>
    </row>
    <row r="27" spans="1:6" outlineLevel="2" x14ac:dyDescent="0.35">
      <c r="A27" s="55" t="str">
        <f>Базовый!A19</f>
        <v>Мебель детская</v>
      </c>
      <c r="B27" s="60" t="str">
        <f>Базовый!C19</f>
        <v>х</v>
      </c>
      <c r="C27" s="52" t="str">
        <f>Базовый!T19</f>
        <v>х</v>
      </c>
      <c r="D27" s="52" t="str">
        <f>Базовый!U19</f>
        <v>х</v>
      </c>
      <c r="E27" s="52">
        <f>SUM(E28:E45)</f>
        <v>999.61285519452747</v>
      </c>
      <c r="F27" s="182"/>
    </row>
    <row r="28" spans="1:6" outlineLevel="3" x14ac:dyDescent="0.35">
      <c r="A28" s="55" t="str">
        <f>Базовый!A20</f>
        <v>Кровать детская</v>
      </c>
      <c r="B28" s="60">
        <f>Базовый!C20</f>
        <v>1</v>
      </c>
      <c r="C28" s="52">
        <f>Базовый!T20</f>
        <v>5</v>
      </c>
      <c r="D28" s="52">
        <f>Базовый!U20</f>
        <v>2410</v>
      </c>
      <c r="E28" s="52">
        <f t="shared" si="0"/>
        <v>482</v>
      </c>
      <c r="F28" s="182"/>
    </row>
    <row r="29" spans="1:6" outlineLevel="3" x14ac:dyDescent="0.35">
      <c r="A29" s="55" t="str">
        <f>Базовый!A21</f>
        <v>Стулья детские</v>
      </c>
      <c r="B29" s="60">
        <f>Базовый!C21</f>
        <v>1</v>
      </c>
      <c r="C29" s="52">
        <f>Базовый!T21</f>
        <v>5</v>
      </c>
      <c r="D29" s="52">
        <f>Базовый!U21</f>
        <v>540</v>
      </c>
      <c r="E29" s="52">
        <f t="shared" si="0"/>
        <v>108</v>
      </c>
      <c r="F29" s="182"/>
    </row>
    <row r="30" spans="1:6" outlineLevel="3" x14ac:dyDescent="0.35">
      <c r="A30" s="55" t="str">
        <f>Базовый!A22</f>
        <v>Шкаф для одежды,96*175*37</v>
      </c>
      <c r="B30" s="60">
        <f>Базовый!C22</f>
        <v>0.2</v>
      </c>
      <c r="C30" s="52">
        <f>Базовый!T22</f>
        <v>5</v>
      </c>
      <c r="D30" s="52">
        <f>Базовый!U22</f>
        <v>1208.2</v>
      </c>
      <c r="E30" s="52">
        <f t="shared" si="0"/>
        <v>48.328000000000003</v>
      </c>
      <c r="F30" s="182"/>
    </row>
    <row r="31" spans="1:6" outlineLevel="3" x14ac:dyDescent="0.35">
      <c r="A31" s="55" t="str">
        <f>Базовый!A23</f>
        <v>Скамейка,125*40*25</v>
      </c>
      <c r="B31" s="60">
        <f>Базовый!C23</f>
        <v>0.25</v>
      </c>
      <c r="C31" s="52">
        <f>Базовый!T23</f>
        <v>5</v>
      </c>
      <c r="D31" s="52">
        <f>Базовый!U23</f>
        <v>1070</v>
      </c>
      <c r="E31" s="52">
        <f t="shared" si="0"/>
        <v>53.5</v>
      </c>
      <c r="F31" s="182"/>
    </row>
    <row r="32" spans="1:6" ht="26" outlineLevel="3" x14ac:dyDescent="0.35">
      <c r="A32" s="55" t="str">
        <f>Базовый!A24</f>
        <v>Стол детский прямоугольный регулируемый</v>
      </c>
      <c r="B32" s="60">
        <f>Базовый!C24</f>
        <v>9.8360655737704916E-2</v>
      </c>
      <c r="C32" s="52">
        <f>Базовый!T24</f>
        <v>5</v>
      </c>
      <c r="D32" s="52">
        <f>Базовый!U24</f>
        <v>2158.3333333333335</v>
      </c>
      <c r="E32" s="52">
        <f t="shared" si="0"/>
        <v>42.459016393442624</v>
      </c>
      <c r="F32" s="182"/>
    </row>
    <row r="33" spans="1:6" ht="26" outlineLevel="3" x14ac:dyDescent="0.35">
      <c r="A33" s="55" t="str">
        <f>Базовый!A25</f>
        <v>Стол детский квадратный регулируемый</v>
      </c>
      <c r="B33" s="60">
        <f>Базовый!C25</f>
        <v>4.9180327868852458E-2</v>
      </c>
      <c r="C33" s="52">
        <f>Базовый!T25</f>
        <v>5</v>
      </c>
      <c r="D33" s="52">
        <f>Базовый!U25</f>
        <v>2233.3333333333335</v>
      </c>
      <c r="E33" s="52">
        <f t="shared" si="0"/>
        <v>21.967213114754099</v>
      </c>
      <c r="F33" s="182"/>
    </row>
    <row r="34" spans="1:6" outlineLevel="3" x14ac:dyDescent="0.35">
      <c r="A34" s="55" t="str">
        <f>Базовый!A26</f>
        <v>Стол разделочный (пищеблок)</v>
      </c>
      <c r="B34" s="60">
        <f>Базовый!C26</f>
        <v>2.7777777777777776E-2</v>
      </c>
      <c r="C34" s="52">
        <f>Базовый!T26</f>
        <v>5</v>
      </c>
      <c r="D34" s="52">
        <f>Базовый!U26</f>
        <v>5937.3</v>
      </c>
      <c r="E34" s="52">
        <f t="shared" si="0"/>
        <v>32.984999999999999</v>
      </c>
      <c r="F34" s="182"/>
    </row>
    <row r="35" spans="1:6" outlineLevel="3" x14ac:dyDescent="0.35">
      <c r="A35" s="55" t="str">
        <f>Базовый!A27</f>
        <v>Стеллаж (пищеблок)</v>
      </c>
      <c r="B35" s="60">
        <f>Базовый!C27</f>
        <v>9.2592592592592587E-3</v>
      </c>
      <c r="C35" s="52">
        <f>Базовый!T27</f>
        <v>5</v>
      </c>
      <c r="D35" s="52">
        <f>Базовый!U27</f>
        <v>11826.763333333334</v>
      </c>
      <c r="E35" s="52">
        <f t="shared" si="0"/>
        <v>21.901413580246913</v>
      </c>
      <c r="F35" s="182"/>
    </row>
    <row r="36" spans="1:6" ht="26" outlineLevel="3" x14ac:dyDescent="0.35">
      <c r="A36" s="55" t="str">
        <f>Базовый!A28</f>
        <v>Кухонный гарнитур со стойкой 100см</v>
      </c>
      <c r="B36" s="60">
        <f>Базовый!C28</f>
        <v>8.4033613445378148E-3</v>
      </c>
      <c r="C36" s="52">
        <f>Базовый!T28</f>
        <v>5</v>
      </c>
      <c r="D36" s="52">
        <f>Базовый!U28</f>
        <v>24083.333333333332</v>
      </c>
      <c r="E36" s="52">
        <f t="shared" si="0"/>
        <v>40.476190476190474</v>
      </c>
      <c r="F36" s="182"/>
    </row>
    <row r="37" spans="1:6" ht="26" outlineLevel="3" x14ac:dyDescent="0.35">
      <c r="A37" s="55" t="str">
        <f>Базовый!A29</f>
        <v>Стол кухонный со столешницей</v>
      </c>
      <c r="B37" s="60">
        <f>Базовый!C29</f>
        <v>8.5470085470085479E-3</v>
      </c>
      <c r="C37" s="52">
        <f>Базовый!T29</f>
        <v>5</v>
      </c>
      <c r="D37" s="52">
        <f>Базовый!U29</f>
        <v>8660</v>
      </c>
      <c r="E37" s="52">
        <f t="shared" si="0"/>
        <v>14.803418803418806</v>
      </c>
      <c r="F37" s="182"/>
    </row>
    <row r="38" spans="1:6" ht="39" outlineLevel="3" x14ac:dyDescent="0.35">
      <c r="A38" s="55" t="str">
        <f>Базовый!A30</f>
        <v>Шкаф для доски и полотенец на металлических ножках,145*100*35</v>
      </c>
      <c r="B38" s="60">
        <f>Базовый!C30</f>
        <v>8.4033613445378148E-3</v>
      </c>
      <c r="C38" s="52">
        <f>Базовый!T30</f>
        <v>5</v>
      </c>
      <c r="D38" s="52">
        <f>Базовый!U30</f>
        <v>7996.666666666667</v>
      </c>
      <c r="E38" s="52">
        <f t="shared" si="0"/>
        <v>13.439775910364146</v>
      </c>
      <c r="F38" s="182"/>
    </row>
    <row r="39" spans="1:6" outlineLevel="3" x14ac:dyDescent="0.35">
      <c r="A39" s="55" t="str">
        <f>Базовый!A31</f>
        <v>Шкаф для книг</v>
      </c>
      <c r="B39" s="60">
        <f>Базовый!C31</f>
        <v>1.680672268907563E-2</v>
      </c>
      <c r="C39" s="52">
        <f>Базовый!T31</f>
        <v>5</v>
      </c>
      <c r="D39" s="52">
        <f>Базовый!U31</f>
        <v>4156.666666666667</v>
      </c>
      <c r="E39" s="52">
        <f t="shared" si="0"/>
        <v>13.971988795518207</v>
      </c>
      <c r="F39" s="182"/>
    </row>
    <row r="40" spans="1:6" outlineLevel="3" x14ac:dyDescent="0.35">
      <c r="A40" s="55" t="str">
        <f>Базовый!A32</f>
        <v>Шкаф для документов</v>
      </c>
      <c r="B40" s="60">
        <f>Базовый!C32</f>
        <v>8.1967213114754103E-3</v>
      </c>
      <c r="C40" s="52">
        <f>Базовый!T32</f>
        <v>5</v>
      </c>
      <c r="D40" s="52">
        <f>Базовый!U32</f>
        <v>5410</v>
      </c>
      <c r="E40" s="52">
        <f t="shared" si="0"/>
        <v>8.8688524590163933</v>
      </c>
      <c r="F40" s="182"/>
    </row>
    <row r="41" spans="1:6" ht="26" outlineLevel="3" x14ac:dyDescent="0.35">
      <c r="A41" s="55" t="str">
        <f>Базовый!A33</f>
        <v>Шкаф для сотрудников трехстворчатый</v>
      </c>
      <c r="B41" s="60">
        <f>Базовый!C33</f>
        <v>8.5470085470085479E-3</v>
      </c>
      <c r="C41" s="52">
        <f>Базовый!T33</f>
        <v>5</v>
      </c>
      <c r="D41" s="52">
        <f>Базовый!U33</f>
        <v>12450</v>
      </c>
      <c r="E41" s="52">
        <f t="shared" si="0"/>
        <v>21.282051282051285</v>
      </c>
      <c r="F41" s="182"/>
    </row>
    <row r="42" spans="1:6" outlineLevel="3" x14ac:dyDescent="0.35">
      <c r="A42" s="55" t="str">
        <f>Базовый!A34</f>
        <v>Стул офисный</v>
      </c>
      <c r="B42" s="60">
        <f>Базовый!C34</f>
        <v>0.12820512820512819</v>
      </c>
      <c r="C42" s="52">
        <f>Базовый!T34</f>
        <v>5</v>
      </c>
      <c r="D42" s="52">
        <f>Базовый!U34</f>
        <v>893</v>
      </c>
      <c r="E42" s="52">
        <f t="shared" si="0"/>
        <v>22.897435897435898</v>
      </c>
      <c r="F42" s="182"/>
    </row>
    <row r="43" spans="1:6" ht="39" outlineLevel="3" x14ac:dyDescent="0.35">
      <c r="A43" s="55" t="str">
        <f>Базовый!A35</f>
        <v>Стол письменный с ящиками на металлических опорах,90*60*75</v>
      </c>
      <c r="B43" s="60">
        <f>Базовый!C35</f>
        <v>4.6296296296296294E-2</v>
      </c>
      <c r="C43" s="52">
        <f>Базовый!T35</f>
        <v>5</v>
      </c>
      <c r="D43" s="52">
        <f>Базовый!U35</f>
        <v>3787.7000000000003</v>
      </c>
      <c r="E43" s="52">
        <f t="shared" si="0"/>
        <v>35.071296296296296</v>
      </c>
      <c r="F43" s="182"/>
    </row>
    <row r="44" spans="1:6" outlineLevel="3" x14ac:dyDescent="0.35">
      <c r="A44" s="55" t="str">
        <f>Базовый!A36</f>
        <v>Стол компьютерный угловой</v>
      </c>
      <c r="B44" s="60">
        <f>Базовый!C36</f>
        <v>8.1967213114754103E-3</v>
      </c>
      <c r="C44" s="52">
        <f>Базовый!T36</f>
        <v>5</v>
      </c>
      <c r="D44" s="52">
        <f>Базовый!U36</f>
        <v>6563.333333333333</v>
      </c>
      <c r="E44" s="52">
        <f t="shared" si="0"/>
        <v>10.759562841530053</v>
      </c>
      <c r="F44" s="182"/>
    </row>
    <row r="45" spans="1:6" outlineLevel="3" x14ac:dyDescent="0.35">
      <c r="A45" s="55" t="str">
        <f>Базовый!A37</f>
        <v>Стол журнальный</v>
      </c>
      <c r="B45" s="60">
        <f>Базовый!C37</f>
        <v>8.1967213114754103E-3</v>
      </c>
      <c r="C45" s="52">
        <f>Базовый!T37</f>
        <v>5</v>
      </c>
      <c r="D45" s="52">
        <f>Базовый!U37</f>
        <v>4210</v>
      </c>
      <c r="E45" s="52">
        <f t="shared" si="0"/>
        <v>6.9016393442622954</v>
      </c>
      <c r="F45" s="182"/>
    </row>
    <row r="46" spans="1:6" outlineLevel="2" x14ac:dyDescent="0.35">
      <c r="A46" s="55" t="str">
        <f>Базовый!A38</f>
        <v>Посуда</v>
      </c>
      <c r="B46" s="60" t="str">
        <f>Базовый!C38</f>
        <v>х</v>
      </c>
      <c r="C46" s="52" t="str">
        <f>Базовый!T38</f>
        <v>х</v>
      </c>
      <c r="D46" s="52" t="str">
        <f>Базовый!U38</f>
        <v>х</v>
      </c>
      <c r="E46" s="52">
        <f>SUM(E47:E76)</f>
        <v>246.23308144166347</v>
      </c>
      <c r="F46" s="182"/>
    </row>
    <row r="47" spans="1:6" outlineLevel="3" x14ac:dyDescent="0.35">
      <c r="A47" s="55" t="str">
        <f>Базовый!A39</f>
        <v>Кастрюля 3л</v>
      </c>
      <c r="B47" s="60">
        <f>Базовый!C39</f>
        <v>7.6923076923076927E-2</v>
      </c>
      <c r="C47" s="52">
        <f>Базовый!T39</f>
        <v>5</v>
      </c>
      <c r="D47" s="52">
        <f>Базовый!U39</f>
        <v>917.66666666666663</v>
      </c>
      <c r="E47" s="52">
        <f t="shared" si="0"/>
        <v>14.117948717948718</v>
      </c>
      <c r="F47" s="182"/>
    </row>
    <row r="48" spans="1:6" outlineLevel="3" x14ac:dyDescent="0.35">
      <c r="A48" s="55" t="str">
        <f>Базовый!A40</f>
        <v>Кастрюля 5л</v>
      </c>
      <c r="B48" s="60">
        <f>Базовый!C40</f>
        <v>6.8376068376068383E-2</v>
      </c>
      <c r="C48" s="52">
        <f>Базовый!T40</f>
        <v>5</v>
      </c>
      <c r="D48" s="52">
        <f>Базовый!U40</f>
        <v>1378.3333333333333</v>
      </c>
      <c r="E48" s="52">
        <f t="shared" si="0"/>
        <v>18.849002849002851</v>
      </c>
      <c r="F48" s="182"/>
    </row>
    <row r="49" spans="1:6" outlineLevel="3" x14ac:dyDescent="0.35">
      <c r="A49" s="55" t="str">
        <f>Базовый!A41</f>
        <v>Кастрюля 11л</v>
      </c>
      <c r="B49" s="60">
        <f>Базовый!C41</f>
        <v>6.8376068376068383E-2</v>
      </c>
      <c r="C49" s="52">
        <f>Базовый!T41</f>
        <v>5</v>
      </c>
      <c r="D49" s="52">
        <f>Базовый!U41</f>
        <v>2472.3333333333335</v>
      </c>
      <c r="E49" s="52">
        <f t="shared" si="0"/>
        <v>33.809686609686615</v>
      </c>
      <c r="F49" s="182"/>
    </row>
    <row r="50" spans="1:6" outlineLevel="3" x14ac:dyDescent="0.35">
      <c r="A50" s="55" t="str">
        <f>Базовый!A42</f>
        <v>Кастрюля 15л</v>
      </c>
      <c r="B50" s="60">
        <f>Базовый!C42</f>
        <v>8.5470085470085479E-3</v>
      </c>
      <c r="C50" s="52">
        <f>Базовый!T42</f>
        <v>5</v>
      </c>
      <c r="D50" s="52">
        <f>Базовый!U42</f>
        <v>3291.6666666666665</v>
      </c>
      <c r="E50" s="52">
        <f t="shared" si="0"/>
        <v>5.6267806267806275</v>
      </c>
      <c r="F50" s="182"/>
    </row>
    <row r="51" spans="1:6" outlineLevel="3" x14ac:dyDescent="0.35">
      <c r="A51" s="55" t="str">
        <f>Базовый!A43</f>
        <v>Котел 20л</v>
      </c>
      <c r="B51" s="60">
        <f>Базовый!C43</f>
        <v>1.680672268907563E-2</v>
      </c>
      <c r="C51" s="52">
        <f>Базовый!T43</f>
        <v>5</v>
      </c>
      <c r="D51" s="52">
        <f>Базовый!U43</f>
        <v>3910</v>
      </c>
      <c r="E51" s="52">
        <f t="shared" si="0"/>
        <v>13.142857142857142</v>
      </c>
      <c r="F51" s="182"/>
    </row>
    <row r="52" spans="1:6" outlineLevel="3" x14ac:dyDescent="0.35">
      <c r="A52" s="55" t="str">
        <f>Базовый!A44</f>
        <v>Котел 30л</v>
      </c>
      <c r="B52" s="60">
        <f>Базовый!C44</f>
        <v>1.680672268907563E-2</v>
      </c>
      <c r="C52" s="52">
        <f>Базовый!T44</f>
        <v>5</v>
      </c>
      <c r="D52" s="52">
        <f>Базовый!U44</f>
        <v>4261</v>
      </c>
      <c r="E52" s="52">
        <f t="shared" si="0"/>
        <v>14.322689075630251</v>
      </c>
      <c r="F52" s="182"/>
    </row>
    <row r="53" spans="1:6" outlineLevel="3" x14ac:dyDescent="0.35">
      <c r="A53" s="55" t="str">
        <f>Базовый!A45</f>
        <v>Котел 40л</v>
      </c>
      <c r="B53" s="60">
        <f>Базовый!C45</f>
        <v>1.680672268907563E-2</v>
      </c>
      <c r="C53" s="52">
        <f>Базовый!T45</f>
        <v>5</v>
      </c>
      <c r="D53" s="52">
        <f>Базовый!U45</f>
        <v>5915</v>
      </c>
      <c r="E53" s="52">
        <f t="shared" si="0"/>
        <v>19.882352941176467</v>
      </c>
      <c r="F53" s="182"/>
    </row>
    <row r="54" spans="1:6" outlineLevel="3" x14ac:dyDescent="0.35">
      <c r="A54" s="55" t="str">
        <f>Базовый!A46</f>
        <v>Котел 34-37л</v>
      </c>
      <c r="B54" s="60">
        <f>Базовый!C46</f>
        <v>1.680672268907563E-2</v>
      </c>
      <c r="C54" s="52">
        <f>Базовый!T46</f>
        <v>5</v>
      </c>
      <c r="D54" s="52">
        <f>Базовый!U46</f>
        <v>5372</v>
      </c>
      <c r="E54" s="52">
        <f t="shared" si="0"/>
        <v>18.057142857142857</v>
      </c>
      <c r="F54" s="182"/>
    </row>
    <row r="55" spans="1:6" outlineLevel="3" x14ac:dyDescent="0.35">
      <c r="A55" s="55" t="str">
        <f>Базовый!A47</f>
        <v>Миска нерж (600мл)</v>
      </c>
      <c r="B55" s="60">
        <f>Базовый!C47</f>
        <v>5.128205128205128E-2</v>
      </c>
      <c r="C55" s="52">
        <f>Базовый!T47</f>
        <v>5</v>
      </c>
      <c r="D55" s="52">
        <f>Базовый!U47</f>
        <v>744.77</v>
      </c>
      <c r="E55" s="52">
        <f t="shared" si="0"/>
        <v>7.6386666666666665</v>
      </c>
      <c r="F55" s="182"/>
    </row>
    <row r="56" spans="1:6" outlineLevel="3" x14ac:dyDescent="0.35">
      <c r="A56" s="55" t="str">
        <f>Базовый!A48</f>
        <v>Миска нерж (6 л)</v>
      </c>
      <c r="B56" s="60">
        <f>Базовый!C48</f>
        <v>4.2735042735042736E-2</v>
      </c>
      <c r="C56" s="52">
        <f>Базовый!T48</f>
        <v>5</v>
      </c>
      <c r="D56" s="52">
        <f>Базовый!U48</f>
        <v>456.33</v>
      </c>
      <c r="E56" s="52">
        <f t="shared" si="0"/>
        <v>3.9002564102564103</v>
      </c>
      <c r="F56" s="182"/>
    </row>
    <row r="57" spans="1:6" outlineLevel="3" x14ac:dyDescent="0.35">
      <c r="A57" s="55" t="str">
        <f>Базовый!A49</f>
        <v>Миска Д-260</v>
      </c>
      <c r="B57" s="60">
        <f>Базовый!C49</f>
        <v>2.5210084033613446E-2</v>
      </c>
      <c r="C57" s="52">
        <f>Базовый!T49</f>
        <v>5</v>
      </c>
      <c r="D57" s="52">
        <f>Базовый!U49</f>
        <v>221.66666666666666</v>
      </c>
      <c r="E57" s="52">
        <f t="shared" si="0"/>
        <v>1.1176470588235294</v>
      </c>
      <c r="F57" s="182"/>
    </row>
    <row r="58" spans="1:6" outlineLevel="3" x14ac:dyDescent="0.35">
      <c r="A58" s="55" t="str">
        <f>Базовый!A50</f>
        <v>Миска Д-480</v>
      </c>
      <c r="B58" s="60">
        <f>Базовый!C50</f>
        <v>1.680672268907563E-2</v>
      </c>
      <c r="C58" s="52">
        <f>Базовый!T50</f>
        <v>5</v>
      </c>
      <c r="D58" s="52">
        <f>Базовый!U50</f>
        <v>712.66666666666663</v>
      </c>
      <c r="E58" s="52">
        <f t="shared" si="0"/>
        <v>2.3955182072829131</v>
      </c>
      <c r="F58" s="182"/>
    </row>
    <row r="59" spans="1:6" outlineLevel="3" x14ac:dyDescent="0.35">
      <c r="A59" s="55" t="str">
        <f>Базовый!A51</f>
        <v>Таз 20 л</v>
      </c>
      <c r="B59" s="60">
        <f>Базовый!C51</f>
        <v>0.05</v>
      </c>
      <c r="C59" s="52">
        <f>Базовый!T51</f>
        <v>5</v>
      </c>
      <c r="D59" s="52">
        <f>Базовый!U51</f>
        <v>368.66666666666669</v>
      </c>
      <c r="E59" s="52">
        <f t="shared" si="0"/>
        <v>3.686666666666667</v>
      </c>
      <c r="F59" s="182"/>
    </row>
    <row r="60" spans="1:6" outlineLevel="3" x14ac:dyDescent="0.35">
      <c r="A60" s="55" t="str">
        <f>Базовый!A52</f>
        <v>Таз 30 л</v>
      </c>
      <c r="B60" s="60">
        <f>Базовый!C52</f>
        <v>0.05</v>
      </c>
      <c r="C60" s="52">
        <f>Базовый!T52</f>
        <v>5</v>
      </c>
      <c r="D60" s="52">
        <f>Базовый!U52</f>
        <v>409</v>
      </c>
      <c r="E60" s="52">
        <f t="shared" si="0"/>
        <v>4.09</v>
      </c>
      <c r="F60" s="182"/>
    </row>
    <row r="61" spans="1:6" outlineLevel="3" x14ac:dyDescent="0.35">
      <c r="A61" s="55" t="str">
        <f>Базовый!A53</f>
        <v>Доска разделочная деревянная</v>
      </c>
      <c r="B61" s="60">
        <f>Базовый!C53</f>
        <v>4.4444444444444446E-2</v>
      </c>
      <c r="C61" s="52">
        <f>Базовый!T53</f>
        <v>5</v>
      </c>
      <c r="D61" s="52">
        <f>Базовый!U53</f>
        <v>234</v>
      </c>
      <c r="E61" s="52">
        <f t="shared" si="0"/>
        <v>2.08</v>
      </c>
      <c r="F61" s="182"/>
    </row>
    <row r="62" spans="1:6" outlineLevel="3" x14ac:dyDescent="0.35">
      <c r="A62" s="55" t="str">
        <f>Базовый!A54</f>
        <v>Кувшин для воды</v>
      </c>
      <c r="B62" s="60">
        <f>Базовый!C54</f>
        <v>8.771929824561403E-3</v>
      </c>
      <c r="C62" s="52">
        <f>Базовый!T54</f>
        <v>5</v>
      </c>
      <c r="D62" s="52">
        <f>Базовый!U54</f>
        <v>252</v>
      </c>
      <c r="E62" s="52">
        <f t="shared" si="0"/>
        <v>0.44210526315789467</v>
      </c>
      <c r="F62" s="182"/>
    </row>
    <row r="63" spans="1:6" outlineLevel="3" x14ac:dyDescent="0.35">
      <c r="A63" s="55" t="str">
        <f>Базовый!A55</f>
        <v>Ковш нержавейка</v>
      </c>
      <c r="B63" s="60">
        <f>Базовый!C55</f>
        <v>1.7094017094017096E-2</v>
      </c>
      <c r="C63" s="52">
        <f>Базовый!T55</f>
        <v>5</v>
      </c>
      <c r="D63" s="52">
        <f>Базовый!U55</f>
        <v>704</v>
      </c>
      <c r="E63" s="52">
        <f t="shared" si="0"/>
        <v>2.4068376068376072</v>
      </c>
      <c r="F63" s="182"/>
    </row>
    <row r="64" spans="1:6" outlineLevel="3" x14ac:dyDescent="0.35">
      <c r="A64" s="55" t="str">
        <f>Базовый!A56</f>
        <v>Половник 500 мл</v>
      </c>
      <c r="B64" s="60">
        <f>Базовый!C56</f>
        <v>6.8376068376068383E-2</v>
      </c>
      <c r="C64" s="52">
        <f>Базовый!T56</f>
        <v>5</v>
      </c>
      <c r="D64" s="52">
        <f>Базовый!U56</f>
        <v>510</v>
      </c>
      <c r="E64" s="52">
        <f t="shared" si="0"/>
        <v>6.9743589743589753</v>
      </c>
      <c r="F64" s="182"/>
    </row>
    <row r="65" spans="1:6" outlineLevel="3" x14ac:dyDescent="0.35">
      <c r="A65" s="55" t="str">
        <f>Базовый!A57</f>
        <v>Салатник</v>
      </c>
      <c r="B65" s="60">
        <f>Базовый!C57</f>
        <v>0.42735042735042733</v>
      </c>
      <c r="C65" s="52">
        <f>Базовый!T57</f>
        <v>5</v>
      </c>
      <c r="D65" s="52">
        <f>Базовый!U57</f>
        <v>79</v>
      </c>
      <c r="E65" s="52">
        <f t="shared" si="0"/>
        <v>6.7521367521367521</v>
      </c>
      <c r="F65" s="182"/>
    </row>
    <row r="66" spans="1:6" ht="26" outlineLevel="3" x14ac:dyDescent="0.35">
      <c r="A66" s="55" t="str">
        <f>Базовый!A58</f>
        <v>Емкость для столовых приборов</v>
      </c>
      <c r="B66" s="60">
        <f>Базовый!C58</f>
        <v>5.128205128205128E-2</v>
      </c>
      <c r="C66" s="52">
        <f>Базовый!T58</f>
        <v>5</v>
      </c>
      <c r="D66" s="52">
        <f>Базовый!U58</f>
        <v>966.05666666666673</v>
      </c>
      <c r="E66" s="52">
        <f t="shared" si="0"/>
        <v>9.9082735042735042</v>
      </c>
      <c r="F66" s="182"/>
    </row>
    <row r="67" spans="1:6" outlineLevel="3" x14ac:dyDescent="0.35">
      <c r="A67" s="55" t="str">
        <f>Базовый!A59</f>
        <v>Блюдце</v>
      </c>
      <c r="B67" s="60">
        <f>Базовый!C59</f>
        <v>0.85470085470085466</v>
      </c>
      <c r="C67" s="52">
        <f>Базовый!T59</f>
        <v>5</v>
      </c>
      <c r="D67" s="52">
        <f>Базовый!U59</f>
        <v>40.266666666666666</v>
      </c>
      <c r="E67" s="52">
        <f t="shared" si="0"/>
        <v>6.883190883190883</v>
      </c>
      <c r="F67" s="182"/>
    </row>
    <row r="68" spans="1:6" outlineLevel="3" x14ac:dyDescent="0.35">
      <c r="A68" s="55" t="str">
        <f>Базовый!A60</f>
        <v>Бокал с ручкой</v>
      </c>
      <c r="B68" s="60">
        <f>Базовый!C60</f>
        <v>0.85470085470085466</v>
      </c>
      <c r="C68" s="52">
        <f>Базовый!T60</f>
        <v>5</v>
      </c>
      <c r="D68" s="52">
        <f>Базовый!U60</f>
        <v>58</v>
      </c>
      <c r="E68" s="52">
        <f t="shared" si="0"/>
        <v>9.9145299145299148</v>
      </c>
      <c r="F68" s="182"/>
    </row>
    <row r="69" spans="1:6" outlineLevel="3" x14ac:dyDescent="0.35">
      <c r="A69" s="55" t="str">
        <f>Базовый!A61</f>
        <v>Бокал 180 мл</v>
      </c>
      <c r="B69" s="60">
        <f>Базовый!C61</f>
        <v>0.42735042735042733</v>
      </c>
      <c r="C69" s="52">
        <f>Базовый!T61</f>
        <v>5</v>
      </c>
      <c r="D69" s="52">
        <f>Базовый!U61</f>
        <v>69.33</v>
      </c>
      <c r="E69" s="52">
        <f t="shared" si="0"/>
        <v>5.9256410256410259</v>
      </c>
      <c r="F69" s="182"/>
    </row>
    <row r="70" spans="1:6" outlineLevel="3" x14ac:dyDescent="0.35">
      <c r="A70" s="55" t="str">
        <f>Базовый!A62</f>
        <v>Ложка гарнирная</v>
      </c>
      <c r="B70" s="60">
        <f>Базовый!C62</f>
        <v>0.15384615384615385</v>
      </c>
      <c r="C70" s="52">
        <f>Базовый!T62</f>
        <v>5</v>
      </c>
      <c r="D70" s="52">
        <f>Базовый!U62</f>
        <v>243.33333333333334</v>
      </c>
      <c r="E70" s="52">
        <f t="shared" si="0"/>
        <v>7.4871794871794881</v>
      </c>
      <c r="F70" s="182"/>
    </row>
    <row r="71" spans="1:6" outlineLevel="3" x14ac:dyDescent="0.35">
      <c r="A71" s="55" t="str">
        <f>Базовый!A63</f>
        <v>Ложка столовая</v>
      </c>
      <c r="B71" s="60">
        <f>Базовый!C63</f>
        <v>0.25210084033613445</v>
      </c>
      <c r="C71" s="52">
        <f>Базовый!T63</f>
        <v>5</v>
      </c>
      <c r="D71" s="52">
        <f>Базовый!U63</f>
        <v>49.233333333333327</v>
      </c>
      <c r="E71" s="52">
        <f t="shared" si="0"/>
        <v>2.4823529411764702</v>
      </c>
      <c r="F71" s="182"/>
    </row>
    <row r="72" spans="1:6" outlineLevel="3" x14ac:dyDescent="0.35">
      <c r="A72" s="55" t="str">
        <f>Базовый!A64</f>
        <v>Ложка чайная</v>
      </c>
      <c r="B72" s="60">
        <f>Базовый!C64</f>
        <v>0.42735042735042733</v>
      </c>
      <c r="C72" s="52">
        <f>Базовый!T64</f>
        <v>5</v>
      </c>
      <c r="D72" s="52">
        <f>Базовый!U64</f>
        <v>38.800000000000004</v>
      </c>
      <c r="E72" s="52">
        <f t="shared" si="0"/>
        <v>3.3162393162393164</v>
      </c>
      <c r="F72" s="182"/>
    </row>
    <row r="73" spans="1:6" outlineLevel="3" x14ac:dyDescent="0.35">
      <c r="A73" s="55" t="str">
        <f>Базовый!A65</f>
        <v>Вилка столовая</v>
      </c>
      <c r="B73" s="60">
        <f>Базовый!C65</f>
        <v>0.42735042735042733</v>
      </c>
      <c r="C73" s="52">
        <f>Базовый!T65</f>
        <v>5</v>
      </c>
      <c r="D73" s="52">
        <f>Базовый!U65</f>
        <v>50.199999999999996</v>
      </c>
      <c r="E73" s="52">
        <f t="shared" si="0"/>
        <v>4.2905982905982905</v>
      </c>
      <c r="F73" s="182"/>
    </row>
    <row r="74" spans="1:6" outlineLevel="3" x14ac:dyDescent="0.35">
      <c r="A74" s="55" t="str">
        <f>Базовый!A66</f>
        <v xml:space="preserve">Нож </v>
      </c>
      <c r="B74" s="60">
        <f>Базовый!C66</f>
        <v>0.17094017094017094</v>
      </c>
      <c r="C74" s="52">
        <f>Базовый!T66</f>
        <v>5</v>
      </c>
      <c r="D74" s="52">
        <f>Базовый!U66</f>
        <v>55.423333333333325</v>
      </c>
      <c r="E74" s="52">
        <f t="shared" si="0"/>
        <v>1.8948148148148147</v>
      </c>
      <c r="F74" s="182"/>
    </row>
    <row r="75" spans="1:6" outlineLevel="3" x14ac:dyDescent="0.35">
      <c r="A75" s="55" t="str">
        <f>Базовый!A67</f>
        <v>Тарелка глубокая</v>
      </c>
      <c r="B75" s="60">
        <f>Базовый!C67</f>
        <v>0.85470085470085466</v>
      </c>
      <c r="C75" s="52">
        <f>Базовый!T67</f>
        <v>5</v>
      </c>
      <c r="D75" s="52">
        <f>Базовый!U67</f>
        <v>50</v>
      </c>
      <c r="E75" s="52">
        <f t="shared" si="0"/>
        <v>8.5470085470085468</v>
      </c>
      <c r="F75" s="182"/>
    </row>
    <row r="76" spans="1:6" outlineLevel="3" x14ac:dyDescent="0.35">
      <c r="A76" s="55" t="str">
        <f>Базовый!A68</f>
        <v>Тарелка мелкая</v>
      </c>
      <c r="B76" s="60">
        <f>Базовый!C68</f>
        <v>0.85470085470085466</v>
      </c>
      <c r="C76" s="52">
        <f>Базовый!T68</f>
        <v>5</v>
      </c>
      <c r="D76" s="52">
        <f>Базовый!U68</f>
        <v>36.799999999999997</v>
      </c>
      <c r="E76" s="52">
        <f t="shared" si="0"/>
        <v>6.2905982905982905</v>
      </c>
      <c r="F76" s="182"/>
    </row>
    <row r="77" spans="1:6" ht="39" outlineLevel="2" x14ac:dyDescent="0.35">
      <c r="A77" s="55" t="str">
        <f>Базовый!A69</f>
        <v>Оборудование (бытовая техника, медицинское оборудование)</v>
      </c>
      <c r="B77" s="60" t="str">
        <f>Базовый!C69</f>
        <v>х</v>
      </c>
      <c r="C77" s="52" t="str">
        <f>Базовый!T69</f>
        <v>х</v>
      </c>
      <c r="D77" s="52" t="str">
        <f>Базовый!U69</f>
        <v>х</v>
      </c>
      <c r="E77" s="52">
        <f>SUM(E78:E83)</f>
        <v>227.73772331154686</v>
      </c>
      <c r="F77" s="182"/>
    </row>
    <row r="78" spans="1:6" outlineLevel="3" x14ac:dyDescent="0.35">
      <c r="A78" s="55" t="str">
        <f>Базовый!A70</f>
        <v>Чайник 3л</v>
      </c>
      <c r="B78" s="60">
        <f>Базовый!C70</f>
        <v>2.5210084033613446E-2</v>
      </c>
      <c r="C78" s="52">
        <f>Базовый!T70</f>
        <v>5</v>
      </c>
      <c r="D78" s="52">
        <f>Базовый!U70</f>
        <v>736</v>
      </c>
      <c r="E78" s="52">
        <f t="shared" si="0"/>
        <v>3.7109243697478993</v>
      </c>
      <c r="F78" s="182"/>
    </row>
    <row r="79" spans="1:6" outlineLevel="3" x14ac:dyDescent="0.35">
      <c r="A79" s="55" t="str">
        <f>Базовый!A71</f>
        <v xml:space="preserve">Пылесос </v>
      </c>
      <c r="B79" s="60">
        <f>Базовый!C71</f>
        <v>1.680672268907563E-2</v>
      </c>
      <c r="C79" s="52">
        <f>Базовый!T71</f>
        <v>5</v>
      </c>
      <c r="D79" s="52">
        <f>Базовый!U71</f>
        <v>5271.333333333333</v>
      </c>
      <c r="E79" s="52">
        <f t="shared" si="0"/>
        <v>17.718767507002799</v>
      </c>
      <c r="F79" s="182"/>
    </row>
    <row r="80" spans="1:6" ht="26" outlineLevel="3" x14ac:dyDescent="0.35">
      <c r="A80" s="55" t="str">
        <f>Базовый!A72</f>
        <v>Электроплита четырехконфорочная</v>
      </c>
      <c r="B80" s="60">
        <f>Базовый!C72</f>
        <v>1.1111111111111112E-2</v>
      </c>
      <c r="C80" s="52">
        <f>Базовый!T72</f>
        <v>5</v>
      </c>
      <c r="D80" s="52">
        <f>Базовый!U72</f>
        <v>48223.666666666664</v>
      </c>
      <c r="E80" s="52">
        <f t="shared" si="0"/>
        <v>107.1637037037037</v>
      </c>
      <c r="F80" s="182"/>
    </row>
    <row r="81" spans="1:6" outlineLevel="3" x14ac:dyDescent="0.35">
      <c r="A81" s="55" t="str">
        <f>Базовый!A73</f>
        <v>Электромясорубка</v>
      </c>
      <c r="B81" s="60">
        <f>Базовый!C73</f>
        <v>1.1111111111111112E-2</v>
      </c>
      <c r="C81" s="52">
        <f>Базовый!T73</f>
        <v>5</v>
      </c>
      <c r="D81" s="52">
        <f>Базовый!U73</f>
        <v>18840</v>
      </c>
      <c r="E81" s="52">
        <f t="shared" si="0"/>
        <v>41.866666666666667</v>
      </c>
      <c r="F81" s="182"/>
    </row>
    <row r="82" spans="1:6" outlineLevel="3" x14ac:dyDescent="0.35">
      <c r="A82" s="55" t="str">
        <f>Базовый!A74</f>
        <v>Холодильник</v>
      </c>
      <c r="B82" s="60">
        <f>Базовый!C74</f>
        <v>1.0416666666666666E-2</v>
      </c>
      <c r="C82" s="52">
        <f>Базовый!T74</f>
        <v>5</v>
      </c>
      <c r="D82" s="52">
        <f>Базовый!U74</f>
        <v>18700</v>
      </c>
      <c r="E82" s="52">
        <f t="shared" si="0"/>
        <v>38.958333333333336</v>
      </c>
      <c r="F82" s="182"/>
    </row>
    <row r="83" spans="1:6" outlineLevel="3" x14ac:dyDescent="0.35">
      <c r="A83" s="55" t="str">
        <f>Базовый!A75</f>
        <v>Водонагреватель</v>
      </c>
      <c r="B83" s="60">
        <f>Базовый!C75</f>
        <v>8.4033613445378148E-3</v>
      </c>
      <c r="C83" s="52">
        <f>Базовый!T75</f>
        <v>5</v>
      </c>
      <c r="D83" s="52">
        <f>Базовый!U75</f>
        <v>10900</v>
      </c>
      <c r="E83" s="52">
        <f t="shared" si="0"/>
        <v>18.319327731092436</v>
      </c>
      <c r="F83" s="182"/>
    </row>
    <row r="84" spans="1:6" outlineLevel="2" x14ac:dyDescent="0.35">
      <c r="A84" s="55" t="str">
        <f>Базовый!A76</f>
        <v>Спецодежда</v>
      </c>
      <c r="B84" s="60" t="str">
        <f>Базовый!C76</f>
        <v>х</v>
      </c>
      <c r="C84" s="52" t="str">
        <f>Базовый!T76</f>
        <v>х</v>
      </c>
      <c r="D84" s="52" t="str">
        <f>Базовый!U76</f>
        <v>х</v>
      </c>
      <c r="E84" s="52">
        <f>SUM(E85:E88)</f>
        <v>49.705299145299151</v>
      </c>
      <c r="F84" s="182"/>
    </row>
    <row r="85" spans="1:6" outlineLevel="3" x14ac:dyDescent="0.35">
      <c r="A85" s="55" t="str">
        <f>Базовый!A77</f>
        <v>Поварской колпак</v>
      </c>
      <c r="B85" s="60">
        <f>Базовый!C77</f>
        <v>3.4188034188034191E-2</v>
      </c>
      <c r="C85" s="52">
        <f>Базовый!T77</f>
        <v>1</v>
      </c>
      <c r="D85" s="52">
        <f>Базовый!U77</f>
        <v>205</v>
      </c>
      <c r="E85" s="52">
        <f t="shared" si="0"/>
        <v>7.0085470085470094</v>
      </c>
      <c r="F85" s="182"/>
    </row>
    <row r="86" spans="1:6" outlineLevel="3" x14ac:dyDescent="0.35">
      <c r="A86" s="55" t="str">
        <f>Базовый!A78</f>
        <v>Фартук для мытья посуды</v>
      </c>
      <c r="B86" s="60">
        <f>Базовый!C78</f>
        <v>5.9829059829059832E-2</v>
      </c>
      <c r="C86" s="52">
        <f>Базовый!T78</f>
        <v>1</v>
      </c>
      <c r="D86" s="52">
        <f>Базовый!U78</f>
        <v>146.5</v>
      </c>
      <c r="E86" s="52">
        <f t="shared" si="0"/>
        <v>8.7649572649572658</v>
      </c>
      <c r="F86" s="182"/>
    </row>
    <row r="87" spans="1:6" outlineLevel="3" x14ac:dyDescent="0.35">
      <c r="A87" s="55" t="str">
        <f>Базовый!A79</f>
        <v>Рабочий фартук</v>
      </c>
      <c r="B87" s="60">
        <f>Базовый!C79</f>
        <v>8.5470085470085472E-2</v>
      </c>
      <c r="C87" s="52">
        <f>Базовый!T79</f>
        <v>1</v>
      </c>
      <c r="D87" s="52">
        <f>Базовый!U79</f>
        <v>243</v>
      </c>
      <c r="E87" s="52">
        <f>B87/C87*D87</f>
        <v>20.76923076923077</v>
      </c>
      <c r="F87" s="182"/>
    </row>
    <row r="88" spans="1:6" ht="26" outlineLevel="3" x14ac:dyDescent="0.35">
      <c r="A88" s="55" t="str">
        <f>Базовый!A80</f>
        <v>Фартук для кормления св.тонов</v>
      </c>
      <c r="B88" s="60">
        <f>Базовый!C80</f>
        <v>5.128205128205128E-2</v>
      </c>
      <c r="C88" s="52">
        <f>Базовый!T80</f>
        <v>1</v>
      </c>
      <c r="D88" s="52">
        <f>Базовый!U80</f>
        <v>256.67</v>
      </c>
      <c r="E88" s="52">
        <f>B88/C88*D88</f>
        <v>13.162564102564103</v>
      </c>
      <c r="F88" s="182"/>
    </row>
    <row r="89" spans="1:6" hidden="1" outlineLevel="2" x14ac:dyDescent="0.35">
      <c r="A89" s="55"/>
      <c r="B89" s="60"/>
      <c r="C89" s="52"/>
      <c r="D89" s="52"/>
      <c r="E89" s="52"/>
      <c r="F89" s="182"/>
    </row>
    <row r="90" spans="1:6" hidden="1" outlineLevel="3" x14ac:dyDescent="0.35">
      <c r="A90" s="55"/>
      <c r="B90" s="60"/>
      <c r="C90" s="52"/>
      <c r="D90" s="52"/>
      <c r="E90" s="52"/>
      <c r="F90" s="182"/>
    </row>
    <row r="91" spans="1:6" hidden="1" outlineLevel="3" x14ac:dyDescent="0.35">
      <c r="A91" s="55"/>
      <c r="B91" s="60"/>
      <c r="C91" s="52"/>
      <c r="D91" s="52"/>
      <c r="E91" s="52"/>
      <c r="F91" s="182"/>
    </row>
    <row r="92" spans="1:6" hidden="1" outlineLevel="3" x14ac:dyDescent="0.35">
      <c r="A92" s="55"/>
      <c r="B92" s="60"/>
      <c r="C92" s="52"/>
      <c r="D92" s="52"/>
      <c r="E92" s="52"/>
      <c r="F92" s="182"/>
    </row>
    <row r="93" spans="1:6" hidden="1" outlineLevel="3" x14ac:dyDescent="0.35">
      <c r="A93" s="55"/>
      <c r="B93" s="60"/>
      <c r="C93" s="52"/>
      <c r="D93" s="52"/>
      <c r="E93" s="52"/>
      <c r="F93" s="182"/>
    </row>
    <row r="94" spans="1:6" hidden="1" outlineLevel="3" x14ac:dyDescent="0.35">
      <c r="A94" s="55"/>
      <c r="B94" s="60"/>
      <c r="C94" s="52"/>
      <c r="D94" s="52"/>
      <c r="E94" s="52"/>
      <c r="F94" s="182"/>
    </row>
    <row r="95" spans="1:6" hidden="1" outlineLevel="3" x14ac:dyDescent="0.35">
      <c r="A95" s="55"/>
      <c r="B95" s="60"/>
      <c r="C95" s="52"/>
      <c r="D95" s="52"/>
      <c r="E95" s="52"/>
      <c r="F95" s="182"/>
    </row>
    <row r="96" spans="1:6" hidden="1" outlineLevel="3" x14ac:dyDescent="0.35">
      <c r="A96" s="55"/>
      <c r="B96" s="60"/>
      <c r="C96" s="52"/>
      <c r="D96" s="52"/>
      <c r="E96" s="52"/>
      <c r="F96" s="182"/>
    </row>
    <row r="97" spans="1:6" hidden="1" outlineLevel="3" x14ac:dyDescent="0.35">
      <c r="A97" s="55"/>
      <c r="B97" s="60"/>
      <c r="C97" s="52"/>
      <c r="D97" s="52"/>
      <c r="E97" s="52"/>
      <c r="F97" s="182"/>
    </row>
    <row r="98" spans="1:6" hidden="1" outlineLevel="3" x14ac:dyDescent="0.35">
      <c r="A98" s="55"/>
      <c r="B98" s="60"/>
      <c r="C98" s="52"/>
      <c r="D98" s="52"/>
      <c r="E98" s="52"/>
      <c r="F98" s="182"/>
    </row>
    <row r="99" spans="1:6" hidden="1" outlineLevel="3" x14ac:dyDescent="0.35">
      <c r="A99" s="55"/>
      <c r="B99" s="60"/>
      <c r="C99" s="52"/>
      <c r="D99" s="52"/>
      <c r="E99" s="52"/>
      <c r="F99" s="182"/>
    </row>
    <row r="100" spans="1:6" hidden="1" outlineLevel="3" x14ac:dyDescent="0.35">
      <c r="A100" s="55"/>
      <c r="B100" s="60"/>
      <c r="C100" s="52"/>
      <c r="D100" s="52"/>
      <c r="E100" s="52"/>
      <c r="F100" s="182"/>
    </row>
    <row r="101" spans="1:6" hidden="1" outlineLevel="3" x14ac:dyDescent="0.35">
      <c r="A101" s="55"/>
      <c r="B101" s="60"/>
      <c r="C101" s="52"/>
      <c r="D101" s="52"/>
      <c r="E101" s="52"/>
      <c r="F101" s="182"/>
    </row>
    <row r="102" spans="1:6" hidden="1" outlineLevel="3" x14ac:dyDescent="0.35">
      <c r="A102" s="55"/>
      <c r="B102" s="60"/>
      <c r="C102" s="52"/>
      <c r="D102" s="52"/>
      <c r="E102" s="52"/>
      <c r="F102" s="182"/>
    </row>
    <row r="103" spans="1:6" hidden="1" outlineLevel="3" x14ac:dyDescent="0.35">
      <c r="A103" s="55"/>
      <c r="B103" s="60"/>
      <c r="C103" s="52"/>
      <c r="D103" s="52"/>
      <c r="E103" s="52"/>
      <c r="F103" s="182"/>
    </row>
    <row r="104" spans="1:6" outlineLevel="2" x14ac:dyDescent="0.35">
      <c r="A104" s="55" t="str">
        <f>Базовый!A96</f>
        <v>Средства личной гигиены</v>
      </c>
      <c r="B104" s="60" t="str">
        <f>Базовый!C96</f>
        <v>х</v>
      </c>
      <c r="C104" s="52" t="str">
        <f>Базовый!T96</f>
        <v>х</v>
      </c>
      <c r="D104" s="52" t="str">
        <f>Базовый!U96</f>
        <v>х</v>
      </c>
      <c r="E104" s="52">
        <f>SUM(E105:E106)</f>
        <v>48.21652421652422</v>
      </c>
      <c r="F104" s="182"/>
    </row>
    <row r="105" spans="1:6" outlineLevel="3" x14ac:dyDescent="0.35">
      <c r="A105" s="55" t="str">
        <f>Базовый!A97</f>
        <v>Туалетная бумага</v>
      </c>
      <c r="B105" s="60">
        <f>Базовый!C97</f>
        <v>2.5641025641025643</v>
      </c>
      <c r="C105" s="52">
        <f>Базовый!T97</f>
        <v>1</v>
      </c>
      <c r="D105" s="52">
        <f>Базовый!U97</f>
        <v>4.5</v>
      </c>
      <c r="E105" s="52">
        <f>B105/C105*D105</f>
        <v>11.53846153846154</v>
      </c>
      <c r="F105" s="182"/>
    </row>
    <row r="106" spans="1:6" outlineLevel="3" x14ac:dyDescent="0.35">
      <c r="A106" s="55" t="str">
        <f>Базовый!A98</f>
        <v>Салфетки бумажные</v>
      </c>
      <c r="B106" s="60">
        <f>Базовый!C98</f>
        <v>1.7094017094017093</v>
      </c>
      <c r="C106" s="52">
        <f>Базовый!T98</f>
        <v>1</v>
      </c>
      <c r="D106" s="52">
        <f>Базовый!U98</f>
        <v>21.456666666666667</v>
      </c>
      <c r="E106" s="52">
        <f>B106/C106*D106</f>
        <v>36.67806267806268</v>
      </c>
      <c r="F106" s="182"/>
    </row>
    <row r="107" spans="1:6" ht="30" customHeight="1" outlineLevel="1" collapsed="1" x14ac:dyDescent="0.35">
      <c r="A107" s="175" t="s">
        <v>7</v>
      </c>
      <c r="B107" s="175"/>
      <c r="C107" s="175"/>
      <c r="D107" s="175"/>
      <c r="E107" s="52">
        <f>E108+E119+E141+E181+E197+E201</f>
        <v>911.09518953571012</v>
      </c>
      <c r="F107" s="182"/>
    </row>
    <row r="108" spans="1:6" hidden="1" outlineLevel="2" x14ac:dyDescent="0.35">
      <c r="A108" s="55"/>
      <c r="B108" s="60"/>
      <c r="C108" s="52"/>
      <c r="D108" s="52"/>
      <c r="E108" s="52"/>
      <c r="F108" s="182"/>
    </row>
    <row r="109" spans="1:6" hidden="1" outlineLevel="3" x14ac:dyDescent="0.35">
      <c r="A109" s="55"/>
      <c r="B109" s="60"/>
      <c r="C109" s="52"/>
      <c r="D109" s="52"/>
      <c r="E109" s="52"/>
      <c r="F109" s="182"/>
    </row>
    <row r="110" spans="1:6" hidden="1" outlineLevel="3" x14ac:dyDescent="0.35">
      <c r="A110" s="55"/>
      <c r="B110" s="60"/>
      <c r="C110" s="52"/>
      <c r="D110" s="52"/>
      <c r="E110" s="52"/>
      <c r="F110" s="182"/>
    </row>
    <row r="111" spans="1:6" hidden="1" outlineLevel="3" x14ac:dyDescent="0.35">
      <c r="A111" s="55"/>
      <c r="B111" s="60"/>
      <c r="C111" s="52"/>
      <c r="D111" s="52"/>
      <c r="E111" s="52"/>
      <c r="F111" s="182"/>
    </row>
    <row r="112" spans="1:6" hidden="1" outlineLevel="3" x14ac:dyDescent="0.35">
      <c r="A112" s="55"/>
      <c r="B112" s="60"/>
      <c r="C112" s="52"/>
      <c r="D112" s="52"/>
      <c r="E112" s="52"/>
      <c r="F112" s="182"/>
    </row>
    <row r="113" spans="1:6" hidden="1" outlineLevel="3" x14ac:dyDescent="0.35">
      <c r="A113" s="55"/>
      <c r="B113" s="60"/>
      <c r="C113" s="52"/>
      <c r="D113" s="52"/>
      <c r="E113" s="52"/>
      <c r="F113" s="182"/>
    </row>
    <row r="114" spans="1:6" hidden="1" outlineLevel="3" x14ac:dyDescent="0.35">
      <c r="A114" s="55"/>
      <c r="B114" s="60"/>
      <c r="C114" s="52"/>
      <c r="D114" s="52"/>
      <c r="E114" s="52"/>
      <c r="F114" s="182"/>
    </row>
    <row r="115" spans="1:6" hidden="1" outlineLevel="3" x14ac:dyDescent="0.35">
      <c r="A115" s="55"/>
      <c r="B115" s="60"/>
      <c r="C115" s="52"/>
      <c r="D115" s="52"/>
      <c r="E115" s="52"/>
      <c r="F115" s="182"/>
    </row>
    <row r="116" spans="1:6" hidden="1" outlineLevel="3" x14ac:dyDescent="0.35">
      <c r="A116" s="55"/>
      <c r="B116" s="60"/>
      <c r="C116" s="52"/>
      <c r="D116" s="52"/>
      <c r="E116" s="52"/>
      <c r="F116" s="182"/>
    </row>
    <row r="117" spans="1:6" hidden="1" outlineLevel="3" x14ac:dyDescent="0.35">
      <c r="A117" s="55"/>
      <c r="B117" s="60"/>
      <c r="C117" s="52"/>
      <c r="D117" s="52"/>
      <c r="E117" s="52"/>
      <c r="F117" s="182"/>
    </row>
    <row r="118" spans="1:6" hidden="1" outlineLevel="3" x14ac:dyDescent="0.35">
      <c r="A118" s="55"/>
      <c r="B118" s="60"/>
      <c r="C118" s="52"/>
      <c r="D118" s="52"/>
      <c r="E118" s="52"/>
      <c r="F118" s="182"/>
    </row>
    <row r="119" spans="1:6" hidden="1" outlineLevel="2" x14ac:dyDescent="0.35">
      <c r="A119" s="55"/>
      <c r="B119" s="60"/>
      <c r="C119" s="52"/>
      <c r="D119" s="52"/>
      <c r="E119" s="52"/>
      <c r="F119" s="182"/>
    </row>
    <row r="120" spans="1:6" hidden="1" outlineLevel="3" x14ac:dyDescent="0.35">
      <c r="A120" s="55"/>
      <c r="B120" s="60"/>
      <c r="C120" s="52"/>
      <c r="D120" s="52"/>
      <c r="E120" s="52"/>
      <c r="F120" s="182"/>
    </row>
    <row r="121" spans="1:6" hidden="1" outlineLevel="3" x14ac:dyDescent="0.35">
      <c r="A121" s="55"/>
      <c r="B121" s="60"/>
      <c r="C121" s="52"/>
      <c r="D121" s="52"/>
      <c r="E121" s="52"/>
      <c r="F121" s="182"/>
    </row>
    <row r="122" spans="1:6" hidden="1" outlineLevel="3" x14ac:dyDescent="0.35">
      <c r="A122" s="55"/>
      <c r="B122" s="60"/>
      <c r="C122" s="52"/>
      <c r="D122" s="52"/>
      <c r="E122" s="52"/>
      <c r="F122" s="182"/>
    </row>
    <row r="123" spans="1:6" hidden="1" outlineLevel="3" x14ac:dyDescent="0.35">
      <c r="A123" s="55"/>
      <c r="B123" s="60"/>
      <c r="C123" s="52"/>
      <c r="D123" s="52"/>
      <c r="E123" s="52"/>
      <c r="F123" s="182"/>
    </row>
    <row r="124" spans="1:6" hidden="1" outlineLevel="3" x14ac:dyDescent="0.35">
      <c r="A124" s="55"/>
      <c r="B124" s="60"/>
      <c r="C124" s="52"/>
      <c r="D124" s="52"/>
      <c r="E124" s="52"/>
      <c r="F124" s="182"/>
    </row>
    <row r="125" spans="1:6" hidden="1" outlineLevel="3" x14ac:dyDescent="0.35">
      <c r="A125" s="55"/>
      <c r="B125" s="60"/>
      <c r="C125" s="52"/>
      <c r="D125" s="52"/>
      <c r="E125" s="52"/>
      <c r="F125" s="182"/>
    </row>
    <row r="126" spans="1:6" hidden="1" outlineLevel="3" x14ac:dyDescent="0.35">
      <c r="A126" s="55"/>
      <c r="B126" s="60"/>
      <c r="C126" s="52"/>
      <c r="D126" s="52"/>
      <c r="E126" s="52"/>
      <c r="F126" s="182"/>
    </row>
    <row r="127" spans="1:6" hidden="1" outlineLevel="3" x14ac:dyDescent="0.35">
      <c r="A127" s="55"/>
      <c r="B127" s="60"/>
      <c r="C127" s="52"/>
      <c r="D127" s="52"/>
      <c r="E127" s="52"/>
      <c r="F127" s="182"/>
    </row>
    <row r="128" spans="1:6" hidden="1" outlineLevel="3" x14ac:dyDescent="0.35">
      <c r="A128" s="55"/>
      <c r="B128" s="60"/>
      <c r="C128" s="52"/>
      <c r="D128" s="52"/>
      <c r="E128" s="52"/>
      <c r="F128" s="182"/>
    </row>
    <row r="129" spans="1:6" hidden="1" outlineLevel="3" x14ac:dyDescent="0.35">
      <c r="A129" s="55"/>
      <c r="B129" s="60"/>
      <c r="C129" s="52"/>
      <c r="D129" s="52"/>
      <c r="E129" s="52"/>
      <c r="F129" s="182"/>
    </row>
    <row r="130" spans="1:6" hidden="1" outlineLevel="3" x14ac:dyDescent="0.35">
      <c r="A130" s="55"/>
      <c r="B130" s="60"/>
      <c r="C130" s="52"/>
      <c r="D130" s="52"/>
      <c r="E130" s="52"/>
      <c r="F130" s="182"/>
    </row>
    <row r="131" spans="1:6" hidden="1" outlineLevel="3" x14ac:dyDescent="0.35">
      <c r="A131" s="55"/>
      <c r="B131" s="60"/>
      <c r="C131" s="52"/>
      <c r="D131" s="52"/>
      <c r="E131" s="52"/>
      <c r="F131" s="182"/>
    </row>
    <row r="132" spans="1:6" hidden="1" outlineLevel="3" x14ac:dyDescent="0.35">
      <c r="A132" s="55"/>
      <c r="B132" s="60"/>
      <c r="C132" s="52"/>
      <c r="D132" s="52"/>
      <c r="E132" s="52"/>
      <c r="F132" s="182"/>
    </row>
    <row r="133" spans="1:6" hidden="1" outlineLevel="3" x14ac:dyDescent="0.35">
      <c r="A133" s="55"/>
      <c r="B133" s="60"/>
      <c r="C133" s="52"/>
      <c r="D133" s="52"/>
      <c r="E133" s="52"/>
      <c r="F133" s="182"/>
    </row>
    <row r="134" spans="1:6" hidden="1" outlineLevel="3" x14ac:dyDescent="0.35">
      <c r="A134" s="55"/>
      <c r="B134" s="60"/>
      <c r="C134" s="52"/>
      <c r="D134" s="52"/>
      <c r="E134" s="52"/>
      <c r="F134" s="182"/>
    </row>
    <row r="135" spans="1:6" hidden="1" outlineLevel="3" x14ac:dyDescent="0.35">
      <c r="A135" s="55"/>
      <c r="B135" s="60"/>
      <c r="C135" s="52"/>
      <c r="D135" s="52"/>
      <c r="E135" s="52"/>
      <c r="F135" s="182"/>
    </row>
    <row r="136" spans="1:6" hidden="1" outlineLevel="3" x14ac:dyDescent="0.35">
      <c r="A136" s="55"/>
      <c r="B136" s="60"/>
      <c r="C136" s="52"/>
      <c r="D136" s="52"/>
      <c r="E136" s="52"/>
      <c r="F136" s="182"/>
    </row>
    <row r="137" spans="1:6" hidden="1" outlineLevel="3" x14ac:dyDescent="0.35">
      <c r="A137" s="55"/>
      <c r="B137" s="60"/>
      <c r="C137" s="52"/>
      <c r="D137" s="52"/>
      <c r="E137" s="52"/>
      <c r="F137" s="182"/>
    </row>
    <row r="138" spans="1:6" hidden="1" outlineLevel="3" x14ac:dyDescent="0.35">
      <c r="A138" s="55"/>
      <c r="B138" s="60"/>
      <c r="C138" s="52"/>
      <c r="D138" s="52"/>
      <c r="E138" s="52"/>
      <c r="F138" s="182"/>
    </row>
    <row r="139" spans="1:6" hidden="1" outlineLevel="3" x14ac:dyDescent="0.35">
      <c r="A139" s="55"/>
      <c r="B139" s="60"/>
      <c r="C139" s="52"/>
      <c r="D139" s="52"/>
      <c r="E139" s="52"/>
      <c r="F139" s="182"/>
    </row>
    <row r="140" spans="1:6" hidden="1" outlineLevel="3" x14ac:dyDescent="0.35">
      <c r="A140" s="55"/>
      <c r="B140" s="60"/>
      <c r="C140" s="52"/>
      <c r="D140" s="52"/>
      <c r="E140" s="52"/>
      <c r="F140" s="182"/>
    </row>
    <row r="141" spans="1:6" outlineLevel="2" x14ac:dyDescent="0.35">
      <c r="A141" s="55" t="str">
        <f>Базовый!A133</f>
        <v>Медикаменты</v>
      </c>
      <c r="B141" s="60" t="str">
        <f>Базовый!C133</f>
        <v>х</v>
      </c>
      <c r="C141" s="52" t="str">
        <f>Базовый!T133</f>
        <v>х</v>
      </c>
      <c r="D141" s="52" t="str">
        <f>Базовый!U133</f>
        <v>х</v>
      </c>
      <c r="E141" s="52">
        <f>SUM(E142:E180)</f>
        <v>111.37654173849026</v>
      </c>
      <c r="F141" s="182"/>
    </row>
    <row r="142" spans="1:6" outlineLevel="3" x14ac:dyDescent="0.35">
      <c r="A142" s="55" t="str">
        <f>Базовый!A134</f>
        <v>Анальгин</v>
      </c>
      <c r="B142" s="60">
        <f>Базовый!C134</f>
        <v>5.2083333333333336E-2</v>
      </c>
      <c r="C142" s="52">
        <f>Базовый!T134</f>
        <v>1</v>
      </c>
      <c r="D142" s="52">
        <f>Базовый!U134</f>
        <v>12.966666666666667</v>
      </c>
      <c r="E142" s="52">
        <f t="shared" ref="E142:E200" si="1">B142/C142*D142</f>
        <v>0.67534722222222221</v>
      </c>
      <c r="F142" s="182"/>
    </row>
    <row r="143" spans="1:6" outlineLevel="3" x14ac:dyDescent="0.35">
      <c r="A143" s="55" t="str">
        <f>Базовый!A135</f>
        <v>Парацетамол</v>
      </c>
      <c r="B143" s="60">
        <f>Базовый!C135</f>
        <v>5.2083333333333336E-2</v>
      </c>
      <c r="C143" s="52">
        <f>Базовый!T135</f>
        <v>1</v>
      </c>
      <c r="D143" s="52">
        <f>Базовый!U135</f>
        <v>4.3999999999999995</v>
      </c>
      <c r="E143" s="52">
        <f t="shared" si="1"/>
        <v>0.22916666666666666</v>
      </c>
      <c r="F143" s="182"/>
    </row>
    <row r="144" spans="1:6" outlineLevel="3" x14ac:dyDescent="0.35">
      <c r="A144" s="55" t="str">
        <f>Базовый!A136</f>
        <v>Активированный уголь</v>
      </c>
      <c r="B144" s="60">
        <f>Базовый!C136</f>
        <v>4.807692307692308E-2</v>
      </c>
      <c r="C144" s="52">
        <f>Базовый!T136</f>
        <v>1</v>
      </c>
      <c r="D144" s="52">
        <f>Базовый!U136</f>
        <v>3.6666666666666665</v>
      </c>
      <c r="E144" s="52">
        <f t="shared" si="1"/>
        <v>0.17628205128205129</v>
      </c>
      <c r="F144" s="182"/>
    </row>
    <row r="145" spans="1:6" outlineLevel="3" x14ac:dyDescent="0.35">
      <c r="A145" s="55" t="str">
        <f>Базовый!A137</f>
        <v>Аскорбиновая кислота</v>
      </c>
      <c r="B145" s="60">
        <f>Базовый!C137</f>
        <v>1.5625</v>
      </c>
      <c r="C145" s="52">
        <f>Базовый!T137</f>
        <v>1</v>
      </c>
      <c r="D145" s="52">
        <f>Базовый!U137</f>
        <v>3.9666666666666668</v>
      </c>
      <c r="E145" s="52">
        <f t="shared" si="1"/>
        <v>6.197916666666667</v>
      </c>
      <c r="F145" s="182"/>
    </row>
    <row r="146" spans="1:6" outlineLevel="3" x14ac:dyDescent="0.35">
      <c r="A146" s="55" t="str">
        <f>Базовый!A138</f>
        <v>Аскорбиновая кислота (драже)</v>
      </c>
      <c r="B146" s="60">
        <f>Базовый!C138</f>
        <v>0.52083333333333337</v>
      </c>
      <c r="C146" s="52">
        <f>Базовый!T138</f>
        <v>1</v>
      </c>
      <c r="D146" s="52">
        <f>Базовый!U138</f>
        <v>25.666666666666668</v>
      </c>
      <c r="E146" s="52">
        <f t="shared" si="1"/>
        <v>13.368055555555557</v>
      </c>
      <c r="F146" s="182"/>
    </row>
    <row r="147" spans="1:6" outlineLevel="3" x14ac:dyDescent="0.35">
      <c r="A147" s="55" t="str">
        <f>Базовый!A139</f>
        <v>Аммиак</v>
      </c>
      <c r="B147" s="60">
        <f>Базовый!C139</f>
        <v>2.8571428571428571E-2</v>
      </c>
      <c r="C147" s="52">
        <f>Базовый!T139</f>
        <v>1</v>
      </c>
      <c r="D147" s="52">
        <f>Базовый!U139</f>
        <v>21.333333333333332</v>
      </c>
      <c r="E147" s="52">
        <f t="shared" si="1"/>
        <v>0.60952380952380947</v>
      </c>
      <c r="F147" s="182"/>
    </row>
    <row r="148" spans="1:6" outlineLevel="3" x14ac:dyDescent="0.35">
      <c r="A148" s="55" t="str">
        <f>Базовый!A140</f>
        <v>Пантенол спрей</v>
      </c>
      <c r="B148" s="60">
        <f>Базовый!C140</f>
        <v>1.4285714285714285E-2</v>
      </c>
      <c r="C148" s="52">
        <f>Базовый!T140</f>
        <v>1</v>
      </c>
      <c r="D148" s="52">
        <f>Базовый!U140</f>
        <v>349</v>
      </c>
      <c r="E148" s="52">
        <f t="shared" si="1"/>
        <v>4.9857142857142858</v>
      </c>
      <c r="F148" s="182"/>
    </row>
    <row r="149" spans="1:6" outlineLevel="3" x14ac:dyDescent="0.35">
      <c r="A149" s="55" t="str">
        <f>Базовый!A141</f>
        <v>Ингалипт аэрозоль</v>
      </c>
      <c r="B149" s="60">
        <f>Базовый!C141</f>
        <v>1.4285714285714285E-2</v>
      </c>
      <c r="C149" s="52">
        <f>Базовый!T141</f>
        <v>1</v>
      </c>
      <c r="D149" s="52">
        <f>Базовый!U141</f>
        <v>98.333333333333329</v>
      </c>
      <c r="E149" s="52">
        <f t="shared" si="1"/>
        <v>1.4047619047619047</v>
      </c>
      <c r="F149" s="182"/>
    </row>
    <row r="150" spans="1:6" outlineLevel="3" x14ac:dyDescent="0.35">
      <c r="A150" s="55" t="str">
        <f>Базовый!A142</f>
        <v>Фурацилин</v>
      </c>
      <c r="B150" s="60">
        <f>Базовый!C142</f>
        <v>2.8571428571428571E-2</v>
      </c>
      <c r="C150" s="52">
        <f>Базовый!T142</f>
        <v>1</v>
      </c>
      <c r="D150" s="52">
        <f>Базовый!U142</f>
        <v>70</v>
      </c>
      <c r="E150" s="52">
        <f t="shared" si="1"/>
        <v>2</v>
      </c>
      <c r="F150" s="182"/>
    </row>
    <row r="151" spans="1:6" outlineLevel="3" x14ac:dyDescent="0.35">
      <c r="A151" s="55" t="str">
        <f>Базовый!A143</f>
        <v>Витамин "С"</v>
      </c>
      <c r="B151" s="60">
        <f>Базовый!C143</f>
        <v>2.8846153846153848E-2</v>
      </c>
      <c r="C151" s="52">
        <f>Базовый!T143</f>
        <v>1</v>
      </c>
      <c r="D151" s="52">
        <f>Базовый!U143</f>
        <v>277.66666666666669</v>
      </c>
      <c r="E151" s="52">
        <f t="shared" si="1"/>
        <v>8.009615384615385</v>
      </c>
      <c r="F151" s="182"/>
    </row>
    <row r="152" spans="1:6" outlineLevel="3" x14ac:dyDescent="0.35">
      <c r="A152" s="55" t="str">
        <f>Базовый!A144</f>
        <v>Ревит</v>
      </c>
      <c r="B152" s="60">
        <f>Базовый!C144</f>
        <v>0.48076923076923078</v>
      </c>
      <c r="C152" s="52">
        <f>Базовый!T144</f>
        <v>1</v>
      </c>
      <c r="D152" s="52">
        <f>Базовый!U144</f>
        <v>44</v>
      </c>
      <c r="E152" s="52">
        <f t="shared" si="1"/>
        <v>21.153846153846153</v>
      </c>
      <c r="F152" s="182"/>
    </row>
    <row r="153" spans="1:6" outlineLevel="3" x14ac:dyDescent="0.35">
      <c r="A153" s="55" t="str">
        <f>Базовый!A145</f>
        <v>Нафтизин</v>
      </c>
      <c r="B153" s="60">
        <f>Базовый!C145</f>
        <v>2.0833333333333332E-2</v>
      </c>
      <c r="C153" s="52">
        <f>Базовый!T145</f>
        <v>1</v>
      </c>
      <c r="D153" s="52">
        <f>Базовый!U145</f>
        <v>35</v>
      </c>
      <c r="E153" s="52">
        <f t="shared" si="1"/>
        <v>0.72916666666666663</v>
      </c>
      <c r="F153" s="182"/>
    </row>
    <row r="154" spans="1:6" outlineLevel="3" x14ac:dyDescent="0.35">
      <c r="A154" s="55" t="str">
        <f>Базовый!A146</f>
        <v>Ксилен</v>
      </c>
      <c r="B154" s="60">
        <f>Базовый!C146</f>
        <v>4.807692307692308E-2</v>
      </c>
      <c r="C154" s="52">
        <f>Базовый!T146</f>
        <v>1</v>
      </c>
      <c r="D154" s="52">
        <f>Базовый!U146</f>
        <v>46.833333333333336</v>
      </c>
      <c r="E154" s="52">
        <f t="shared" si="1"/>
        <v>2.2516025641025643</v>
      </c>
      <c r="F154" s="182"/>
    </row>
    <row r="155" spans="1:6" outlineLevel="3" x14ac:dyDescent="0.35">
      <c r="A155" s="55" t="str">
        <f>Базовый!A147</f>
        <v>Риностоп</v>
      </c>
      <c r="B155" s="60">
        <f>Базовый!C147</f>
        <v>2.0833333333333332E-2</v>
      </c>
      <c r="C155" s="52">
        <f>Базовый!T147</f>
        <v>1</v>
      </c>
      <c r="D155" s="52">
        <f>Базовый!U147</f>
        <v>34.766666666666666</v>
      </c>
      <c r="E155" s="52">
        <f t="shared" si="1"/>
        <v>0.72430555555555554</v>
      </c>
      <c r="F155" s="182"/>
    </row>
    <row r="156" spans="1:6" outlineLevel="3" x14ac:dyDescent="0.35">
      <c r="A156" s="55" t="str">
        <f>Базовый!A148</f>
        <v>Тавегин</v>
      </c>
      <c r="B156" s="60">
        <f>Базовый!C148</f>
        <v>9.6153846153846159E-3</v>
      </c>
      <c r="C156" s="52">
        <f>Базовый!T148</f>
        <v>1</v>
      </c>
      <c r="D156" s="52">
        <f>Базовый!U148</f>
        <v>220</v>
      </c>
      <c r="E156" s="52">
        <f t="shared" si="1"/>
        <v>2.1153846153846154</v>
      </c>
      <c r="F156" s="182"/>
    </row>
    <row r="157" spans="1:6" outlineLevel="3" x14ac:dyDescent="0.35">
      <c r="A157" s="55" t="str">
        <f>Базовый!A149</f>
        <v>Сульфацил-натрия</v>
      </c>
      <c r="B157" s="60">
        <f>Базовый!C149</f>
        <v>9.6153846153846159E-3</v>
      </c>
      <c r="C157" s="52">
        <f>Базовый!T149</f>
        <v>1</v>
      </c>
      <c r="D157" s="52">
        <f>Базовый!U149</f>
        <v>81.3</v>
      </c>
      <c r="E157" s="52">
        <f t="shared" si="1"/>
        <v>0.78173076923076923</v>
      </c>
      <c r="F157" s="182"/>
    </row>
    <row r="158" spans="1:6" outlineLevel="3" x14ac:dyDescent="0.35">
      <c r="A158" s="55" t="str">
        <f>Базовый!A150</f>
        <v>Валосердин</v>
      </c>
      <c r="B158" s="60">
        <f>Базовый!C150</f>
        <v>1.0416666666666666E-2</v>
      </c>
      <c r="C158" s="52">
        <f>Базовый!T150</f>
        <v>1</v>
      </c>
      <c r="D158" s="52">
        <f>Базовый!U150</f>
        <v>64.733333333333334</v>
      </c>
      <c r="E158" s="52">
        <f t="shared" si="1"/>
        <v>0.67430555555555549</v>
      </c>
      <c r="F158" s="182"/>
    </row>
    <row r="159" spans="1:6" outlineLevel="3" x14ac:dyDescent="0.35">
      <c r="A159" s="55" t="str">
        <f>Базовый!A151</f>
        <v>Нурофен</v>
      </c>
      <c r="B159" s="60">
        <f>Базовый!C151</f>
        <v>1.4285714285714285E-2</v>
      </c>
      <c r="C159" s="52">
        <f>Базовый!T151</f>
        <v>1</v>
      </c>
      <c r="D159" s="52">
        <f>Базовый!U151</f>
        <v>240</v>
      </c>
      <c r="E159" s="52">
        <f t="shared" si="1"/>
        <v>3.4285714285714284</v>
      </c>
      <c r="F159" s="182"/>
    </row>
    <row r="160" spans="1:6" outlineLevel="3" x14ac:dyDescent="0.35">
      <c r="A160" s="55" t="str">
        <f>Базовый!A152</f>
        <v>Дротаверин</v>
      </c>
      <c r="B160" s="60">
        <f>Базовый!C152</f>
        <v>2.0833333333333332E-2</v>
      </c>
      <c r="C160" s="52">
        <f>Базовый!T152</f>
        <v>1</v>
      </c>
      <c r="D160" s="52">
        <f>Базовый!U152</f>
        <v>35.300000000000004</v>
      </c>
      <c r="E160" s="52">
        <f t="shared" si="1"/>
        <v>0.73541666666666672</v>
      </c>
      <c r="F160" s="182"/>
    </row>
    <row r="161" spans="1:6" outlineLevel="3" x14ac:dyDescent="0.35">
      <c r="A161" s="55" t="str">
        <f>Базовый!A153</f>
        <v>Диазолин</v>
      </c>
      <c r="B161" s="60">
        <f>Базовый!C153</f>
        <v>4.1666666666666664E-2</v>
      </c>
      <c r="C161" s="52">
        <f>Базовый!T153</f>
        <v>1</v>
      </c>
      <c r="D161" s="52">
        <f>Базовый!U153</f>
        <v>59.966666666666669</v>
      </c>
      <c r="E161" s="52">
        <f t="shared" si="1"/>
        <v>2.4986111111111109</v>
      </c>
      <c r="F161" s="182"/>
    </row>
    <row r="162" spans="1:6" outlineLevel="3" x14ac:dyDescent="0.35">
      <c r="A162" s="55" t="str">
        <f>Базовый!A154</f>
        <v>Тетрациклиновая глазная мазь</v>
      </c>
      <c r="B162" s="60">
        <f>Базовый!C154</f>
        <v>1.9230769230769232E-2</v>
      </c>
      <c r="C162" s="52">
        <f>Базовый!T154</f>
        <v>1</v>
      </c>
      <c r="D162" s="52">
        <f>Базовый!U154</f>
        <v>48.333333333333336</v>
      </c>
      <c r="E162" s="52">
        <f t="shared" si="1"/>
        <v>0.92948717948717963</v>
      </c>
      <c r="F162" s="182"/>
    </row>
    <row r="163" spans="1:6" outlineLevel="3" x14ac:dyDescent="0.35">
      <c r="A163" s="55" t="str">
        <f>Базовый!A155</f>
        <v>Оксолиновая мазь</v>
      </c>
      <c r="B163" s="60">
        <f>Базовый!C155</f>
        <v>4.807692307692308E-2</v>
      </c>
      <c r="C163" s="52">
        <f>Базовый!T155</f>
        <v>1</v>
      </c>
      <c r="D163" s="52">
        <f>Базовый!U155</f>
        <v>31.333333333333332</v>
      </c>
      <c r="E163" s="52">
        <f t="shared" si="1"/>
        <v>1.5064102564102564</v>
      </c>
      <c r="F163" s="182"/>
    </row>
    <row r="164" spans="1:6" outlineLevel="3" x14ac:dyDescent="0.35">
      <c r="A164" s="55" t="str">
        <f>Базовый!A156</f>
        <v>Цитрамон</v>
      </c>
      <c r="B164" s="60">
        <f>Базовый!C156</f>
        <v>4.2857142857142858E-2</v>
      </c>
      <c r="C164" s="52">
        <f>Базовый!T156</f>
        <v>1</v>
      </c>
      <c r="D164" s="52">
        <f>Базовый!U156</f>
        <v>6.666666666666667</v>
      </c>
      <c r="E164" s="52">
        <f t="shared" si="1"/>
        <v>0.28571428571428575</v>
      </c>
      <c r="F164" s="182"/>
    </row>
    <row r="165" spans="1:6" outlineLevel="3" x14ac:dyDescent="0.35">
      <c r="A165" s="55" t="str">
        <f>Базовый!A157</f>
        <v>Напальчник</v>
      </c>
      <c r="B165" s="60">
        <f>Базовый!C157</f>
        <v>0.28846153846153844</v>
      </c>
      <c r="C165" s="52">
        <f>Базовый!T157</f>
        <v>1</v>
      </c>
      <c r="D165" s="52">
        <f>Базовый!U157</f>
        <v>6.5</v>
      </c>
      <c r="E165" s="52">
        <f t="shared" si="1"/>
        <v>1.8749999999999998</v>
      </c>
      <c r="F165" s="182"/>
    </row>
    <row r="166" spans="1:6" outlineLevel="3" x14ac:dyDescent="0.35">
      <c r="A166" s="55" t="str">
        <f>Базовый!A158</f>
        <v>Л/П бактериц.</v>
      </c>
      <c r="B166" s="60">
        <f>Базовый!C158</f>
        <v>0.33653846153846156</v>
      </c>
      <c r="C166" s="52">
        <f>Базовый!T158</f>
        <v>1</v>
      </c>
      <c r="D166" s="52">
        <f>Базовый!U158</f>
        <v>2.7666666666666671</v>
      </c>
      <c r="E166" s="52">
        <f t="shared" si="1"/>
        <v>0.93108974358974383</v>
      </c>
      <c r="F166" s="182"/>
    </row>
    <row r="167" spans="1:6" outlineLevel="3" x14ac:dyDescent="0.35">
      <c r="A167" s="55" t="str">
        <f>Базовый!A159</f>
        <v>Вата</v>
      </c>
      <c r="B167" s="60">
        <f>Базовый!C159</f>
        <v>8.6538461538461536E-2</v>
      </c>
      <c r="C167" s="52">
        <f>Базовый!T159</f>
        <v>1</v>
      </c>
      <c r="D167" s="52">
        <f>Базовый!U159</f>
        <v>27.966666666666669</v>
      </c>
      <c r="E167" s="52">
        <f t="shared" si="1"/>
        <v>2.4201923076923078</v>
      </c>
      <c r="F167" s="182"/>
    </row>
    <row r="168" spans="1:6" outlineLevel="3" x14ac:dyDescent="0.35">
      <c r="A168" s="55" t="str">
        <f>Базовый!A160</f>
        <v>Лейкопластырь</v>
      </c>
      <c r="B168" s="60">
        <f>Базовый!C160</f>
        <v>1.680672268907563</v>
      </c>
      <c r="C168" s="52">
        <f>Базовый!T160</f>
        <v>1</v>
      </c>
      <c r="D168" s="52">
        <f>Базовый!U160</f>
        <v>3.5</v>
      </c>
      <c r="E168" s="52">
        <f t="shared" si="1"/>
        <v>5.882352941176471</v>
      </c>
      <c r="F168" s="182"/>
    </row>
    <row r="169" spans="1:6" outlineLevel="3" x14ac:dyDescent="0.35">
      <c r="A169" s="55" t="str">
        <f>Базовый!A161</f>
        <v>Бинт</v>
      </c>
      <c r="B169" s="60">
        <f>Базовый!C161</f>
        <v>0.19230769230769232</v>
      </c>
      <c r="C169" s="52">
        <f>Базовый!T161</f>
        <v>1</v>
      </c>
      <c r="D169" s="52">
        <f>Базовый!U161</f>
        <v>15.233333333333334</v>
      </c>
      <c r="E169" s="52">
        <f t="shared" si="1"/>
        <v>2.9294871794871797</v>
      </c>
      <c r="F169" s="182"/>
    </row>
    <row r="170" spans="1:6" outlineLevel="3" x14ac:dyDescent="0.35">
      <c r="A170" s="55" t="str">
        <f>Базовый!A162</f>
        <v xml:space="preserve">Шпатель </v>
      </c>
      <c r="B170" s="60">
        <f>Базовый!C162</f>
        <v>7.1428571428571432</v>
      </c>
      <c r="C170" s="52">
        <f>Базовый!T162</f>
        <v>1</v>
      </c>
      <c r="D170" s="52">
        <f>Базовый!U162</f>
        <v>1.3266666666666667</v>
      </c>
      <c r="E170" s="52">
        <f t="shared" si="1"/>
        <v>9.4761904761904763</v>
      </c>
      <c r="F170" s="182"/>
    </row>
    <row r="171" spans="1:6" outlineLevel="3" x14ac:dyDescent="0.35">
      <c r="A171" s="55" t="str">
        <f>Базовый!A163</f>
        <v>Перекись водорода</v>
      </c>
      <c r="B171" s="60">
        <f>Базовый!C163</f>
        <v>9.6153846153846159E-2</v>
      </c>
      <c r="C171" s="52">
        <f>Базовый!T163</f>
        <v>1</v>
      </c>
      <c r="D171" s="52">
        <f>Базовый!U163</f>
        <v>9.2999999999999989</v>
      </c>
      <c r="E171" s="52">
        <f t="shared" si="1"/>
        <v>0.89423076923076916</v>
      </c>
      <c r="F171" s="182"/>
    </row>
    <row r="172" spans="1:6" outlineLevel="3" x14ac:dyDescent="0.35">
      <c r="A172" s="55" t="str">
        <f>Базовый!A164</f>
        <v>Бриллиантовый зеленый</v>
      </c>
      <c r="B172" s="60">
        <f>Базовый!C164</f>
        <v>9.6153846153846159E-2</v>
      </c>
      <c r="C172" s="52">
        <f>Базовый!T164</f>
        <v>1</v>
      </c>
      <c r="D172" s="52">
        <f>Базовый!U164</f>
        <v>7.9333333333333336</v>
      </c>
      <c r="E172" s="52">
        <f t="shared" si="1"/>
        <v>0.76282051282051289</v>
      </c>
      <c r="F172" s="182"/>
    </row>
    <row r="173" spans="1:6" outlineLevel="3" x14ac:dyDescent="0.35">
      <c r="A173" s="55" t="str">
        <f>Базовый!A165</f>
        <v>Клей БФ</v>
      </c>
      <c r="B173" s="60">
        <f>Базовый!C165</f>
        <v>6.25E-2</v>
      </c>
      <c r="C173" s="52">
        <f>Базовый!T165</f>
        <v>1</v>
      </c>
      <c r="D173" s="52">
        <f>Базовый!U165</f>
        <v>53.366666666666667</v>
      </c>
      <c r="E173" s="52">
        <f t="shared" si="1"/>
        <v>3.3354166666666667</v>
      </c>
      <c r="F173" s="182"/>
    </row>
    <row r="174" spans="1:6" outlineLevel="3" x14ac:dyDescent="0.35">
      <c r="A174" s="55" t="str">
        <f>Базовый!A166</f>
        <v>Уголь активированный</v>
      </c>
      <c r="B174" s="60">
        <f>Базовый!C166</f>
        <v>3.125E-2</v>
      </c>
      <c r="C174" s="52">
        <f>Базовый!T166</f>
        <v>1</v>
      </c>
      <c r="D174" s="52">
        <f>Базовый!U166</f>
        <v>4.1000000000000005</v>
      </c>
      <c r="E174" s="52">
        <f t="shared" si="1"/>
        <v>0.12812500000000002</v>
      </c>
      <c r="F174" s="182"/>
    </row>
    <row r="175" spans="1:6" outlineLevel="3" x14ac:dyDescent="0.35">
      <c r="A175" s="55" t="str">
        <f>Базовый!A167</f>
        <v>Нитроглицерин</v>
      </c>
      <c r="B175" s="60">
        <f>Базовый!C167</f>
        <v>1.0416666666666666E-2</v>
      </c>
      <c r="C175" s="52">
        <f>Базовый!T167</f>
        <v>1</v>
      </c>
      <c r="D175" s="52">
        <f>Базовый!U167</f>
        <v>55.5</v>
      </c>
      <c r="E175" s="52">
        <f t="shared" si="1"/>
        <v>0.578125</v>
      </c>
      <c r="F175" s="182"/>
    </row>
    <row r="176" spans="1:6" s="69" customFormat="1" outlineLevel="3" collapsed="1" x14ac:dyDescent="0.35">
      <c r="A176" s="55" t="str">
        <f>Базовый!A168</f>
        <v>Настойка пустырника</v>
      </c>
      <c r="B176" s="60">
        <f>Базовый!C168</f>
        <v>3.8461538461538464E-2</v>
      </c>
      <c r="C176" s="52">
        <f>Базовый!T168</f>
        <v>1</v>
      </c>
      <c r="D176" s="52">
        <f>Базовый!U168</f>
        <v>19</v>
      </c>
      <c r="E176" s="52">
        <f t="shared" si="1"/>
        <v>0.73076923076923084</v>
      </c>
      <c r="F176" s="182"/>
    </row>
    <row r="177" spans="1:6" s="69" customFormat="1" outlineLevel="3" x14ac:dyDescent="0.35">
      <c r="A177" s="55" t="str">
        <f>Базовый!A169</f>
        <v>Валерианы эк-т</v>
      </c>
      <c r="B177" s="60">
        <f>Базовый!C169</f>
        <v>3.125E-2</v>
      </c>
      <c r="C177" s="52">
        <f>Базовый!T169</f>
        <v>1</v>
      </c>
      <c r="D177" s="52">
        <f>Базовый!U169</f>
        <v>39.166666666666664</v>
      </c>
      <c r="E177" s="52">
        <f t="shared" si="1"/>
        <v>1.2239583333333333</v>
      </c>
      <c r="F177" s="182"/>
    </row>
    <row r="178" spans="1:6" s="69" customFormat="1" outlineLevel="3" x14ac:dyDescent="0.35">
      <c r="A178" s="55" t="str">
        <f>Базовый!A170</f>
        <v>Салициловый к-ты спирт</v>
      </c>
      <c r="B178" s="60">
        <f>Базовый!C170</f>
        <v>0.20833333333333334</v>
      </c>
      <c r="C178" s="52">
        <f>Базовый!T170</f>
        <v>1</v>
      </c>
      <c r="D178" s="52">
        <f>Базовый!U170</f>
        <v>13.799999999999999</v>
      </c>
      <c r="E178" s="52">
        <f t="shared" si="1"/>
        <v>2.875</v>
      </c>
      <c r="F178" s="182"/>
    </row>
    <row r="179" spans="1:6" s="69" customFormat="1" outlineLevel="3" x14ac:dyDescent="0.35">
      <c r="A179" s="55" t="str">
        <f>Базовый!A171</f>
        <v>Адреналина г/х</v>
      </c>
      <c r="B179" s="60">
        <f>Базовый!C171</f>
        <v>1.0416666666666666E-2</v>
      </c>
      <c r="C179" s="52">
        <f>Базовый!T171</f>
        <v>1</v>
      </c>
      <c r="D179" s="52">
        <f>Базовый!U171</f>
        <v>85.5</v>
      </c>
      <c r="E179" s="52">
        <f t="shared" si="1"/>
        <v>0.890625</v>
      </c>
      <c r="F179" s="182"/>
    </row>
    <row r="180" spans="1:6" s="69" customFormat="1" outlineLevel="3" x14ac:dyDescent="0.35">
      <c r="A180" s="55" t="str">
        <f>Базовый!A172</f>
        <v>Йод спиртовой 5%</v>
      </c>
      <c r="B180" s="60">
        <f>Базовый!C172</f>
        <v>0.10416666666666667</v>
      </c>
      <c r="C180" s="52">
        <f>Базовый!T172</f>
        <v>1</v>
      </c>
      <c r="D180" s="52">
        <f>Базовый!U172</f>
        <v>9.3333333333333339</v>
      </c>
      <c r="E180" s="52">
        <f t="shared" si="1"/>
        <v>0.97222222222222232</v>
      </c>
      <c r="F180" s="182"/>
    </row>
    <row r="181" spans="1:6" s="69" customFormat="1" ht="26" outlineLevel="2" x14ac:dyDescent="0.35">
      <c r="A181" s="55" t="str">
        <f>Базовый!A173</f>
        <v>Чистящие, моющие, дезинфицирующие средства</v>
      </c>
      <c r="B181" s="60" t="str">
        <f>Базовый!C173</f>
        <v>х</v>
      </c>
      <c r="C181" s="52" t="str">
        <f>Базовый!T173</f>
        <v>х</v>
      </c>
      <c r="D181" s="52" t="str">
        <f>Базовый!U173</f>
        <v>х</v>
      </c>
      <c r="E181" s="52">
        <f>SUM(E182:E196)</f>
        <v>733.94783424862851</v>
      </c>
      <c r="F181" s="182"/>
    </row>
    <row r="182" spans="1:6" s="69" customFormat="1" ht="26" outlineLevel="3" x14ac:dyDescent="0.35">
      <c r="A182" s="55" t="str">
        <f>Базовый!A174</f>
        <v>Мыло хозяйственное 72%(200гр)</v>
      </c>
      <c r="B182" s="60">
        <f>Базовый!C174</f>
        <v>1.7094017094017093</v>
      </c>
      <c r="C182" s="52">
        <f>Базовый!T174</f>
        <v>1</v>
      </c>
      <c r="D182" s="52">
        <f>Базовый!U174</f>
        <v>15</v>
      </c>
      <c r="E182" s="52">
        <f t="shared" si="1"/>
        <v>25.641025641025639</v>
      </c>
      <c r="F182" s="182"/>
    </row>
    <row r="183" spans="1:6" s="69" customFormat="1" ht="26" outlineLevel="3" x14ac:dyDescent="0.35">
      <c r="A183" s="55" t="str">
        <f>Базовый!A175</f>
        <v>Порошок стиральный автомат (о,4 кг)</v>
      </c>
      <c r="B183" s="60">
        <f>Базовый!C175</f>
        <v>0.85470085470085466</v>
      </c>
      <c r="C183" s="52">
        <f>Базовый!T175</f>
        <v>1</v>
      </c>
      <c r="D183" s="52">
        <f>Базовый!U175</f>
        <v>52.773333333333333</v>
      </c>
      <c r="E183" s="52">
        <f t="shared" si="1"/>
        <v>45.105413105413106</v>
      </c>
      <c r="F183" s="182"/>
    </row>
    <row r="184" spans="1:6" s="69" customFormat="1" outlineLevel="3" x14ac:dyDescent="0.35">
      <c r="A184" s="55" t="str">
        <f>Базовый!A176</f>
        <v>Кондиционер для белья</v>
      </c>
      <c r="B184" s="60">
        <f>Базовый!C176</f>
        <v>0.2857142857142857</v>
      </c>
      <c r="C184" s="52">
        <f>Базовый!T176</f>
        <v>1</v>
      </c>
      <c r="D184" s="52">
        <f>Базовый!U176</f>
        <v>69.486666666666665</v>
      </c>
      <c r="E184" s="52">
        <f t="shared" si="1"/>
        <v>19.853333333333332</v>
      </c>
      <c r="F184" s="182"/>
    </row>
    <row r="185" spans="1:6" s="69" customFormat="1" outlineLevel="3" x14ac:dyDescent="0.35">
      <c r="A185" s="55" t="str">
        <f>Базовый!A177</f>
        <v>Сода 400 гр.</v>
      </c>
      <c r="B185" s="60">
        <f>Базовый!C177</f>
        <v>1.7094017094017093</v>
      </c>
      <c r="C185" s="52">
        <f>Базовый!T177</f>
        <v>1</v>
      </c>
      <c r="D185" s="52">
        <f>Базовый!U177</f>
        <v>24</v>
      </c>
      <c r="E185" s="52">
        <f t="shared" si="1"/>
        <v>41.025641025641022</v>
      </c>
      <c r="F185" s="182"/>
    </row>
    <row r="186" spans="1:6" s="69" customFormat="1" outlineLevel="3" x14ac:dyDescent="0.35">
      <c r="A186" s="55" t="str">
        <f>Базовый!A178</f>
        <v>Чистящее средство (400гр)</v>
      </c>
      <c r="B186" s="60">
        <f>Базовый!C178</f>
        <v>0.85470085470085466</v>
      </c>
      <c r="C186" s="52">
        <f>Базовый!T178</f>
        <v>1</v>
      </c>
      <c r="D186" s="52">
        <f>Базовый!U178</f>
        <v>41.4</v>
      </c>
      <c r="E186" s="52">
        <f t="shared" si="1"/>
        <v>35.38461538461538</v>
      </c>
      <c r="F186" s="182"/>
    </row>
    <row r="187" spans="1:6" s="69" customFormat="1" outlineLevel="3" x14ac:dyDescent="0.35">
      <c r="A187" s="55" t="str">
        <f>Базовый!A179</f>
        <v>Мыло детское 90 гр.</v>
      </c>
      <c r="B187" s="60">
        <f>Базовый!C179</f>
        <v>3.4188034188034186</v>
      </c>
      <c r="C187" s="52">
        <f>Базовый!T179</f>
        <v>1</v>
      </c>
      <c r="D187" s="52">
        <f>Базовый!U179</f>
        <v>14.166666666666666</v>
      </c>
      <c r="E187" s="52">
        <f t="shared" si="1"/>
        <v>48.433048433048427</v>
      </c>
      <c r="F187" s="182"/>
    </row>
    <row r="188" spans="1:6" s="69" customFormat="1" outlineLevel="3" x14ac:dyDescent="0.35">
      <c r="A188" s="55" t="str">
        <f>Базовый!A180</f>
        <v>Мыло жидкое(300мл)</v>
      </c>
      <c r="B188" s="60">
        <f>Базовый!C180</f>
        <v>0.44300876788186433</v>
      </c>
      <c r="C188" s="52">
        <f>Базовый!T180</f>
        <v>1</v>
      </c>
      <c r="D188" s="52">
        <f>Базовый!U180</f>
        <v>102.59333333333332</v>
      </c>
      <c r="E188" s="52">
        <f t="shared" si="1"/>
        <v>45.449746192893393</v>
      </c>
      <c r="F188" s="182"/>
    </row>
    <row r="189" spans="1:6" s="69" customFormat="1" outlineLevel="3" x14ac:dyDescent="0.35">
      <c r="A189" s="55" t="str">
        <f>Базовый!A181</f>
        <v>Мыло жидкое(500 мл)</v>
      </c>
      <c r="B189" s="60">
        <f>Базовый!C181</f>
        <v>8.4033613445378158E-2</v>
      </c>
      <c r="C189" s="52">
        <f>Базовый!T181</f>
        <v>1</v>
      </c>
      <c r="D189" s="52">
        <f>Базовый!U181</f>
        <v>69.186666666666667</v>
      </c>
      <c r="E189" s="52">
        <f t="shared" si="1"/>
        <v>5.814005602240897</v>
      </c>
      <c r="F189" s="182"/>
    </row>
    <row r="190" spans="1:6" s="69" customFormat="1" outlineLevel="3" x14ac:dyDescent="0.35">
      <c r="A190" s="55" t="str">
        <f>Базовый!A182</f>
        <v>Мыло жидкое(1000мл)</v>
      </c>
      <c r="B190" s="60">
        <f>Базовый!C182</f>
        <v>5.8823529411764705E-2</v>
      </c>
      <c r="C190" s="52">
        <f>Базовый!T182</f>
        <v>1</v>
      </c>
      <c r="D190" s="52">
        <f>Базовый!U182</f>
        <v>80.74666666666667</v>
      </c>
      <c r="E190" s="52">
        <f t="shared" si="1"/>
        <v>4.7498039215686276</v>
      </c>
      <c r="F190" s="182"/>
    </row>
    <row r="191" spans="1:6" s="69" customFormat="1" ht="26" outlineLevel="3" x14ac:dyDescent="0.35">
      <c r="A191" s="55" t="str">
        <f>Базовый!A183</f>
        <v>Средство для мытья посуды(500мл)</v>
      </c>
      <c r="B191" s="60">
        <f>Базовый!C183</f>
        <v>0.33613445378151263</v>
      </c>
      <c r="C191" s="52">
        <f>Базовый!T183</f>
        <v>1</v>
      </c>
      <c r="D191" s="52">
        <f>Базовый!U183</f>
        <v>31.033333333333331</v>
      </c>
      <c r="E191" s="52">
        <f t="shared" si="1"/>
        <v>10.431372549019608</v>
      </c>
      <c r="F191" s="182"/>
    </row>
    <row r="192" spans="1:6" s="69" customFormat="1" outlineLevel="3" x14ac:dyDescent="0.35">
      <c r="A192" s="55" t="str">
        <f>Базовый!A184</f>
        <v>Средство для обработки яиц</v>
      </c>
      <c r="B192" s="60">
        <f>Базовый!C184</f>
        <v>0</v>
      </c>
      <c r="C192" s="52">
        <f>Базовый!T184</f>
        <v>1</v>
      </c>
      <c r="D192" s="52">
        <f>Базовый!U184</f>
        <v>443.66666666666669</v>
      </c>
      <c r="E192" s="52">
        <f t="shared" si="1"/>
        <v>0</v>
      </c>
      <c r="F192" s="182"/>
    </row>
    <row r="193" spans="1:6" s="69" customFormat="1" outlineLevel="3" x14ac:dyDescent="0.35">
      <c r="A193" s="55" t="str">
        <f>Базовый!A185</f>
        <v xml:space="preserve">Чистящее средство для окон </v>
      </c>
      <c r="B193" s="60">
        <f>Базовый!C185</f>
        <v>0.42735042735042733</v>
      </c>
      <c r="C193" s="52">
        <f>Базовый!T185</f>
        <v>1</v>
      </c>
      <c r="D193" s="52">
        <f>Базовый!U185</f>
        <v>53.666666666666664</v>
      </c>
      <c r="E193" s="52">
        <f t="shared" si="1"/>
        <v>22.934472934472932</v>
      </c>
      <c r="F193" s="182"/>
    </row>
    <row r="194" spans="1:6" s="69" customFormat="1" outlineLevel="3" x14ac:dyDescent="0.35">
      <c r="A194" s="55" t="str">
        <f>Базовый!A186</f>
        <v>Тест-полоска Оптимакс 50 шт</v>
      </c>
      <c r="B194" s="60">
        <f>Базовый!C186</f>
        <v>8.5470085470085479E-3</v>
      </c>
      <c r="C194" s="52">
        <f>Базовый!T186</f>
        <v>1</v>
      </c>
      <c r="D194" s="52">
        <f>Базовый!U186</f>
        <v>661</v>
      </c>
      <c r="E194" s="52">
        <f t="shared" si="1"/>
        <v>5.6495726495726499</v>
      </c>
      <c r="F194" s="182"/>
    </row>
    <row r="195" spans="1:6" s="69" customFormat="1" outlineLevel="3" x14ac:dyDescent="0.35">
      <c r="A195" s="55" t="str">
        <f>Базовый!A187</f>
        <v>Дезсредство Оптимакс (1л)</v>
      </c>
      <c r="B195" s="60">
        <f>Базовый!C187</f>
        <v>0.85470085470085466</v>
      </c>
      <c r="C195" s="52">
        <f>Базовый!T187</f>
        <v>1</v>
      </c>
      <c r="D195" s="52">
        <f>Базовый!U187</f>
        <v>491</v>
      </c>
      <c r="E195" s="52">
        <f t="shared" si="1"/>
        <v>419.65811965811963</v>
      </c>
      <c r="F195" s="182"/>
    </row>
    <row r="196" spans="1:6" s="69" customFormat="1" outlineLevel="3" x14ac:dyDescent="0.35">
      <c r="A196" s="55" t="str">
        <f>Базовый!A188</f>
        <v>Отбеливатель Белизна 0,9 л</v>
      </c>
      <c r="B196" s="60">
        <f>Базовый!C188</f>
        <v>0.17094017094017094</v>
      </c>
      <c r="C196" s="52">
        <f>Базовый!T188</f>
        <v>1</v>
      </c>
      <c r="D196" s="52">
        <f>Базовый!U188</f>
        <v>22.333333333333332</v>
      </c>
      <c r="E196" s="52">
        <f t="shared" si="1"/>
        <v>3.8176638176638176</v>
      </c>
      <c r="F196" s="182"/>
    </row>
    <row r="197" spans="1:6" s="69" customFormat="1" outlineLevel="2" x14ac:dyDescent="0.35">
      <c r="A197" s="55" t="str">
        <f>Базовый!A189</f>
        <v>Прочие хозяйственные товары</v>
      </c>
      <c r="B197" s="60" t="str">
        <f>Базовый!C189</f>
        <v>х</v>
      </c>
      <c r="C197" s="52" t="str">
        <f>Базовый!T189</f>
        <v>х</v>
      </c>
      <c r="D197" s="52" t="str">
        <f>Базовый!U189</f>
        <v>х</v>
      </c>
      <c r="E197" s="52">
        <f>SUM(E198:E200)</f>
        <v>65.770813548591335</v>
      </c>
      <c r="F197" s="182"/>
    </row>
    <row r="198" spans="1:6" s="69" customFormat="1" outlineLevel="3" x14ac:dyDescent="0.35">
      <c r="A198" s="55" t="str">
        <f>Базовый!A190</f>
        <v>Салфетка микрофибра</v>
      </c>
      <c r="B198" s="60">
        <f>Базовый!C190</f>
        <v>0.7407407407407407</v>
      </c>
      <c r="C198" s="52">
        <f>Базовый!T190</f>
        <v>1</v>
      </c>
      <c r="D198" s="52">
        <f>Базовый!U190</f>
        <v>33.333333333333336</v>
      </c>
      <c r="E198" s="52">
        <f t="shared" si="1"/>
        <v>24.691358024691358</v>
      </c>
      <c r="F198" s="182"/>
    </row>
    <row r="199" spans="1:6" s="69" customFormat="1" outlineLevel="3" x14ac:dyDescent="0.35">
      <c r="A199" s="55" t="str">
        <f>Базовый!A191</f>
        <v>Салфетка для пола х/б</v>
      </c>
      <c r="B199" s="60">
        <f>Базовый!C191</f>
        <v>0.61728395061728392</v>
      </c>
      <c r="C199" s="52">
        <f>Базовый!T191</f>
        <v>1</v>
      </c>
      <c r="D199" s="52">
        <f>Базовый!U191</f>
        <v>61.333333333333336</v>
      </c>
      <c r="E199" s="52">
        <f t="shared" si="1"/>
        <v>37.860082304526749</v>
      </c>
      <c r="F199" s="182"/>
    </row>
    <row r="200" spans="1:6" s="69" customFormat="1" outlineLevel="3" x14ac:dyDescent="0.35">
      <c r="A200" s="55" t="str">
        <f>Базовый!A192</f>
        <v>Мешки для мусора</v>
      </c>
      <c r="B200" s="60">
        <f>Базовый!C192</f>
        <v>0.17094017094017094</v>
      </c>
      <c r="C200" s="52">
        <f>Базовый!T192</f>
        <v>1</v>
      </c>
      <c r="D200" s="52">
        <f>Базовый!U192</f>
        <v>18.833333333333332</v>
      </c>
      <c r="E200" s="52">
        <f t="shared" si="1"/>
        <v>3.2193732193732192</v>
      </c>
      <c r="F200" s="182"/>
    </row>
    <row r="201" spans="1:6" s="69" customFormat="1" hidden="1" outlineLevel="2" collapsed="1" x14ac:dyDescent="0.35">
      <c r="A201" s="55"/>
      <c r="B201" s="60"/>
      <c r="C201" s="52"/>
      <c r="D201" s="52"/>
      <c r="E201" s="52"/>
      <c r="F201" s="182"/>
    </row>
    <row r="202" spans="1:6" s="69" customFormat="1" hidden="1" outlineLevel="3" x14ac:dyDescent="0.35">
      <c r="A202" s="55"/>
      <c r="B202" s="60"/>
      <c r="C202" s="52"/>
      <c r="D202" s="52"/>
      <c r="E202" s="52"/>
      <c r="F202" s="182"/>
    </row>
    <row r="203" spans="1:6" s="69" customFormat="1" hidden="1" outlineLevel="3" x14ac:dyDescent="0.35">
      <c r="A203" s="55"/>
      <c r="B203" s="60"/>
      <c r="C203" s="52"/>
      <c r="D203" s="52"/>
      <c r="E203" s="52"/>
      <c r="F203" s="182"/>
    </row>
    <row r="204" spans="1:6" s="69" customFormat="1" hidden="1" outlineLevel="3" x14ac:dyDescent="0.35">
      <c r="A204" s="55"/>
      <c r="B204" s="60"/>
      <c r="C204" s="52"/>
      <c r="D204" s="52"/>
      <c r="E204" s="52"/>
      <c r="F204" s="182"/>
    </row>
    <row r="205" spans="1:6" ht="30" customHeight="1" x14ac:dyDescent="0.35">
      <c r="A205" s="175" t="s">
        <v>22</v>
      </c>
      <c r="B205" s="175"/>
      <c r="C205" s="175"/>
      <c r="D205" s="175"/>
      <c r="E205" s="68">
        <f>E206+E214+E230+E233+E236+E238+E241</f>
        <v>23835.887448084915</v>
      </c>
      <c r="F205" s="182"/>
    </row>
    <row r="206" spans="1:6" ht="30" customHeight="1" outlineLevel="1" collapsed="1" x14ac:dyDescent="0.35">
      <c r="A206" s="175" t="s">
        <v>25</v>
      </c>
      <c r="B206" s="175"/>
      <c r="C206" s="175"/>
      <c r="D206" s="175"/>
      <c r="E206" s="52">
        <f>SUM(E207:E213)</f>
        <v>0</v>
      </c>
      <c r="F206" s="182"/>
    </row>
    <row r="207" spans="1:6" hidden="1" outlineLevel="2" x14ac:dyDescent="0.35">
      <c r="A207" s="55"/>
      <c r="B207" s="60"/>
      <c r="C207" s="52"/>
      <c r="D207" s="52"/>
      <c r="E207" s="52"/>
      <c r="F207" s="182"/>
    </row>
    <row r="208" spans="1:6" hidden="1" outlineLevel="2" x14ac:dyDescent="0.35">
      <c r="A208" s="55"/>
      <c r="B208" s="60"/>
      <c r="C208" s="52"/>
      <c r="D208" s="52"/>
      <c r="E208" s="52"/>
      <c r="F208" s="182"/>
    </row>
    <row r="209" spans="1:6" hidden="1" outlineLevel="2" x14ac:dyDescent="0.35">
      <c r="A209" s="55"/>
      <c r="B209" s="60"/>
      <c r="C209" s="52"/>
      <c r="D209" s="52"/>
      <c r="E209" s="52"/>
      <c r="F209" s="182"/>
    </row>
    <row r="210" spans="1:6" hidden="1" outlineLevel="2" x14ac:dyDescent="0.35">
      <c r="A210" s="55"/>
      <c r="B210" s="60"/>
      <c r="C210" s="52"/>
      <c r="D210" s="52"/>
      <c r="E210" s="52"/>
      <c r="F210" s="182"/>
    </row>
    <row r="211" spans="1:6" hidden="1" outlineLevel="2" x14ac:dyDescent="0.35">
      <c r="A211" s="55"/>
      <c r="B211" s="60"/>
      <c r="C211" s="52"/>
      <c r="D211" s="52"/>
      <c r="E211" s="52"/>
      <c r="F211" s="182"/>
    </row>
    <row r="212" spans="1:6" hidden="1" outlineLevel="2" x14ac:dyDescent="0.35">
      <c r="A212" s="55"/>
      <c r="B212" s="60"/>
      <c r="C212" s="52"/>
      <c r="D212" s="52"/>
      <c r="E212" s="52"/>
      <c r="F212" s="182"/>
    </row>
    <row r="213" spans="1:6" hidden="1" outlineLevel="2" x14ac:dyDescent="0.35">
      <c r="A213" s="55"/>
      <c r="B213" s="60"/>
      <c r="C213" s="52"/>
      <c r="D213" s="52"/>
      <c r="E213" s="52"/>
      <c r="F213" s="182"/>
    </row>
    <row r="214" spans="1:6" ht="30" customHeight="1" outlineLevel="1" collapsed="1" x14ac:dyDescent="0.35">
      <c r="A214" s="175" t="s">
        <v>36</v>
      </c>
      <c r="B214" s="175"/>
      <c r="C214" s="175"/>
      <c r="D214" s="175"/>
      <c r="E214" s="52">
        <f>SUM(E215:E229)</f>
        <v>0</v>
      </c>
      <c r="F214" s="182"/>
    </row>
    <row r="215" spans="1:6" hidden="1" outlineLevel="2" x14ac:dyDescent="0.35">
      <c r="A215" s="55"/>
      <c r="B215" s="60"/>
      <c r="C215" s="52"/>
      <c r="D215" s="52"/>
      <c r="E215" s="52"/>
      <c r="F215" s="182"/>
    </row>
    <row r="216" spans="1:6" hidden="1" outlineLevel="2" x14ac:dyDescent="0.35">
      <c r="A216" s="55"/>
      <c r="B216" s="60"/>
      <c r="C216" s="52"/>
      <c r="D216" s="52"/>
      <c r="E216" s="52"/>
      <c r="F216" s="182"/>
    </row>
    <row r="217" spans="1:6" hidden="1" outlineLevel="2" x14ac:dyDescent="0.35">
      <c r="A217" s="55"/>
      <c r="B217" s="60"/>
      <c r="C217" s="52"/>
      <c r="D217" s="52"/>
      <c r="E217" s="52"/>
      <c r="F217" s="182"/>
    </row>
    <row r="218" spans="1:6" hidden="1" outlineLevel="2" x14ac:dyDescent="0.35">
      <c r="A218" s="55"/>
      <c r="B218" s="60"/>
      <c r="C218" s="52"/>
      <c r="D218" s="52"/>
      <c r="E218" s="52"/>
      <c r="F218" s="182"/>
    </row>
    <row r="219" spans="1:6" hidden="1" outlineLevel="2" x14ac:dyDescent="0.35">
      <c r="A219" s="55"/>
      <c r="B219" s="60"/>
      <c r="C219" s="52"/>
      <c r="D219" s="52"/>
      <c r="E219" s="52"/>
      <c r="F219" s="182"/>
    </row>
    <row r="220" spans="1:6" hidden="1" outlineLevel="2" x14ac:dyDescent="0.35">
      <c r="A220" s="55"/>
      <c r="B220" s="60"/>
      <c r="C220" s="52"/>
      <c r="D220" s="52"/>
      <c r="E220" s="52"/>
      <c r="F220" s="182"/>
    </row>
    <row r="221" spans="1:6" hidden="1" outlineLevel="2" x14ac:dyDescent="0.35">
      <c r="A221" s="55"/>
      <c r="B221" s="60"/>
      <c r="C221" s="52"/>
      <c r="D221" s="52"/>
      <c r="E221" s="52"/>
      <c r="F221" s="182"/>
    </row>
    <row r="222" spans="1:6" hidden="1" outlineLevel="2" x14ac:dyDescent="0.35">
      <c r="A222" s="55"/>
      <c r="B222" s="60"/>
      <c r="C222" s="52"/>
      <c r="D222" s="52"/>
      <c r="E222" s="52"/>
      <c r="F222" s="182"/>
    </row>
    <row r="223" spans="1:6" hidden="1" outlineLevel="2" x14ac:dyDescent="0.35">
      <c r="A223" s="55"/>
      <c r="B223" s="60"/>
      <c r="C223" s="52"/>
      <c r="D223" s="52"/>
      <c r="E223" s="52"/>
      <c r="F223" s="182"/>
    </row>
    <row r="224" spans="1:6" hidden="1" outlineLevel="2" x14ac:dyDescent="0.35">
      <c r="A224" s="55"/>
      <c r="B224" s="60"/>
      <c r="C224" s="52"/>
      <c r="D224" s="52"/>
      <c r="E224" s="52"/>
      <c r="F224" s="182"/>
    </row>
    <row r="225" spans="1:6" hidden="1" outlineLevel="2" x14ac:dyDescent="0.35">
      <c r="A225" s="55"/>
      <c r="B225" s="60"/>
      <c r="C225" s="52"/>
      <c r="D225" s="52"/>
      <c r="E225" s="52"/>
      <c r="F225" s="182"/>
    </row>
    <row r="226" spans="1:6" hidden="1" outlineLevel="2" x14ac:dyDescent="0.35">
      <c r="A226" s="55"/>
      <c r="B226" s="60"/>
      <c r="C226" s="52"/>
      <c r="D226" s="52"/>
      <c r="E226" s="52"/>
      <c r="F226" s="182"/>
    </row>
    <row r="227" spans="1:6" hidden="1" outlineLevel="2" x14ac:dyDescent="0.35">
      <c r="A227" s="55"/>
      <c r="B227" s="60"/>
      <c r="C227" s="52"/>
      <c r="D227" s="52"/>
      <c r="E227" s="52"/>
      <c r="F227" s="182"/>
    </row>
    <row r="228" spans="1:6" hidden="1" outlineLevel="2" x14ac:dyDescent="0.35">
      <c r="A228" s="55"/>
      <c r="B228" s="60"/>
      <c r="C228" s="52"/>
      <c r="D228" s="52"/>
      <c r="E228" s="52"/>
      <c r="F228" s="182"/>
    </row>
    <row r="229" spans="1:6" hidden="1" outlineLevel="2" x14ac:dyDescent="0.35">
      <c r="A229" s="55"/>
      <c r="B229" s="60"/>
      <c r="C229" s="52"/>
      <c r="D229" s="52"/>
      <c r="E229" s="52"/>
      <c r="F229" s="182"/>
    </row>
    <row r="230" spans="1:6" ht="30" customHeight="1" outlineLevel="1" collapsed="1" x14ac:dyDescent="0.35">
      <c r="A230" s="175" t="s">
        <v>42</v>
      </c>
      <c r="B230" s="175"/>
      <c r="C230" s="175"/>
      <c r="D230" s="175"/>
      <c r="E230" s="52">
        <f>SUM(E231:E232)</f>
        <v>0</v>
      </c>
      <c r="F230" s="182"/>
    </row>
    <row r="231" spans="1:6" hidden="1" outlineLevel="2" x14ac:dyDescent="0.35">
      <c r="A231" s="55"/>
      <c r="B231" s="60"/>
      <c r="C231" s="52"/>
      <c r="D231" s="52"/>
      <c r="E231" s="52"/>
      <c r="F231" s="182"/>
    </row>
    <row r="232" spans="1:6" hidden="1" outlineLevel="2" x14ac:dyDescent="0.35">
      <c r="A232" s="55"/>
      <c r="B232" s="60"/>
      <c r="C232" s="52"/>
      <c r="D232" s="52"/>
      <c r="E232" s="52"/>
      <c r="F232" s="182"/>
    </row>
    <row r="233" spans="1:6" ht="30" customHeight="1" outlineLevel="1" collapsed="1" x14ac:dyDescent="0.35">
      <c r="A233" s="175" t="s">
        <v>44</v>
      </c>
      <c r="B233" s="175"/>
      <c r="C233" s="175"/>
      <c r="D233" s="175"/>
      <c r="E233" s="52">
        <f>SUM(E234:E235)</f>
        <v>0</v>
      </c>
      <c r="F233" s="182"/>
    </row>
    <row r="234" spans="1:6" hidden="1" outlineLevel="2" x14ac:dyDescent="0.35">
      <c r="A234" s="55"/>
      <c r="B234" s="60"/>
      <c r="C234" s="52"/>
      <c r="D234" s="52"/>
      <c r="E234" s="52"/>
      <c r="F234" s="182"/>
    </row>
    <row r="235" spans="1:6" hidden="1" outlineLevel="2" x14ac:dyDescent="0.35">
      <c r="A235" s="55"/>
      <c r="B235" s="60"/>
      <c r="C235" s="52"/>
      <c r="D235" s="52"/>
      <c r="E235" s="52"/>
      <c r="F235" s="182"/>
    </row>
    <row r="236" spans="1:6" ht="30" customHeight="1" outlineLevel="1" collapsed="1" x14ac:dyDescent="0.35">
      <c r="A236" s="175" t="s">
        <v>49</v>
      </c>
      <c r="B236" s="175"/>
      <c r="C236" s="175"/>
      <c r="D236" s="175"/>
      <c r="E236" s="52">
        <v>0</v>
      </c>
      <c r="F236" s="182"/>
    </row>
    <row r="237" spans="1:6" hidden="1" outlineLevel="2" x14ac:dyDescent="0.35">
      <c r="A237" s="55"/>
      <c r="B237" s="55"/>
      <c r="C237" s="55"/>
      <c r="D237" s="55"/>
      <c r="E237" s="55"/>
      <c r="F237" s="182"/>
    </row>
    <row r="238" spans="1:6" ht="30" customHeight="1" outlineLevel="1" x14ac:dyDescent="0.35">
      <c r="A238" s="175" t="s">
        <v>65</v>
      </c>
      <c r="B238" s="175"/>
      <c r="C238" s="175"/>
      <c r="D238" s="175"/>
      <c r="E238" s="52">
        <f>SUM(E239:E240)</f>
        <v>23820.383017997236</v>
      </c>
      <c r="F238" s="182"/>
    </row>
    <row r="239" spans="1:6" ht="26" outlineLevel="2" x14ac:dyDescent="0.35">
      <c r="A239" s="55" t="str">
        <f>Базовый!A231</f>
        <v>Административно-управленческий персонал</v>
      </c>
      <c r="B239" s="60">
        <f>Базовый!C231</f>
        <v>9.2293493308721747E-3</v>
      </c>
      <c r="C239" s="52">
        <f>Базовый!T231</f>
        <v>1</v>
      </c>
      <c r="D239" s="52">
        <f>Базовый!U231</f>
        <v>999146</v>
      </c>
      <c r="E239" s="52">
        <f>B239/C239*D239</f>
        <v>9221.4674665436105</v>
      </c>
      <c r="F239" s="182"/>
    </row>
    <row r="240" spans="1:6" outlineLevel="2" x14ac:dyDescent="0.35">
      <c r="A240" s="55" t="str">
        <f>Базовый!A232</f>
        <v>Обслуживающий персонал</v>
      </c>
      <c r="B240" s="60">
        <f>Базовый!C232</f>
        <v>6.2298107983387176E-2</v>
      </c>
      <c r="C240" s="52">
        <f>Базовый!T232</f>
        <v>1</v>
      </c>
      <c r="D240" s="52">
        <f>Базовый!U232</f>
        <v>234339.62962962964</v>
      </c>
      <c r="E240" s="52">
        <f>B240/C240*D240</f>
        <v>14598.915551453623</v>
      </c>
      <c r="F240" s="182"/>
    </row>
    <row r="241" spans="1:6" ht="16.5" customHeight="1" outlineLevel="1" x14ac:dyDescent="0.35">
      <c r="A241" s="175" t="s">
        <v>82</v>
      </c>
      <c r="B241" s="175"/>
      <c r="C241" s="175"/>
      <c r="D241" s="175"/>
      <c r="E241" s="52">
        <f>SUM(E242:E274)</f>
        <v>15.504430087678822</v>
      </c>
      <c r="F241" s="182"/>
    </row>
    <row r="242" spans="1:6" outlineLevel="2" x14ac:dyDescent="0.35">
      <c r="A242" s="55" t="str">
        <f>Базовый!A234</f>
        <v>Исследование воды (питьевая)</v>
      </c>
      <c r="B242" s="60">
        <f>Базовый!C234</f>
        <v>4.6146746654360873E-3</v>
      </c>
      <c r="C242" s="52">
        <f>Базовый!T234</f>
        <v>1</v>
      </c>
      <c r="D242" s="52">
        <f>Базовый!U234</f>
        <v>2670.58</v>
      </c>
      <c r="E242" s="52">
        <f>B242/C242*D242</f>
        <v>12.323857868020307</v>
      </c>
      <c r="F242" s="182"/>
    </row>
    <row r="243" spans="1:6" outlineLevel="2" x14ac:dyDescent="0.35">
      <c r="A243" s="55" t="str">
        <f>Базовый!A235</f>
        <v>Исследование песка</v>
      </c>
      <c r="B243" s="60">
        <f>Базовый!C235</f>
        <v>4.6146746654360873E-3</v>
      </c>
      <c r="C243" s="52">
        <f>Базовый!T235</f>
        <v>1</v>
      </c>
      <c r="D243" s="52">
        <f>Базовый!U235</f>
        <v>689.23</v>
      </c>
      <c r="E243" s="52">
        <f>B243/C243*D243</f>
        <v>3.1805722196585147</v>
      </c>
      <c r="F243" s="182"/>
    </row>
    <row r="244" spans="1:6" ht="26" outlineLevel="2" x14ac:dyDescent="0.35">
      <c r="A244" s="55" t="str">
        <f>Базовый!A236</f>
        <v>Услуги СЭС (дезинфекция при ротовирусе)</v>
      </c>
      <c r="B244" s="60">
        <f>Базовый!C236</f>
        <v>0</v>
      </c>
      <c r="C244" s="52">
        <f>Базовый!T236</f>
        <v>1</v>
      </c>
      <c r="D244" s="52">
        <f>Базовый!U236</f>
        <v>6659.01</v>
      </c>
      <c r="E244" s="52">
        <f>B244/C244*D244</f>
        <v>0</v>
      </c>
      <c r="F244" s="182"/>
    </row>
    <row r="245" spans="1:6" hidden="1" outlineLevel="2" x14ac:dyDescent="0.35">
      <c r="A245" s="55"/>
      <c r="B245" s="60"/>
      <c r="C245" s="52"/>
      <c r="D245" s="52"/>
      <c r="E245" s="52"/>
      <c r="F245" s="182"/>
    </row>
    <row r="246" spans="1:6" hidden="1" outlineLevel="2" x14ac:dyDescent="0.35">
      <c r="A246" s="55"/>
      <c r="B246" s="60"/>
      <c r="C246" s="52"/>
      <c r="D246" s="52"/>
      <c r="E246" s="52"/>
      <c r="F246" s="182"/>
    </row>
    <row r="247" spans="1:6" hidden="1" outlineLevel="2" x14ac:dyDescent="0.35">
      <c r="A247" s="55"/>
      <c r="B247" s="60"/>
      <c r="C247" s="52"/>
      <c r="D247" s="52"/>
      <c r="E247" s="52"/>
      <c r="F247" s="182"/>
    </row>
    <row r="248" spans="1:6" hidden="1" outlineLevel="2" x14ac:dyDescent="0.35">
      <c r="A248" s="55"/>
      <c r="B248" s="60"/>
      <c r="C248" s="52"/>
      <c r="D248" s="52"/>
      <c r="E248" s="52"/>
      <c r="F248" s="182"/>
    </row>
    <row r="249" spans="1:6" hidden="1" outlineLevel="2" x14ac:dyDescent="0.35">
      <c r="A249" s="55"/>
      <c r="B249" s="60"/>
      <c r="C249" s="52"/>
      <c r="D249" s="52"/>
      <c r="E249" s="52"/>
      <c r="F249" s="182"/>
    </row>
    <row r="250" spans="1:6" hidden="1" outlineLevel="2" x14ac:dyDescent="0.35">
      <c r="A250" s="55"/>
      <c r="B250" s="60"/>
      <c r="C250" s="52"/>
      <c r="D250" s="52"/>
      <c r="E250" s="52"/>
      <c r="F250" s="182"/>
    </row>
    <row r="251" spans="1:6" hidden="1" outlineLevel="2" x14ac:dyDescent="0.35">
      <c r="A251" s="55"/>
      <c r="B251" s="60"/>
      <c r="C251" s="52"/>
      <c r="D251" s="52"/>
      <c r="E251" s="52"/>
      <c r="F251" s="182"/>
    </row>
    <row r="252" spans="1:6" hidden="1" outlineLevel="2" x14ac:dyDescent="0.35">
      <c r="A252" s="55"/>
      <c r="B252" s="60"/>
      <c r="C252" s="52"/>
      <c r="D252" s="52"/>
      <c r="E252" s="52"/>
      <c r="F252" s="182"/>
    </row>
    <row r="253" spans="1:6" hidden="1" outlineLevel="2" x14ac:dyDescent="0.35">
      <c r="A253" s="55"/>
      <c r="B253" s="60"/>
      <c r="C253" s="52"/>
      <c r="D253" s="52"/>
      <c r="E253" s="52"/>
      <c r="F253" s="182"/>
    </row>
    <row r="254" spans="1:6" hidden="1" outlineLevel="2" x14ac:dyDescent="0.35">
      <c r="A254" s="55"/>
      <c r="B254" s="60"/>
      <c r="C254" s="52"/>
      <c r="D254" s="52"/>
      <c r="E254" s="52"/>
      <c r="F254" s="182"/>
    </row>
    <row r="255" spans="1:6" hidden="1" outlineLevel="2" x14ac:dyDescent="0.35">
      <c r="A255" s="55"/>
      <c r="B255" s="60"/>
      <c r="C255" s="52"/>
      <c r="D255" s="52"/>
      <c r="E255" s="52"/>
      <c r="F255" s="182"/>
    </row>
    <row r="256" spans="1:6" hidden="1" outlineLevel="2" x14ac:dyDescent="0.35">
      <c r="A256" s="55"/>
      <c r="B256" s="60"/>
      <c r="C256" s="52"/>
      <c r="D256" s="52"/>
      <c r="E256" s="52"/>
      <c r="F256" s="182"/>
    </row>
    <row r="257" spans="1:6" hidden="1" outlineLevel="2" x14ac:dyDescent="0.35">
      <c r="A257" s="55"/>
      <c r="B257" s="60"/>
      <c r="C257" s="52"/>
      <c r="D257" s="52"/>
      <c r="E257" s="52"/>
      <c r="F257" s="182"/>
    </row>
    <row r="258" spans="1:6" hidden="1" outlineLevel="2" x14ac:dyDescent="0.35">
      <c r="A258" s="55"/>
      <c r="B258" s="60"/>
      <c r="C258" s="52"/>
      <c r="D258" s="52"/>
      <c r="E258" s="52"/>
      <c r="F258" s="182"/>
    </row>
    <row r="259" spans="1:6" hidden="1" outlineLevel="2" x14ac:dyDescent="0.35">
      <c r="A259" s="55"/>
      <c r="B259" s="60"/>
      <c r="C259" s="52"/>
      <c r="D259" s="52"/>
      <c r="E259" s="52"/>
      <c r="F259" s="182"/>
    </row>
    <row r="260" spans="1:6" hidden="1" outlineLevel="2" x14ac:dyDescent="0.35">
      <c r="A260" s="55"/>
      <c r="B260" s="60"/>
      <c r="C260" s="52"/>
      <c r="D260" s="52"/>
      <c r="E260" s="52"/>
      <c r="F260" s="182"/>
    </row>
    <row r="261" spans="1:6" hidden="1" outlineLevel="2" x14ac:dyDescent="0.35">
      <c r="A261" s="55"/>
      <c r="B261" s="60"/>
      <c r="C261" s="52"/>
      <c r="D261" s="52"/>
      <c r="E261" s="52"/>
      <c r="F261" s="182"/>
    </row>
    <row r="262" spans="1:6" hidden="1" outlineLevel="2" x14ac:dyDescent="0.35">
      <c r="A262" s="55"/>
      <c r="B262" s="60"/>
      <c r="C262" s="52"/>
      <c r="D262" s="52"/>
      <c r="E262" s="52"/>
      <c r="F262" s="182"/>
    </row>
    <row r="263" spans="1:6" hidden="1" outlineLevel="2" x14ac:dyDescent="0.35">
      <c r="A263" s="55"/>
      <c r="B263" s="60"/>
      <c r="C263" s="52"/>
      <c r="D263" s="52"/>
      <c r="E263" s="52"/>
      <c r="F263" s="182"/>
    </row>
    <row r="264" spans="1:6" hidden="1" outlineLevel="2" x14ac:dyDescent="0.35">
      <c r="A264" s="55"/>
      <c r="B264" s="60"/>
      <c r="C264" s="52"/>
      <c r="D264" s="52"/>
      <c r="E264" s="52"/>
      <c r="F264" s="182"/>
    </row>
    <row r="265" spans="1:6" hidden="1" outlineLevel="2" x14ac:dyDescent="0.35">
      <c r="A265" s="55"/>
      <c r="B265" s="60"/>
      <c r="C265" s="52"/>
      <c r="D265" s="52"/>
      <c r="E265" s="52"/>
      <c r="F265" s="182"/>
    </row>
    <row r="266" spans="1:6" hidden="1" outlineLevel="2" x14ac:dyDescent="0.35">
      <c r="A266" s="55"/>
      <c r="B266" s="60"/>
      <c r="C266" s="52"/>
      <c r="D266" s="52"/>
      <c r="E266" s="52"/>
      <c r="F266" s="182"/>
    </row>
    <row r="267" spans="1:6" hidden="1" outlineLevel="2" x14ac:dyDescent="0.35">
      <c r="A267" s="55"/>
      <c r="B267" s="60"/>
      <c r="C267" s="52"/>
      <c r="D267" s="52"/>
      <c r="E267" s="52"/>
      <c r="F267" s="182"/>
    </row>
    <row r="268" spans="1:6" hidden="1" outlineLevel="2" x14ac:dyDescent="0.35">
      <c r="A268" s="55"/>
      <c r="B268" s="60"/>
      <c r="C268" s="52"/>
      <c r="D268" s="52"/>
      <c r="E268" s="52"/>
      <c r="F268" s="182"/>
    </row>
    <row r="269" spans="1:6" hidden="1" outlineLevel="2" x14ac:dyDescent="0.35">
      <c r="A269" s="55"/>
      <c r="B269" s="60"/>
      <c r="C269" s="52"/>
      <c r="D269" s="52"/>
      <c r="E269" s="52"/>
      <c r="F269" s="182"/>
    </row>
    <row r="270" spans="1:6" hidden="1" outlineLevel="2" x14ac:dyDescent="0.35">
      <c r="A270" s="55"/>
      <c r="B270" s="60"/>
      <c r="C270" s="52"/>
      <c r="D270" s="52"/>
      <c r="E270" s="52"/>
      <c r="F270" s="182"/>
    </row>
    <row r="271" spans="1:6" hidden="1" outlineLevel="2" x14ac:dyDescent="0.35">
      <c r="A271" s="55"/>
      <c r="B271" s="60"/>
      <c r="C271" s="52"/>
      <c r="D271" s="52"/>
      <c r="E271" s="52"/>
      <c r="F271" s="182"/>
    </row>
    <row r="272" spans="1:6" hidden="1" outlineLevel="2" x14ac:dyDescent="0.35">
      <c r="A272" s="55"/>
      <c r="B272" s="60"/>
      <c r="C272" s="52"/>
      <c r="D272" s="52"/>
      <c r="E272" s="52"/>
      <c r="F272" s="182"/>
    </row>
    <row r="273" spans="1:6" hidden="1" outlineLevel="2" x14ac:dyDescent="0.35">
      <c r="A273" s="55"/>
      <c r="B273" s="60"/>
      <c r="C273" s="52"/>
      <c r="D273" s="52"/>
      <c r="E273" s="52"/>
      <c r="F273" s="182"/>
    </row>
    <row r="274" spans="1:6" hidden="1" outlineLevel="2" x14ac:dyDescent="0.35">
      <c r="A274" s="55"/>
      <c r="B274" s="60"/>
      <c r="C274" s="52"/>
      <c r="D274" s="52"/>
      <c r="E274" s="52"/>
      <c r="F274" s="182"/>
    </row>
    <row r="275" spans="1:6" x14ac:dyDescent="0.35">
      <c r="A275" s="167" t="s">
        <v>382</v>
      </c>
      <c r="B275" s="167"/>
      <c r="C275" s="167"/>
      <c r="D275" s="167"/>
      <c r="E275" s="68">
        <f>E11+E205</f>
        <v>54732.96801786912</v>
      </c>
      <c r="F275" s="183"/>
    </row>
  </sheetData>
  <autoFilter ref="A8:F8"/>
  <mergeCells count="18">
    <mergeCell ref="A241:D241"/>
    <mergeCell ref="A275:D275"/>
    <mergeCell ref="A238:D238"/>
    <mergeCell ref="A236:D236"/>
    <mergeCell ref="A4:F4"/>
    <mergeCell ref="A5:F5"/>
    <mergeCell ref="A9:F9"/>
    <mergeCell ref="A10:F10"/>
    <mergeCell ref="A11:D11"/>
    <mergeCell ref="F11:F275"/>
    <mergeCell ref="A12:D12"/>
    <mergeCell ref="A16:D16"/>
    <mergeCell ref="A205:D205"/>
    <mergeCell ref="A230:D230"/>
    <mergeCell ref="A233:D233"/>
    <mergeCell ref="A107:D107"/>
    <mergeCell ref="A206:D206"/>
    <mergeCell ref="A214:D214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="85" zoomScaleNormal="81" zoomScaleSheetLayoutView="85" workbookViewId="0">
      <selection activeCell="H1" sqref="H1"/>
    </sheetView>
  </sheetViews>
  <sheetFormatPr defaultColWidth="9.1796875" defaultRowHeight="14.5" x14ac:dyDescent="0.35"/>
  <cols>
    <col min="1" max="1" width="20.7265625" style="4" customWidth="1"/>
    <col min="2" max="2" width="25.54296875" style="4" customWidth="1"/>
    <col min="3" max="8" width="20.7265625" style="4" customWidth="1"/>
    <col min="9" max="16384" width="9.1796875" style="4"/>
  </cols>
  <sheetData>
    <row r="1" spans="1:8" x14ac:dyDescent="0.35">
      <c r="A1" s="3"/>
      <c r="G1" s="6"/>
      <c r="H1" s="148" t="s">
        <v>516</v>
      </c>
    </row>
    <row r="2" spans="1:8" ht="80" customHeight="1" x14ac:dyDescent="0.35">
      <c r="A2" s="3"/>
      <c r="G2" s="7"/>
      <c r="H2" s="149" t="s">
        <v>515</v>
      </c>
    </row>
    <row r="3" spans="1:8" x14ac:dyDescent="0.35">
      <c r="A3" s="5"/>
    </row>
    <row r="4" spans="1:8" x14ac:dyDescent="0.35">
      <c r="B4" s="1"/>
      <c r="C4" s="1"/>
      <c r="D4" s="1"/>
      <c r="E4" s="1"/>
      <c r="F4" s="1"/>
      <c r="G4" s="1"/>
      <c r="H4" s="8"/>
    </row>
    <row r="5" spans="1:8" x14ac:dyDescent="0.35">
      <c r="B5" s="1"/>
      <c r="C5" s="1"/>
      <c r="D5" s="1"/>
      <c r="E5" s="1"/>
      <c r="F5" s="1"/>
      <c r="G5" s="1"/>
      <c r="H5" s="8" t="s">
        <v>383</v>
      </c>
    </row>
    <row r="6" spans="1:8" x14ac:dyDescent="0.35">
      <c r="A6" s="2"/>
      <c r="B6" s="1"/>
      <c r="C6" s="1"/>
      <c r="D6" s="1"/>
      <c r="E6" s="1"/>
      <c r="F6" s="1"/>
      <c r="G6" s="1"/>
      <c r="H6" s="1"/>
    </row>
    <row r="7" spans="1:8" x14ac:dyDescent="0.35">
      <c r="A7" s="184" t="s">
        <v>384</v>
      </c>
      <c r="B7" s="184"/>
      <c r="C7" s="184"/>
      <c r="D7" s="184"/>
      <c r="E7" s="184"/>
      <c r="F7" s="184"/>
      <c r="G7" s="184"/>
      <c r="H7" s="184"/>
    </row>
    <row r="8" spans="1:8" x14ac:dyDescent="0.35">
      <c r="A8" s="184" t="s">
        <v>513</v>
      </c>
      <c r="B8" s="184"/>
      <c r="C8" s="184"/>
      <c r="D8" s="184"/>
      <c r="E8" s="184"/>
      <c r="F8" s="184"/>
      <c r="G8" s="184"/>
      <c r="H8" s="184"/>
    </row>
    <row r="9" spans="1:8" x14ac:dyDescent="0.35">
      <c r="A9" s="2"/>
      <c r="B9" s="1"/>
      <c r="C9" s="1"/>
      <c r="D9" s="1"/>
      <c r="E9" s="1"/>
      <c r="F9" s="1"/>
      <c r="G9" s="1"/>
      <c r="H9" s="1"/>
    </row>
    <row r="10" spans="1:8" x14ac:dyDescent="0.35">
      <c r="B10" s="1"/>
      <c r="C10" s="1"/>
      <c r="D10" s="1"/>
      <c r="E10" s="1"/>
      <c r="F10" s="1"/>
      <c r="G10" s="1"/>
      <c r="H10" s="9" t="s">
        <v>385</v>
      </c>
    </row>
    <row r="11" spans="1:8" ht="22.15" customHeight="1" x14ac:dyDescent="0.35">
      <c r="A11" s="186" t="s">
        <v>386</v>
      </c>
      <c r="B11" s="186" t="s">
        <v>387</v>
      </c>
      <c r="C11" s="186" t="s">
        <v>388</v>
      </c>
      <c r="D11" s="186"/>
      <c r="E11" s="186"/>
      <c r="F11" s="186"/>
      <c r="G11" s="186"/>
      <c r="H11" s="186"/>
    </row>
    <row r="12" spans="1:8" x14ac:dyDescent="0.35">
      <c r="A12" s="186"/>
      <c r="B12" s="186"/>
      <c r="C12" s="186" t="s">
        <v>389</v>
      </c>
      <c r="D12" s="186" t="s">
        <v>390</v>
      </c>
      <c r="E12" s="186"/>
      <c r="F12" s="186"/>
      <c r="G12" s="186"/>
      <c r="H12" s="186"/>
    </row>
    <row r="13" spans="1:8" ht="50.5" customHeight="1" x14ac:dyDescent="0.35">
      <c r="A13" s="186"/>
      <c r="B13" s="186"/>
      <c r="C13" s="186"/>
      <c r="D13" s="186" t="s">
        <v>391</v>
      </c>
      <c r="E13" s="186"/>
      <c r="F13" s="186" t="s">
        <v>392</v>
      </c>
      <c r="G13" s="186"/>
      <c r="H13" s="186"/>
    </row>
    <row r="14" spans="1:8" ht="17" x14ac:dyDescent="0.35">
      <c r="A14" s="186"/>
      <c r="B14" s="186"/>
      <c r="C14" s="186"/>
      <c r="D14" s="11" t="s">
        <v>393</v>
      </c>
      <c r="E14" s="11" t="s">
        <v>394</v>
      </c>
      <c r="F14" s="11" t="s">
        <v>393</v>
      </c>
      <c r="G14" s="11" t="s">
        <v>395</v>
      </c>
      <c r="H14" s="11" t="s">
        <v>396</v>
      </c>
    </row>
    <row r="15" spans="1:8" x14ac:dyDescent="0.3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</row>
    <row r="16" spans="1:8" ht="70" x14ac:dyDescent="0.35">
      <c r="A16" s="13" t="s">
        <v>415</v>
      </c>
      <c r="B16" s="43" t="s">
        <v>504</v>
      </c>
      <c r="C16" s="27">
        <f>D16+F16</f>
        <v>17069.963248942426</v>
      </c>
      <c r="D16" s="27">
        <f>'1.2.'!E11</f>
        <v>4394.556713930574</v>
      </c>
      <c r="E16" s="27">
        <f>'1.2.'!E12</f>
        <v>2388.5325334563913</v>
      </c>
      <c r="F16" s="27">
        <f>'1.2.'!E205</f>
        <v>12675.406535011853</v>
      </c>
      <c r="G16" s="27">
        <f>'1.2.'!E206</f>
        <v>10945.284403032158</v>
      </c>
      <c r="H16" s="27">
        <f>'1.2.'!E214</f>
        <v>1595.3767081987387</v>
      </c>
    </row>
    <row r="17" spans="1:8" ht="70" x14ac:dyDescent="0.35">
      <c r="A17" s="13" t="s">
        <v>415</v>
      </c>
      <c r="B17" s="43" t="s">
        <v>505</v>
      </c>
      <c r="C17" s="27">
        <f>D17+F17</f>
        <v>17069.963248942426</v>
      </c>
      <c r="D17" s="27">
        <f>'2.2.'!E11</f>
        <v>4394.556713930574</v>
      </c>
      <c r="E17" s="27">
        <f>'2.2.'!E12</f>
        <v>2388.5325334563913</v>
      </c>
      <c r="F17" s="27">
        <f>'2.2.'!E205</f>
        <v>12675.406535011853</v>
      </c>
      <c r="G17" s="27">
        <f>'2.2.'!E206</f>
        <v>10945.284403032158</v>
      </c>
      <c r="H17" s="27">
        <f>'2.2.'!E214</f>
        <v>1595.3767081987387</v>
      </c>
    </row>
    <row r="18" spans="1:8" ht="28" x14ac:dyDescent="0.35">
      <c r="A18" s="25" t="s">
        <v>428</v>
      </c>
      <c r="B18" s="43" t="s">
        <v>449</v>
      </c>
      <c r="C18" s="27">
        <f>D18+F18</f>
        <v>54732.96801786912</v>
      </c>
      <c r="D18" s="27">
        <f>'3.2.'!E11</f>
        <v>30897.080569784204</v>
      </c>
      <c r="E18" s="27">
        <f>'3.2.'!E12</f>
        <v>6390.5722196585139</v>
      </c>
      <c r="F18" s="27">
        <f>'3.2.'!E205</f>
        <v>23835.887448084915</v>
      </c>
      <c r="G18" s="27">
        <f>'3.2.'!E207</f>
        <v>0</v>
      </c>
      <c r="H18" s="27">
        <f>'3.2.'!E214</f>
        <v>0</v>
      </c>
    </row>
    <row r="19" spans="1:8" ht="28" x14ac:dyDescent="0.35">
      <c r="A19" s="25" t="s">
        <v>428</v>
      </c>
      <c r="B19" s="43" t="s">
        <v>450</v>
      </c>
      <c r="C19" s="27">
        <f>D19+F19</f>
        <v>54732.96801786912</v>
      </c>
      <c r="D19" s="27">
        <f>'4.2.'!E11</f>
        <v>30897.080569784204</v>
      </c>
      <c r="E19" s="27">
        <f>'4.2.'!E12</f>
        <v>6390.5722196585139</v>
      </c>
      <c r="F19" s="27">
        <f>'4.2.'!E205</f>
        <v>23835.887448084915</v>
      </c>
      <c r="G19" s="27">
        <f>'4.2.'!E207</f>
        <v>0</v>
      </c>
      <c r="H19" s="27">
        <f>'4.2.'!E214</f>
        <v>0</v>
      </c>
    </row>
    <row r="20" spans="1:8" x14ac:dyDescent="0.35">
      <c r="A20" s="2"/>
      <c r="B20" s="1"/>
      <c r="C20" s="1"/>
      <c r="D20" s="1"/>
      <c r="E20" s="1"/>
      <c r="F20" s="1"/>
      <c r="G20" s="1"/>
      <c r="H20" s="1"/>
    </row>
    <row r="21" spans="1:8" x14ac:dyDescent="0.35">
      <c r="A21" s="185" t="s">
        <v>372</v>
      </c>
      <c r="B21" s="185"/>
      <c r="C21" s="185"/>
      <c r="D21" s="185"/>
      <c r="E21" s="185"/>
      <c r="F21" s="185"/>
      <c r="G21" s="185"/>
      <c r="H21" s="185"/>
    </row>
    <row r="22" spans="1:8" ht="21.65" customHeight="1" x14ac:dyDescent="0.35">
      <c r="A22" s="187" t="s">
        <v>397</v>
      </c>
      <c r="B22" s="187"/>
      <c r="C22" s="187"/>
      <c r="D22" s="187"/>
      <c r="E22" s="187"/>
      <c r="F22" s="187"/>
      <c r="G22" s="187"/>
      <c r="H22" s="187"/>
    </row>
    <row r="23" spans="1:8" ht="19.149999999999999" customHeight="1" x14ac:dyDescent="0.35">
      <c r="A23" s="187" t="s">
        <v>398</v>
      </c>
      <c r="B23" s="187"/>
      <c r="C23" s="187"/>
      <c r="D23" s="187"/>
      <c r="E23" s="187"/>
      <c r="F23" s="187"/>
      <c r="G23" s="187"/>
      <c r="H23" s="187"/>
    </row>
    <row r="24" spans="1:8" ht="16.899999999999999" customHeight="1" x14ac:dyDescent="0.35">
      <c r="A24" s="187" t="s">
        <v>399</v>
      </c>
      <c r="B24" s="187"/>
      <c r="C24" s="187"/>
      <c r="D24" s="187"/>
      <c r="E24" s="187"/>
      <c r="F24" s="187"/>
      <c r="G24" s="187"/>
      <c r="H24" s="187"/>
    </row>
    <row r="25" spans="1:8" x14ac:dyDescent="0.35">
      <c r="A25" s="5"/>
    </row>
  </sheetData>
  <mergeCells count="13">
    <mergeCell ref="A24:H24"/>
    <mergeCell ref="A8:H8"/>
    <mergeCell ref="A11:A14"/>
    <mergeCell ref="B11:B14"/>
    <mergeCell ref="C11:H11"/>
    <mergeCell ref="C12:C14"/>
    <mergeCell ref="D12:H12"/>
    <mergeCell ref="D13:E13"/>
    <mergeCell ref="A7:H7"/>
    <mergeCell ref="A21:H21"/>
    <mergeCell ref="F13:H13"/>
    <mergeCell ref="A22:H22"/>
    <mergeCell ref="A23:H23"/>
  </mergeCells>
  <phoneticPr fontId="18" type="noConversion"/>
  <pageMargins left="0.70866141732283472" right="0.70866141732283472" top="0.55118110236220474" bottom="0.55118110236220474" header="0.31496062992125984" footer="0.31496062992125984"/>
  <pageSetup paperSize="9" scale="7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V80"/>
  <sheetViews>
    <sheetView view="pageBreakPreview" zoomScale="70" zoomScaleNormal="10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H1" sqref="H1"/>
    </sheetView>
  </sheetViews>
  <sheetFormatPr defaultColWidth="9.1796875" defaultRowHeight="14.5" outlineLevelRow="1" x14ac:dyDescent="0.35"/>
  <cols>
    <col min="1" max="1" width="34.81640625" style="4" customWidth="1"/>
    <col min="2" max="8" width="20.7265625" style="4" customWidth="1"/>
    <col min="9" max="9" width="10.54296875" style="38" customWidth="1"/>
    <col min="10" max="10" width="14.7265625" style="39" customWidth="1"/>
    <col min="11" max="11" width="17.453125" style="39" customWidth="1"/>
    <col min="12" max="12" width="14.81640625" style="39" customWidth="1"/>
    <col min="13" max="13" width="13.453125" style="39" customWidth="1"/>
    <col min="14" max="16384" width="9.1796875" style="4"/>
  </cols>
  <sheetData>
    <row r="1" spans="1:22" x14ac:dyDescent="0.35">
      <c r="A1" s="3"/>
      <c r="G1" s="6"/>
      <c r="H1" s="148" t="s">
        <v>519</v>
      </c>
    </row>
    <row r="2" spans="1:22" ht="59" customHeight="1" x14ac:dyDescent="0.35">
      <c r="A2" s="3"/>
      <c r="G2" s="7"/>
      <c r="H2" s="149" t="s">
        <v>517</v>
      </c>
    </row>
    <row r="3" spans="1:22" x14ac:dyDescent="0.35">
      <c r="A3" s="10"/>
    </row>
    <row r="4" spans="1:22" x14ac:dyDescent="0.35">
      <c r="A4" s="5"/>
    </row>
    <row r="5" spans="1:22" x14ac:dyDescent="0.35">
      <c r="A5" s="184" t="s">
        <v>400</v>
      </c>
      <c r="B5" s="184"/>
      <c r="C5" s="184"/>
      <c r="D5" s="184"/>
      <c r="E5" s="184"/>
      <c r="F5" s="184"/>
      <c r="G5" s="184"/>
      <c r="H5" s="184"/>
    </row>
    <row r="6" spans="1:22" x14ac:dyDescent="0.35">
      <c r="A6" s="184" t="s">
        <v>513</v>
      </c>
      <c r="B6" s="184"/>
      <c r="C6" s="184"/>
      <c r="D6" s="184"/>
      <c r="E6" s="184"/>
      <c r="F6" s="184"/>
      <c r="G6" s="184"/>
      <c r="H6" s="184"/>
    </row>
    <row r="7" spans="1:22" x14ac:dyDescent="0.35">
      <c r="A7" s="2"/>
      <c r="B7" s="1"/>
      <c r="C7" s="1"/>
      <c r="D7" s="1"/>
      <c r="E7" s="1"/>
      <c r="F7" s="1"/>
      <c r="G7" s="1"/>
      <c r="H7" s="1"/>
    </row>
    <row r="8" spans="1:22" ht="56.5" customHeight="1" x14ac:dyDescent="0.35">
      <c r="A8" s="186" t="s">
        <v>401</v>
      </c>
      <c r="B8" s="186" t="s">
        <v>402</v>
      </c>
      <c r="C8" s="186" t="s">
        <v>403</v>
      </c>
      <c r="D8" s="186"/>
      <c r="E8" s="186"/>
      <c r="F8" s="186"/>
      <c r="G8" s="186"/>
      <c r="H8" s="186" t="s">
        <v>404</v>
      </c>
    </row>
    <row r="9" spans="1:22" x14ac:dyDescent="0.35">
      <c r="A9" s="186"/>
      <c r="B9" s="186"/>
      <c r="C9" s="186" t="s">
        <v>405</v>
      </c>
      <c r="D9" s="186" t="s">
        <v>406</v>
      </c>
      <c r="E9" s="186"/>
      <c r="F9" s="186"/>
      <c r="G9" s="186"/>
      <c r="H9" s="186"/>
    </row>
    <row r="10" spans="1:22" ht="56" x14ac:dyDescent="0.35">
      <c r="A10" s="186"/>
      <c r="B10" s="186"/>
      <c r="C10" s="186"/>
      <c r="D10" s="11" t="s">
        <v>407</v>
      </c>
      <c r="E10" s="11" t="s">
        <v>408</v>
      </c>
      <c r="F10" s="11" t="s">
        <v>409</v>
      </c>
      <c r="G10" s="11" t="s">
        <v>410</v>
      </c>
      <c r="H10" s="186"/>
      <c r="J10" s="35"/>
      <c r="K10" s="35"/>
      <c r="L10" s="35"/>
      <c r="M10" s="35"/>
    </row>
    <row r="11" spans="1:22" x14ac:dyDescent="0.35">
      <c r="A11" s="11">
        <v>1</v>
      </c>
      <c r="B11" s="11">
        <v>2</v>
      </c>
      <c r="C11" s="11" t="s">
        <v>411</v>
      </c>
      <c r="D11" s="11">
        <v>4</v>
      </c>
      <c r="E11" s="11">
        <v>5</v>
      </c>
      <c r="F11" s="11">
        <v>6</v>
      </c>
      <c r="G11" s="11">
        <v>7</v>
      </c>
      <c r="H11" s="11" t="s">
        <v>412</v>
      </c>
      <c r="J11" s="40"/>
      <c r="K11" s="40"/>
      <c r="L11" s="40"/>
      <c r="M11" s="40"/>
    </row>
    <row r="12" spans="1:22" s="18" customFormat="1" ht="74.25" customHeight="1" x14ac:dyDescent="0.35">
      <c r="A12" s="44" t="s">
        <v>508</v>
      </c>
      <c r="B12" s="45">
        <f>SUM(B13:B28)</f>
        <v>1705.6000000000001</v>
      </c>
      <c r="C12" s="29" t="s">
        <v>413</v>
      </c>
      <c r="D12" s="29" t="s">
        <v>413</v>
      </c>
      <c r="E12" s="29" t="s">
        <v>413</v>
      </c>
      <c r="F12" s="29" t="s">
        <v>413</v>
      </c>
      <c r="G12" s="29" t="s">
        <v>413</v>
      </c>
      <c r="H12" s="30">
        <f>SUM(H13:H28)</f>
        <v>40925212.950966306</v>
      </c>
      <c r="I12" s="37"/>
      <c r="J12" s="36"/>
      <c r="K12" s="36"/>
      <c r="L12" s="36"/>
      <c r="M12" s="36"/>
    </row>
    <row r="13" spans="1:22" ht="17.25" customHeight="1" outlineLevel="1" x14ac:dyDescent="0.35">
      <c r="A13" s="46" t="s">
        <v>451</v>
      </c>
      <c r="B13" s="47">
        <f>118.3-B30</f>
        <v>100</v>
      </c>
      <c r="C13" s="26">
        <f>D13*E13*F13*G13</f>
        <v>19097.626668498906</v>
      </c>
      <c r="D13" s="26">
        <f>'5.'!$C$16</f>
        <v>17069.963248942426</v>
      </c>
      <c r="E13" s="26">
        <v>1</v>
      </c>
      <c r="F13" s="26">
        <v>1</v>
      </c>
      <c r="G13" s="41">
        <v>1.11878545899518</v>
      </c>
      <c r="H13" s="27">
        <f>B13*C13</f>
        <v>1909762.6668498905</v>
      </c>
      <c r="I13" s="41">
        <f>J13/(H13+H30)</f>
        <v>1.0000000000000038</v>
      </c>
      <c r="J13" s="39">
        <v>2259249.234883429</v>
      </c>
      <c r="K13" s="39">
        <v>1.11878545899518</v>
      </c>
    </row>
    <row r="14" spans="1:22" ht="17.25" customHeight="1" outlineLevel="1" x14ac:dyDescent="0.35">
      <c r="A14" s="46" t="s">
        <v>452</v>
      </c>
      <c r="B14" s="47">
        <f>213.3-B31</f>
        <v>181.8</v>
      </c>
      <c r="C14" s="26">
        <f t="shared" ref="C14:C28" si="0">D14*E14*F14*G14</f>
        <v>19329.097981068026</v>
      </c>
      <c r="D14" s="26">
        <f>'5.'!$C$16</f>
        <v>17069.963248942426</v>
      </c>
      <c r="E14" s="26">
        <v>1</v>
      </c>
      <c r="F14" s="26">
        <v>1</v>
      </c>
      <c r="G14" s="41">
        <v>1.1323456119488462</v>
      </c>
      <c r="H14" s="27">
        <f t="shared" ref="H14:H77" si="1">B14*C14</f>
        <v>3514030.0129581671</v>
      </c>
      <c r="I14" s="41">
        <f t="shared" ref="I14:I28" si="2">J14/(H14+H31)</f>
        <v>1</v>
      </c>
      <c r="J14" s="39">
        <v>4122896.5993618099</v>
      </c>
      <c r="K14" s="39">
        <v>1.1323456119488462</v>
      </c>
    </row>
    <row r="15" spans="1:22" ht="17.25" customHeight="1" outlineLevel="1" x14ac:dyDescent="0.35">
      <c r="A15" s="46" t="s">
        <v>453</v>
      </c>
      <c r="B15" s="47">
        <f>93.3-B32</f>
        <v>51.5</v>
      </c>
      <c r="C15" s="26">
        <f t="shared" si="0"/>
        <v>32405.452905018665</v>
      </c>
      <c r="D15" s="26">
        <f>'5.'!$C$16</f>
        <v>17069.963248942426</v>
      </c>
      <c r="E15" s="26">
        <v>1</v>
      </c>
      <c r="F15" s="26">
        <v>1</v>
      </c>
      <c r="G15" s="41">
        <v>1.8983903147551506</v>
      </c>
      <c r="H15" s="27">
        <f t="shared" si="1"/>
        <v>1668880.8246084612</v>
      </c>
      <c r="I15" s="41">
        <f t="shared" si="2"/>
        <v>1.0000000000000002</v>
      </c>
      <c r="J15" s="39">
        <v>3023428.7560382416</v>
      </c>
      <c r="K15" s="39">
        <v>1.8983903147551506</v>
      </c>
    </row>
    <row r="16" spans="1:22" ht="17.25" customHeight="1" outlineLevel="1" x14ac:dyDescent="0.35">
      <c r="A16" s="46" t="s">
        <v>455</v>
      </c>
      <c r="B16" s="47">
        <f>75-B33</f>
        <v>51.7</v>
      </c>
      <c r="C16" s="26">
        <f t="shared" si="0"/>
        <v>27694.870358251963</v>
      </c>
      <c r="D16" s="26">
        <f>'5.'!$C$16</f>
        <v>17069.963248942426</v>
      </c>
      <c r="E16" s="26">
        <v>1</v>
      </c>
      <c r="F16" s="26">
        <v>1</v>
      </c>
      <c r="G16" s="41">
        <v>1.622432922341986</v>
      </c>
      <c r="H16" s="27">
        <f t="shared" si="1"/>
        <v>1431824.7975216266</v>
      </c>
      <c r="I16" s="41">
        <f t="shared" si="2"/>
        <v>0.99999999999999978</v>
      </c>
      <c r="J16" s="39">
        <v>2077115.276868897</v>
      </c>
      <c r="K16" s="39">
        <v>1.622432922341986</v>
      </c>
      <c r="N16" s="39"/>
      <c r="O16" s="39"/>
      <c r="P16" s="39"/>
      <c r="Q16" s="39"/>
      <c r="R16" s="39"/>
      <c r="S16" s="39"/>
      <c r="T16" s="39"/>
      <c r="U16" s="39"/>
      <c r="V16" s="39"/>
    </row>
    <row r="17" spans="1:15" ht="17.25" customHeight="1" outlineLevel="1" x14ac:dyDescent="0.35">
      <c r="A17" s="46" t="s">
        <v>454</v>
      </c>
      <c r="B17" s="47">
        <f>208-B34</f>
        <v>170.3</v>
      </c>
      <c r="C17" s="26">
        <f t="shared" si="0"/>
        <v>22905.010606756223</v>
      </c>
      <c r="D17" s="26">
        <f>'5.'!$C$16</f>
        <v>17069.963248942426</v>
      </c>
      <c r="E17" s="26">
        <v>1</v>
      </c>
      <c r="F17" s="26">
        <v>1</v>
      </c>
      <c r="G17" s="41">
        <v>1.3418312782937778</v>
      </c>
      <c r="H17" s="27">
        <f t="shared" si="1"/>
        <v>3900723.3063305849</v>
      </c>
      <c r="I17" s="41">
        <f t="shared" si="2"/>
        <v>1.0000000000000002</v>
      </c>
      <c r="J17" s="39">
        <v>4764242.2062052954</v>
      </c>
      <c r="K17" s="39">
        <v>1.3418312782937778</v>
      </c>
    </row>
    <row r="18" spans="1:15" ht="17.25" customHeight="1" outlineLevel="1" x14ac:dyDescent="0.35">
      <c r="A18" s="46" t="s">
        <v>479</v>
      </c>
      <c r="B18" s="47">
        <f>100.7-B35</f>
        <v>67.400000000000006</v>
      </c>
      <c r="C18" s="26">
        <f t="shared" si="0"/>
        <v>21937.563773324229</v>
      </c>
      <c r="D18" s="26">
        <f>'5.'!$C$16</f>
        <v>17069.963248942426</v>
      </c>
      <c r="E18" s="26">
        <v>1</v>
      </c>
      <c r="F18" s="26">
        <v>1</v>
      </c>
      <c r="G18" s="41">
        <v>1.2851558877658027</v>
      </c>
      <c r="H18" s="27">
        <f t="shared" si="1"/>
        <v>1478591.7983220532</v>
      </c>
      <c r="I18" s="41">
        <f t="shared" si="2"/>
        <v>1</v>
      </c>
      <c r="J18" s="39">
        <v>2209112.67197375</v>
      </c>
      <c r="K18" s="39">
        <v>1.2851558877658027</v>
      </c>
    </row>
    <row r="19" spans="1:15" ht="17.25" customHeight="1" outlineLevel="1" x14ac:dyDescent="0.35">
      <c r="A19" s="46" t="s">
        <v>457</v>
      </c>
      <c r="B19" s="47">
        <f>89.4-B36</f>
        <v>89.4</v>
      </c>
      <c r="C19" s="26">
        <f t="shared" si="0"/>
        <v>23513.92565325569</v>
      </c>
      <c r="D19" s="26">
        <f>'5.'!$C$16</f>
        <v>17069.963248942426</v>
      </c>
      <c r="E19" s="26">
        <v>1</v>
      </c>
      <c r="F19" s="26">
        <v>1</v>
      </c>
      <c r="G19" s="41">
        <v>1.3775030039805447</v>
      </c>
      <c r="H19" s="27">
        <f t="shared" si="1"/>
        <v>2102144.9534010589</v>
      </c>
      <c r="I19" s="41">
        <f t="shared" si="2"/>
        <v>1</v>
      </c>
      <c r="J19" s="39">
        <v>2102144.9534010589</v>
      </c>
      <c r="K19" s="39">
        <v>1.3775030039805447</v>
      </c>
      <c r="M19" s="42"/>
    </row>
    <row r="20" spans="1:15" ht="17.25" customHeight="1" outlineLevel="1" x14ac:dyDescent="0.35">
      <c r="A20" s="46" t="s">
        <v>458</v>
      </c>
      <c r="B20" s="47">
        <f>120-B37</f>
        <v>120</v>
      </c>
      <c r="C20" s="26">
        <f t="shared" si="0"/>
        <v>18591.539819363068</v>
      </c>
      <c r="D20" s="26">
        <f>'5.'!$C$16</f>
        <v>17069.963248942426</v>
      </c>
      <c r="E20" s="26">
        <v>1</v>
      </c>
      <c r="F20" s="26">
        <v>1</v>
      </c>
      <c r="G20" s="41">
        <v>1.089137659421435</v>
      </c>
      <c r="H20" s="27">
        <f t="shared" si="1"/>
        <v>2230984.7783235684</v>
      </c>
      <c r="I20" s="41">
        <f t="shared" si="2"/>
        <v>1</v>
      </c>
      <c r="J20" s="39">
        <v>2230984.7783235684</v>
      </c>
      <c r="K20" s="39">
        <v>1.089137659421435</v>
      </c>
    </row>
    <row r="21" spans="1:15" ht="17.25" customHeight="1" outlineLevel="1" x14ac:dyDescent="0.35">
      <c r="A21" s="46" t="s">
        <v>459</v>
      </c>
      <c r="B21" s="47">
        <f>216.7-B38</f>
        <v>216.7</v>
      </c>
      <c r="C21" s="26">
        <f t="shared" si="0"/>
        <v>17069.956003270676</v>
      </c>
      <c r="D21" s="26">
        <f>'5.'!$C$16</f>
        <v>17069.963248942426</v>
      </c>
      <c r="E21" s="26">
        <v>1</v>
      </c>
      <c r="F21" s="26">
        <v>1</v>
      </c>
      <c r="G21" s="64">
        <v>0.99999957553091101</v>
      </c>
      <c r="H21" s="27">
        <f t="shared" si="1"/>
        <v>3699059.4659087551</v>
      </c>
      <c r="I21" s="41">
        <f t="shared" si="2"/>
        <v>1</v>
      </c>
      <c r="J21" s="39">
        <v>3699059.4659087551</v>
      </c>
      <c r="K21" s="42">
        <v>0.99999957553091101</v>
      </c>
    </row>
    <row r="22" spans="1:15" ht="17.25" customHeight="1" outlineLevel="1" x14ac:dyDescent="0.35">
      <c r="A22" s="46" t="s">
        <v>460</v>
      </c>
      <c r="B22" s="47">
        <f>118-B39</f>
        <v>118</v>
      </c>
      <c r="C22" s="26">
        <f t="shared" si="0"/>
        <v>18331.557059005252</v>
      </c>
      <c r="D22" s="26">
        <f>'5.'!$C$16</f>
        <v>17069.963248942426</v>
      </c>
      <c r="E22" s="26">
        <v>1</v>
      </c>
      <c r="F22" s="26">
        <v>1</v>
      </c>
      <c r="G22" s="41">
        <v>1.0739072364517825</v>
      </c>
      <c r="H22" s="27">
        <f t="shared" si="1"/>
        <v>2163123.7329626195</v>
      </c>
      <c r="I22" s="41">
        <f t="shared" si="2"/>
        <v>1.0000000000000002</v>
      </c>
      <c r="J22" s="39">
        <v>2163123.73296262</v>
      </c>
      <c r="K22" s="39">
        <v>1.0739072364517825</v>
      </c>
    </row>
    <row r="23" spans="1:15" ht="17.25" customHeight="1" outlineLevel="1" x14ac:dyDescent="0.35">
      <c r="A23" s="46" t="s">
        <v>461</v>
      </c>
      <c r="B23" s="47">
        <f>119.4-B40</f>
        <v>118.4</v>
      </c>
      <c r="C23" s="26">
        <f t="shared" si="0"/>
        <v>22829.519507107347</v>
      </c>
      <c r="D23" s="26">
        <f>'5.'!$C$16</f>
        <v>17069.963248942426</v>
      </c>
      <c r="E23" s="26">
        <v>1</v>
      </c>
      <c r="F23" s="26">
        <v>1</v>
      </c>
      <c r="G23" s="41">
        <v>1.3374088259107269</v>
      </c>
      <c r="H23" s="27">
        <f t="shared" si="1"/>
        <v>2703015.1096415101</v>
      </c>
      <c r="I23" s="41">
        <f t="shared" si="2"/>
        <v>1</v>
      </c>
      <c r="J23" s="39">
        <v>2725844.6291486174</v>
      </c>
      <c r="K23" s="39">
        <v>1.3374088259107269</v>
      </c>
    </row>
    <row r="24" spans="1:15" ht="17.25" customHeight="1" outlineLevel="1" x14ac:dyDescent="0.35">
      <c r="A24" s="46" t="s">
        <v>462</v>
      </c>
      <c r="B24" s="47">
        <f>56-B41</f>
        <v>56</v>
      </c>
      <c r="C24" s="26">
        <f t="shared" si="0"/>
        <v>87342.605013807508</v>
      </c>
      <c r="D24" s="26">
        <f>'5.'!$C$16</f>
        <v>17069.963248942426</v>
      </c>
      <c r="E24" s="26">
        <v>1</v>
      </c>
      <c r="F24" s="26">
        <v>1</v>
      </c>
      <c r="G24" s="41">
        <v>5.1167424170768996</v>
      </c>
      <c r="H24" s="27">
        <f t="shared" si="1"/>
        <v>4891185.8807732202</v>
      </c>
      <c r="I24" s="41">
        <f t="shared" si="2"/>
        <v>1.0000000000000002</v>
      </c>
      <c r="J24" s="39">
        <v>4891185.8807732211</v>
      </c>
      <c r="K24" s="39">
        <v>5.1167424170768996</v>
      </c>
      <c r="O24" s="33"/>
    </row>
    <row r="25" spans="1:15" ht="17.25" customHeight="1" outlineLevel="1" x14ac:dyDescent="0.35">
      <c r="A25" s="46" t="s">
        <v>463</v>
      </c>
      <c r="B25" s="47">
        <f>96.3-B42</f>
        <v>96.3</v>
      </c>
      <c r="C25" s="26">
        <f t="shared" si="0"/>
        <v>25217.018496846624</v>
      </c>
      <c r="D25" s="26">
        <f>'5.'!$C$16</f>
        <v>17069.963248942426</v>
      </c>
      <c r="E25" s="26">
        <v>1</v>
      </c>
      <c r="F25" s="26">
        <v>1</v>
      </c>
      <c r="G25" s="41">
        <v>1.4772743285436747</v>
      </c>
      <c r="H25" s="27">
        <f t="shared" si="1"/>
        <v>2428398.8812463298</v>
      </c>
      <c r="I25" s="41">
        <f t="shared" si="2"/>
        <v>1.0000000000000002</v>
      </c>
      <c r="J25" s="39">
        <v>2428398.8812463302</v>
      </c>
      <c r="K25" s="39">
        <v>1.4772743285436747</v>
      </c>
    </row>
    <row r="26" spans="1:15" ht="17.25" customHeight="1" outlineLevel="1" x14ac:dyDescent="0.35">
      <c r="A26" s="46" t="s">
        <v>464</v>
      </c>
      <c r="B26" s="47">
        <f>98.7-B43</f>
        <v>98.7</v>
      </c>
      <c r="C26" s="26">
        <f t="shared" si="0"/>
        <v>20515.299992699784</v>
      </c>
      <c r="D26" s="26">
        <f>'5.'!$C$16</f>
        <v>17069.963248942426</v>
      </c>
      <c r="E26" s="26">
        <v>1</v>
      </c>
      <c r="F26" s="26">
        <v>1</v>
      </c>
      <c r="G26" s="41">
        <v>1.201836213324643</v>
      </c>
      <c r="H26" s="27">
        <f t="shared" si="1"/>
        <v>2024860.1092794687</v>
      </c>
      <c r="I26" s="41">
        <f t="shared" si="2"/>
        <v>1</v>
      </c>
      <c r="J26" s="39">
        <v>2024860.1092794687</v>
      </c>
      <c r="K26" s="39">
        <v>1.201836213324643</v>
      </c>
    </row>
    <row r="27" spans="1:15" ht="17.25" customHeight="1" outlineLevel="1" x14ac:dyDescent="0.35">
      <c r="A27" s="46" t="s">
        <v>465</v>
      </c>
      <c r="B27" s="47">
        <f>102.7-B44</f>
        <v>102.7</v>
      </c>
      <c r="C27" s="26">
        <f t="shared" si="0"/>
        <v>20141.263193781549</v>
      </c>
      <c r="D27" s="26">
        <f>'5.'!$C$16</f>
        <v>17069.963248942426</v>
      </c>
      <c r="E27" s="26">
        <v>1</v>
      </c>
      <c r="F27" s="26">
        <v>1</v>
      </c>
      <c r="G27" s="41">
        <v>1.1799242271379469</v>
      </c>
      <c r="H27" s="27">
        <f t="shared" si="1"/>
        <v>2068507.7300013653</v>
      </c>
      <c r="I27" s="41">
        <f t="shared" si="2"/>
        <v>1</v>
      </c>
      <c r="J27" s="39">
        <v>2068507.7300013653</v>
      </c>
      <c r="K27" s="39">
        <v>1.1799242271379469</v>
      </c>
    </row>
    <row r="28" spans="1:15" ht="17.25" customHeight="1" outlineLevel="1" x14ac:dyDescent="0.35">
      <c r="A28" s="46" t="s">
        <v>466</v>
      </c>
      <c r="B28" s="47">
        <f>66.7-B45</f>
        <v>66.7</v>
      </c>
      <c r="C28" s="26">
        <f t="shared" si="0"/>
        <v>40631.467808660091</v>
      </c>
      <c r="D28" s="26">
        <f>'5.'!$C$16</f>
        <v>17069.963248942426</v>
      </c>
      <c r="E28" s="26">
        <v>1</v>
      </c>
      <c r="F28" s="26">
        <v>1</v>
      </c>
      <c r="G28" s="41">
        <v>2.3802902921409292</v>
      </c>
      <c r="H28" s="27">
        <f t="shared" si="1"/>
        <v>2710118.902837628</v>
      </c>
      <c r="I28" s="41">
        <f t="shared" si="2"/>
        <v>1</v>
      </c>
      <c r="J28" s="39">
        <v>2710118.902837628</v>
      </c>
      <c r="K28" s="39">
        <v>2.3802902921409292</v>
      </c>
    </row>
    <row r="29" spans="1:15" s="18" customFormat="1" ht="87" customHeight="1" x14ac:dyDescent="0.35">
      <c r="A29" s="44" t="s">
        <v>509</v>
      </c>
      <c r="B29" s="45">
        <f>SUM(B30:B45)</f>
        <v>186.89999999999998</v>
      </c>
      <c r="C29" s="29" t="s">
        <v>413</v>
      </c>
      <c r="D29" s="29" t="s">
        <v>413</v>
      </c>
      <c r="E29" s="29" t="s">
        <v>413</v>
      </c>
      <c r="F29" s="29" t="s">
        <v>413</v>
      </c>
      <c r="G29" s="29" t="s">
        <v>413</v>
      </c>
      <c r="H29" s="30">
        <f>SUM(H30:H45)</f>
        <v>4575060.8582477374</v>
      </c>
      <c r="I29" s="37"/>
      <c r="J29" s="36"/>
      <c r="K29" s="36"/>
      <c r="L29" s="36"/>
      <c r="M29" s="36"/>
    </row>
    <row r="30" spans="1:15" ht="17.25" customHeight="1" outlineLevel="1" x14ac:dyDescent="0.35">
      <c r="A30" s="46" t="s">
        <v>451</v>
      </c>
      <c r="B30" s="47">
        <f>3+15.3</f>
        <v>18.3</v>
      </c>
      <c r="C30" s="26">
        <f>D30*E30*F30*G30</f>
        <v>19097.626668498906</v>
      </c>
      <c r="D30" s="26">
        <f>'5.'!$C$17</f>
        <v>17069.963248942426</v>
      </c>
      <c r="E30" s="26">
        <v>1</v>
      </c>
      <c r="F30" s="26">
        <v>1</v>
      </c>
      <c r="G30" s="41">
        <v>1.11878545899518</v>
      </c>
      <c r="H30" s="27">
        <f t="shared" si="1"/>
        <v>349486.56803352997</v>
      </c>
    </row>
    <row r="31" spans="1:15" ht="17.25" customHeight="1" outlineLevel="1" x14ac:dyDescent="0.35">
      <c r="A31" s="46" t="s">
        <v>452</v>
      </c>
      <c r="B31" s="47">
        <f>1.5+30</f>
        <v>31.5</v>
      </c>
      <c r="C31" s="26">
        <f t="shared" ref="C31:C45" si="3">D31*E31*F31*G31</f>
        <v>19329.097981068026</v>
      </c>
      <c r="D31" s="26">
        <f>'5.'!$C$17</f>
        <v>17069.963248942426</v>
      </c>
      <c r="E31" s="26">
        <v>1</v>
      </c>
      <c r="F31" s="26">
        <v>1</v>
      </c>
      <c r="G31" s="41">
        <v>1.1323456119488462</v>
      </c>
      <c r="H31" s="27">
        <f t="shared" si="1"/>
        <v>608866.58640364278</v>
      </c>
    </row>
    <row r="32" spans="1:15" ht="17.25" customHeight="1" outlineLevel="1" x14ac:dyDescent="0.35">
      <c r="A32" s="46" t="s">
        <v>453</v>
      </c>
      <c r="B32" s="47">
        <f>2.5+39.3</f>
        <v>41.8</v>
      </c>
      <c r="C32" s="26">
        <f t="shared" si="3"/>
        <v>32405.452905018665</v>
      </c>
      <c r="D32" s="26">
        <f>'5.'!$C$17</f>
        <v>17069.963248942426</v>
      </c>
      <c r="E32" s="26">
        <v>1</v>
      </c>
      <c r="F32" s="26">
        <v>1</v>
      </c>
      <c r="G32" s="41">
        <v>1.8983903147551506</v>
      </c>
      <c r="H32" s="27">
        <f t="shared" si="1"/>
        <v>1354547.9314297801</v>
      </c>
    </row>
    <row r="33" spans="1:13" ht="17.25" customHeight="1" outlineLevel="1" x14ac:dyDescent="0.35">
      <c r="A33" s="46" t="s">
        <v>455</v>
      </c>
      <c r="B33" s="47">
        <f>2.6+20.7</f>
        <v>23.3</v>
      </c>
      <c r="C33" s="26">
        <f t="shared" si="3"/>
        <v>27694.870358251963</v>
      </c>
      <c r="D33" s="26">
        <f>'5.'!$C$17</f>
        <v>17069.963248942426</v>
      </c>
      <c r="E33" s="26">
        <v>1</v>
      </c>
      <c r="F33" s="26">
        <v>1</v>
      </c>
      <c r="G33" s="41">
        <v>1.622432922341986</v>
      </c>
      <c r="H33" s="27">
        <f t="shared" si="1"/>
        <v>645290.4793472708</v>
      </c>
    </row>
    <row r="34" spans="1:13" ht="17.25" customHeight="1" outlineLevel="1" x14ac:dyDescent="0.35">
      <c r="A34" s="46" t="s">
        <v>454</v>
      </c>
      <c r="B34" s="47">
        <f>3+34.7</f>
        <v>37.700000000000003</v>
      </c>
      <c r="C34" s="26">
        <f t="shared" si="3"/>
        <v>22905.010606756223</v>
      </c>
      <c r="D34" s="26">
        <f>'5.'!$C$17</f>
        <v>17069.963248942426</v>
      </c>
      <c r="E34" s="26">
        <v>1</v>
      </c>
      <c r="F34" s="26">
        <v>1</v>
      </c>
      <c r="G34" s="41">
        <v>1.3418312782937778</v>
      </c>
      <c r="H34" s="27">
        <f t="shared" si="1"/>
        <v>863518.89987470966</v>
      </c>
    </row>
    <row r="35" spans="1:13" ht="17.25" customHeight="1" outlineLevel="1" x14ac:dyDescent="0.35">
      <c r="A35" s="46" t="s">
        <v>456</v>
      </c>
      <c r="B35" s="47">
        <f>1+32.3</f>
        <v>33.299999999999997</v>
      </c>
      <c r="C35" s="26">
        <f t="shared" si="3"/>
        <v>21937.563773324229</v>
      </c>
      <c r="D35" s="26">
        <f>'5.'!$C$17</f>
        <v>17069.963248942426</v>
      </c>
      <c r="E35" s="26">
        <v>1</v>
      </c>
      <c r="F35" s="26">
        <v>1</v>
      </c>
      <c r="G35" s="41">
        <v>1.2851558877658027</v>
      </c>
      <c r="H35" s="27">
        <f t="shared" si="1"/>
        <v>730520.87365169672</v>
      </c>
    </row>
    <row r="36" spans="1:13" ht="17.25" customHeight="1" outlineLevel="1" x14ac:dyDescent="0.35">
      <c r="A36" s="46" t="s">
        <v>457</v>
      </c>
      <c r="B36" s="47"/>
      <c r="C36" s="26">
        <f t="shared" si="3"/>
        <v>23513.92565325569</v>
      </c>
      <c r="D36" s="26">
        <f>'5.'!$C$17</f>
        <v>17069.963248942426</v>
      </c>
      <c r="E36" s="26">
        <v>1</v>
      </c>
      <c r="F36" s="26">
        <v>1</v>
      </c>
      <c r="G36" s="41">
        <v>1.3775030039805447</v>
      </c>
      <c r="H36" s="27">
        <f t="shared" si="1"/>
        <v>0</v>
      </c>
    </row>
    <row r="37" spans="1:13" ht="17.25" customHeight="1" outlineLevel="1" x14ac:dyDescent="0.35">
      <c r="A37" s="46" t="s">
        <v>458</v>
      </c>
      <c r="B37" s="47"/>
      <c r="C37" s="26">
        <f t="shared" si="3"/>
        <v>18591.539819363068</v>
      </c>
      <c r="D37" s="26">
        <f>'5.'!$C$17</f>
        <v>17069.963248942426</v>
      </c>
      <c r="E37" s="26">
        <v>1</v>
      </c>
      <c r="F37" s="26">
        <v>1</v>
      </c>
      <c r="G37" s="41">
        <v>1.089137659421435</v>
      </c>
      <c r="H37" s="27">
        <f t="shared" si="1"/>
        <v>0</v>
      </c>
    </row>
    <row r="38" spans="1:13" ht="17.25" customHeight="1" outlineLevel="1" x14ac:dyDescent="0.35">
      <c r="A38" s="46" t="s">
        <v>459</v>
      </c>
      <c r="B38" s="47"/>
      <c r="C38" s="26">
        <f t="shared" si="3"/>
        <v>17069.956003270676</v>
      </c>
      <c r="D38" s="26">
        <f>'5.'!$C$17</f>
        <v>17069.963248942426</v>
      </c>
      <c r="E38" s="26">
        <v>1</v>
      </c>
      <c r="F38" s="26">
        <v>1</v>
      </c>
      <c r="G38" s="64">
        <v>0.99999957553091101</v>
      </c>
      <c r="H38" s="27">
        <f t="shared" si="1"/>
        <v>0</v>
      </c>
    </row>
    <row r="39" spans="1:13" ht="17.25" customHeight="1" outlineLevel="1" x14ac:dyDescent="0.35">
      <c r="A39" s="46" t="s">
        <v>460</v>
      </c>
      <c r="B39" s="47"/>
      <c r="C39" s="26">
        <f t="shared" si="3"/>
        <v>18331.557059005252</v>
      </c>
      <c r="D39" s="26">
        <f>'5.'!$C$17</f>
        <v>17069.963248942426</v>
      </c>
      <c r="E39" s="26">
        <v>1</v>
      </c>
      <c r="F39" s="26">
        <v>1</v>
      </c>
      <c r="G39" s="41">
        <v>1.0739072364517825</v>
      </c>
      <c r="H39" s="27">
        <f t="shared" si="1"/>
        <v>0</v>
      </c>
    </row>
    <row r="40" spans="1:13" ht="17.25" customHeight="1" outlineLevel="1" x14ac:dyDescent="0.35">
      <c r="A40" s="46" t="s">
        <v>461</v>
      </c>
      <c r="B40" s="47">
        <f>1</f>
        <v>1</v>
      </c>
      <c r="C40" s="26">
        <f t="shared" si="3"/>
        <v>22829.519507107347</v>
      </c>
      <c r="D40" s="26">
        <f>'5.'!$C$17</f>
        <v>17069.963248942426</v>
      </c>
      <c r="E40" s="26">
        <v>1</v>
      </c>
      <c r="F40" s="26">
        <v>1</v>
      </c>
      <c r="G40" s="41">
        <v>1.3374088259107269</v>
      </c>
      <c r="H40" s="27">
        <f t="shared" si="1"/>
        <v>22829.519507107347</v>
      </c>
    </row>
    <row r="41" spans="1:13" ht="17.25" customHeight="1" outlineLevel="1" x14ac:dyDescent="0.35">
      <c r="A41" s="46" t="s">
        <v>462</v>
      </c>
      <c r="B41" s="47"/>
      <c r="C41" s="26">
        <f t="shared" si="3"/>
        <v>87342.605013807508</v>
      </c>
      <c r="D41" s="26">
        <f>'5.'!$C$17</f>
        <v>17069.963248942426</v>
      </c>
      <c r="E41" s="26">
        <v>1</v>
      </c>
      <c r="F41" s="26">
        <v>1</v>
      </c>
      <c r="G41" s="41">
        <v>5.1167424170768996</v>
      </c>
      <c r="H41" s="27">
        <f t="shared" si="1"/>
        <v>0</v>
      </c>
    </row>
    <row r="42" spans="1:13" ht="17.25" customHeight="1" outlineLevel="1" x14ac:dyDescent="0.35">
      <c r="A42" s="46" t="s">
        <v>463</v>
      </c>
      <c r="B42" s="47"/>
      <c r="C42" s="26">
        <f t="shared" si="3"/>
        <v>25217.018496846624</v>
      </c>
      <c r="D42" s="26">
        <f>'5.'!$C$17</f>
        <v>17069.963248942426</v>
      </c>
      <c r="E42" s="26">
        <v>1</v>
      </c>
      <c r="F42" s="26">
        <v>1</v>
      </c>
      <c r="G42" s="41">
        <v>1.4772743285436747</v>
      </c>
      <c r="H42" s="27">
        <f t="shared" si="1"/>
        <v>0</v>
      </c>
    </row>
    <row r="43" spans="1:13" ht="17.25" customHeight="1" outlineLevel="1" x14ac:dyDescent="0.35">
      <c r="A43" s="46" t="s">
        <v>464</v>
      </c>
      <c r="B43" s="47"/>
      <c r="C43" s="26">
        <f t="shared" si="3"/>
        <v>20515.299992699784</v>
      </c>
      <c r="D43" s="26">
        <f>'5.'!$C$17</f>
        <v>17069.963248942426</v>
      </c>
      <c r="E43" s="26">
        <v>1</v>
      </c>
      <c r="F43" s="26">
        <v>1</v>
      </c>
      <c r="G43" s="41">
        <v>1.201836213324643</v>
      </c>
      <c r="H43" s="27">
        <f t="shared" si="1"/>
        <v>0</v>
      </c>
    </row>
    <row r="44" spans="1:13" ht="17.25" customHeight="1" outlineLevel="1" x14ac:dyDescent="0.35">
      <c r="A44" s="46" t="s">
        <v>465</v>
      </c>
      <c r="B44" s="47"/>
      <c r="C44" s="26">
        <f t="shared" si="3"/>
        <v>20141.263193781549</v>
      </c>
      <c r="D44" s="26">
        <f>'5.'!$C$17</f>
        <v>17069.963248942426</v>
      </c>
      <c r="E44" s="26">
        <v>1</v>
      </c>
      <c r="F44" s="26">
        <v>1</v>
      </c>
      <c r="G44" s="41">
        <v>1.1799242271379469</v>
      </c>
      <c r="H44" s="27">
        <f t="shared" si="1"/>
        <v>0</v>
      </c>
    </row>
    <row r="45" spans="1:13" ht="17.25" customHeight="1" outlineLevel="1" x14ac:dyDescent="0.35">
      <c r="A45" s="46" t="s">
        <v>466</v>
      </c>
      <c r="B45" s="47"/>
      <c r="C45" s="26">
        <f t="shared" si="3"/>
        <v>40631.467808660091</v>
      </c>
      <c r="D45" s="26">
        <f>'5.'!$C$17</f>
        <v>17069.963248942426</v>
      </c>
      <c r="E45" s="26">
        <v>1</v>
      </c>
      <c r="F45" s="26">
        <v>1</v>
      </c>
      <c r="G45" s="41">
        <v>2.3802902921409292</v>
      </c>
      <c r="H45" s="27">
        <f t="shared" si="1"/>
        <v>0</v>
      </c>
    </row>
    <row r="46" spans="1:13" s="18" customFormat="1" ht="43.5" customHeight="1" x14ac:dyDescent="0.35">
      <c r="A46" s="44" t="s">
        <v>467</v>
      </c>
      <c r="B46" s="45">
        <f>SUM(B47:B62)</f>
        <v>1877.9000000000003</v>
      </c>
      <c r="C46" s="29" t="s">
        <v>413</v>
      </c>
      <c r="D46" s="29" t="s">
        <v>413</v>
      </c>
      <c r="E46" s="29" t="s">
        <v>413</v>
      </c>
      <c r="F46" s="29" t="s">
        <v>413</v>
      </c>
      <c r="G46" s="29" t="s">
        <v>413</v>
      </c>
      <c r="H46" s="30">
        <f>SUM(H47:H62)</f>
        <v>127335287.51047228</v>
      </c>
      <c r="I46" s="37"/>
      <c r="J46" s="36"/>
      <c r="K46" s="36"/>
      <c r="L46" s="36"/>
      <c r="M46" s="36"/>
    </row>
    <row r="47" spans="1:13" outlineLevel="1" x14ac:dyDescent="0.35">
      <c r="A47" s="46" t="s">
        <v>451</v>
      </c>
      <c r="B47" s="47">
        <f>118.3-B64</f>
        <v>115.3</v>
      </c>
      <c r="C47" s="26">
        <f>D47*E47*F47*G47</f>
        <v>57328.008272379266</v>
      </c>
      <c r="D47" s="26">
        <f>'5.'!$C$18</f>
        <v>54732.96801786912</v>
      </c>
      <c r="E47" s="26">
        <v>1</v>
      </c>
      <c r="F47" s="26">
        <v>1</v>
      </c>
      <c r="G47" s="41">
        <v>1.0474127449778152</v>
      </c>
      <c r="H47" s="27">
        <f t="shared" si="1"/>
        <v>6609919.3538053287</v>
      </c>
      <c r="I47" s="41">
        <f t="shared" ref="I47:I62" si="4">J47/(H47+H64)</f>
        <v>1</v>
      </c>
      <c r="J47" s="39">
        <v>6781903.3786224667</v>
      </c>
      <c r="K47" s="39">
        <v>1.0474127449778152</v>
      </c>
    </row>
    <row r="48" spans="1:13" outlineLevel="1" x14ac:dyDescent="0.35">
      <c r="A48" s="46" t="s">
        <v>452</v>
      </c>
      <c r="B48" s="47">
        <f>213.3-B65</f>
        <v>211.8</v>
      </c>
      <c r="C48" s="26">
        <f t="shared" ref="C48:C62" si="5">D48*E48*F48*G48</f>
        <v>58878.56410403725</v>
      </c>
      <c r="D48" s="26">
        <f>'5.'!$C$18</f>
        <v>54732.96801786912</v>
      </c>
      <c r="E48" s="26">
        <v>1</v>
      </c>
      <c r="F48" s="26">
        <v>1</v>
      </c>
      <c r="G48" s="41">
        <v>1.0757422123502363</v>
      </c>
      <c r="H48" s="27">
        <f t="shared" si="1"/>
        <v>12470479.87723509</v>
      </c>
      <c r="I48" s="41">
        <f t="shared" si="4"/>
        <v>1</v>
      </c>
      <c r="J48" s="39">
        <v>12558797.723391145</v>
      </c>
      <c r="K48" s="39">
        <v>1.0757422123502363</v>
      </c>
    </row>
    <row r="49" spans="1:13" outlineLevel="1" x14ac:dyDescent="0.35">
      <c r="A49" s="46" t="s">
        <v>453</v>
      </c>
      <c r="B49" s="47">
        <f>93.3-B66</f>
        <v>90.8</v>
      </c>
      <c r="C49" s="26">
        <f t="shared" si="5"/>
        <v>96456.392638338992</v>
      </c>
      <c r="D49" s="26">
        <f>'5.'!$C$18</f>
        <v>54732.96801786912</v>
      </c>
      <c r="E49" s="26">
        <v>1</v>
      </c>
      <c r="F49" s="26">
        <v>1</v>
      </c>
      <c r="G49" s="41">
        <v>1.7623088264982831</v>
      </c>
      <c r="H49" s="27">
        <f t="shared" si="1"/>
        <v>8758240.4515611809</v>
      </c>
      <c r="I49" s="41">
        <f t="shared" si="4"/>
        <v>0.99999999999999978</v>
      </c>
      <c r="J49" s="39">
        <v>8999381.4331570268</v>
      </c>
      <c r="K49" s="39">
        <v>1.7623088264982831</v>
      </c>
    </row>
    <row r="50" spans="1:13" outlineLevel="1" x14ac:dyDescent="0.35">
      <c r="A50" s="46" t="s">
        <v>455</v>
      </c>
      <c r="B50" s="47">
        <f>75-B67</f>
        <v>72.400000000000006</v>
      </c>
      <c r="C50" s="26">
        <f t="shared" si="5"/>
        <v>109902.78168528435</v>
      </c>
      <c r="D50" s="26">
        <f>'5.'!$C$18</f>
        <v>54732.96801786912</v>
      </c>
      <c r="E50" s="26">
        <v>1</v>
      </c>
      <c r="F50" s="26">
        <v>1</v>
      </c>
      <c r="G50" s="41">
        <v>2.0079813988783415</v>
      </c>
      <c r="H50" s="27">
        <f t="shared" si="1"/>
        <v>7956961.3940145876</v>
      </c>
      <c r="I50" s="41">
        <f t="shared" si="4"/>
        <v>0.99999999999999989</v>
      </c>
      <c r="J50" s="39">
        <v>8242708.6263963263</v>
      </c>
      <c r="K50" s="39">
        <v>2.0079813988783415</v>
      </c>
    </row>
    <row r="51" spans="1:13" outlineLevel="1" x14ac:dyDescent="0.35">
      <c r="A51" s="46" t="s">
        <v>454</v>
      </c>
      <c r="B51" s="47">
        <f>208-B68</f>
        <v>205</v>
      </c>
      <c r="C51" s="26">
        <f t="shared" si="5"/>
        <v>61330.148620540735</v>
      </c>
      <c r="D51" s="26">
        <f>'5.'!$C$18</f>
        <v>54732.96801786912</v>
      </c>
      <c r="E51" s="26">
        <v>1</v>
      </c>
      <c r="F51" s="26">
        <v>1</v>
      </c>
      <c r="G51" s="41">
        <v>1.1205339458389645</v>
      </c>
      <c r="H51" s="27">
        <f t="shared" si="1"/>
        <v>12572680.46721085</v>
      </c>
      <c r="I51" s="41">
        <f t="shared" si="4"/>
        <v>1</v>
      </c>
      <c r="J51" s="39">
        <v>12756670.913072472</v>
      </c>
      <c r="K51" s="39">
        <v>1.1205339458389645</v>
      </c>
    </row>
    <row r="52" spans="1:13" outlineLevel="1" x14ac:dyDescent="0.35">
      <c r="A52" s="46" t="s">
        <v>456</v>
      </c>
      <c r="B52" s="47">
        <f>100.7-B69</f>
        <v>99.7</v>
      </c>
      <c r="C52" s="26">
        <f t="shared" si="5"/>
        <v>70313.586951884805</v>
      </c>
      <c r="D52" s="26">
        <f>'5.'!$C$18</f>
        <v>54732.96801786912</v>
      </c>
      <c r="E52" s="26">
        <v>1</v>
      </c>
      <c r="F52" s="26">
        <v>1</v>
      </c>
      <c r="G52" s="41">
        <v>1.2846660705286246</v>
      </c>
      <c r="H52" s="27">
        <f t="shared" si="1"/>
        <v>7010264.6191029148</v>
      </c>
      <c r="I52" s="41">
        <f t="shared" si="4"/>
        <v>1</v>
      </c>
      <c r="J52" s="39">
        <v>7080578.2060547993</v>
      </c>
      <c r="K52" s="39">
        <v>1.2846660705286246</v>
      </c>
    </row>
    <row r="53" spans="1:13" outlineLevel="1" x14ac:dyDescent="0.35">
      <c r="A53" s="46" t="s">
        <v>457</v>
      </c>
      <c r="B53" s="47">
        <f>89.4-B70</f>
        <v>89.4</v>
      </c>
      <c r="C53" s="26">
        <f t="shared" si="5"/>
        <v>73904.451132264163</v>
      </c>
      <c r="D53" s="26">
        <f>'5.'!$C$18</f>
        <v>54732.96801786912</v>
      </c>
      <c r="E53" s="26">
        <v>1</v>
      </c>
      <c r="F53" s="26">
        <v>1</v>
      </c>
      <c r="G53" s="41">
        <v>1.3502730403389778</v>
      </c>
      <c r="H53" s="27">
        <f t="shared" si="1"/>
        <v>6607057.9312244169</v>
      </c>
      <c r="I53" s="41">
        <f t="shared" si="4"/>
        <v>1</v>
      </c>
      <c r="J53" s="39">
        <v>6607057.9312244169</v>
      </c>
      <c r="K53" s="39">
        <v>1.3502730403389778</v>
      </c>
    </row>
    <row r="54" spans="1:13" outlineLevel="1" x14ac:dyDescent="0.35">
      <c r="A54" s="46" t="s">
        <v>458</v>
      </c>
      <c r="B54" s="47">
        <f>120-B71</f>
        <v>120</v>
      </c>
      <c r="C54" s="26">
        <f t="shared" si="5"/>
        <v>59693.942585284327</v>
      </c>
      <c r="D54" s="26">
        <f>'5.'!$C$18</f>
        <v>54732.96801786912</v>
      </c>
      <c r="E54" s="26">
        <v>1</v>
      </c>
      <c r="F54" s="26">
        <v>1</v>
      </c>
      <c r="G54" s="41">
        <v>1.0906396043751101</v>
      </c>
      <c r="H54" s="27">
        <f t="shared" si="1"/>
        <v>7163273.110234119</v>
      </c>
      <c r="I54" s="41">
        <f t="shared" si="4"/>
        <v>1</v>
      </c>
      <c r="J54" s="39">
        <v>7163273.110234119</v>
      </c>
      <c r="K54" s="39">
        <v>1.0906396043751101</v>
      </c>
    </row>
    <row r="55" spans="1:13" outlineLevel="1" x14ac:dyDescent="0.35">
      <c r="A55" s="46" t="s">
        <v>459</v>
      </c>
      <c r="B55" s="47">
        <f>216.7-B72</f>
        <v>216.7</v>
      </c>
      <c r="C55" s="26">
        <f t="shared" si="5"/>
        <v>54732.96809697483</v>
      </c>
      <c r="D55" s="26">
        <f>'5.'!$C$18</f>
        <v>54732.96801786912</v>
      </c>
      <c r="E55" s="26">
        <v>1</v>
      </c>
      <c r="F55" s="26">
        <v>1</v>
      </c>
      <c r="G55" s="64">
        <v>1.0000000014453028</v>
      </c>
      <c r="H55" s="27">
        <f t="shared" si="1"/>
        <v>11860634.186614444</v>
      </c>
      <c r="I55" s="41">
        <f t="shared" si="4"/>
        <v>1</v>
      </c>
      <c r="J55" s="39">
        <v>11860634.186614444</v>
      </c>
      <c r="K55" s="42">
        <v>1.0000000014453028</v>
      </c>
    </row>
    <row r="56" spans="1:13" outlineLevel="1" x14ac:dyDescent="0.35">
      <c r="A56" s="46" t="s">
        <v>460</v>
      </c>
      <c r="B56" s="47">
        <f>118-B73</f>
        <v>118</v>
      </c>
      <c r="C56" s="26">
        <f t="shared" si="5"/>
        <v>60131.3893677702</v>
      </c>
      <c r="D56" s="26">
        <f>'5.'!$C$18</f>
        <v>54732.96801786912</v>
      </c>
      <c r="E56" s="26">
        <v>1</v>
      </c>
      <c r="F56" s="26">
        <v>1</v>
      </c>
      <c r="G56" s="41">
        <v>1.0986319862671912</v>
      </c>
      <c r="H56" s="27">
        <f t="shared" si="1"/>
        <v>7095503.9453968834</v>
      </c>
      <c r="I56" s="41">
        <f t="shared" si="4"/>
        <v>1</v>
      </c>
      <c r="J56" s="39">
        <v>7095503.9453968834</v>
      </c>
      <c r="K56" s="39">
        <v>1.0986319862671912</v>
      </c>
    </row>
    <row r="57" spans="1:13" outlineLevel="1" x14ac:dyDescent="0.35">
      <c r="A57" s="46" t="s">
        <v>461</v>
      </c>
      <c r="B57" s="47">
        <f>119.4-B74</f>
        <v>118.4</v>
      </c>
      <c r="C57" s="26">
        <f t="shared" si="5"/>
        <v>77829.876497344609</v>
      </c>
      <c r="D57" s="26">
        <f>'5.'!$C$18</f>
        <v>54732.96801786912</v>
      </c>
      <c r="E57" s="26">
        <v>1</v>
      </c>
      <c r="F57" s="26">
        <v>1</v>
      </c>
      <c r="G57" s="41">
        <v>1.4219926182686613</v>
      </c>
      <c r="H57" s="27">
        <f t="shared" si="1"/>
        <v>9215057.3772856016</v>
      </c>
      <c r="I57" s="41">
        <f t="shared" si="4"/>
        <v>1</v>
      </c>
      <c r="J57" s="39">
        <v>9292887.2537829466</v>
      </c>
      <c r="K57" s="39">
        <v>1.4219926182686613</v>
      </c>
    </row>
    <row r="58" spans="1:13" outlineLevel="1" x14ac:dyDescent="0.35">
      <c r="A58" s="46" t="s">
        <v>462</v>
      </c>
      <c r="B58" s="47">
        <f>56-B75</f>
        <v>56</v>
      </c>
      <c r="C58" s="26">
        <f t="shared" si="5"/>
        <v>104089.82402576052</v>
      </c>
      <c r="D58" s="26">
        <f>'5.'!$C$18</f>
        <v>54732.96801786912</v>
      </c>
      <c r="E58" s="26">
        <v>1</v>
      </c>
      <c r="F58" s="26">
        <v>1</v>
      </c>
      <c r="G58" s="41">
        <v>1.9017756170609543</v>
      </c>
      <c r="H58" s="27">
        <f t="shared" si="1"/>
        <v>5829030.1454425892</v>
      </c>
      <c r="I58" s="41">
        <f t="shared" si="4"/>
        <v>1</v>
      </c>
      <c r="J58" s="39">
        <v>5829030.1454425892</v>
      </c>
      <c r="K58" s="39">
        <v>1.9017756170609543</v>
      </c>
      <c r="M58" s="42"/>
    </row>
    <row r="59" spans="1:13" outlineLevel="1" x14ac:dyDescent="0.35">
      <c r="A59" s="46" t="s">
        <v>463</v>
      </c>
      <c r="B59" s="47">
        <f>96.3-B76</f>
        <v>96.3</v>
      </c>
      <c r="C59" s="26">
        <f t="shared" si="5"/>
        <v>70088.345435232404</v>
      </c>
      <c r="D59" s="26">
        <f>'5.'!$C$18</f>
        <v>54732.96801786912</v>
      </c>
      <c r="E59" s="26">
        <v>1</v>
      </c>
      <c r="F59" s="26">
        <v>1</v>
      </c>
      <c r="G59" s="41">
        <v>1.2805507900165416</v>
      </c>
      <c r="H59" s="27">
        <f t="shared" si="1"/>
        <v>6749507.6654128805</v>
      </c>
      <c r="I59" s="41">
        <f t="shared" si="4"/>
        <v>1</v>
      </c>
      <c r="J59" s="39">
        <v>6749507.6654128805</v>
      </c>
      <c r="K59" s="39">
        <v>1.2805507900165416</v>
      </c>
    </row>
    <row r="60" spans="1:13" outlineLevel="1" x14ac:dyDescent="0.35">
      <c r="A60" s="46" t="s">
        <v>464</v>
      </c>
      <c r="B60" s="47">
        <f>98.7-B77</f>
        <v>98.7</v>
      </c>
      <c r="C60" s="26">
        <f t="shared" si="5"/>
        <v>68572.847530066472</v>
      </c>
      <c r="D60" s="26">
        <f>'5.'!$C$18</f>
        <v>54732.96801786912</v>
      </c>
      <c r="E60" s="26">
        <v>1</v>
      </c>
      <c r="F60" s="26">
        <v>1</v>
      </c>
      <c r="G60" s="41">
        <v>1.2528618493277934</v>
      </c>
      <c r="H60" s="27">
        <f t="shared" si="1"/>
        <v>6768140.0512175607</v>
      </c>
      <c r="I60" s="41">
        <f t="shared" si="4"/>
        <v>1.0000000000000002</v>
      </c>
      <c r="J60" s="39">
        <v>6768140.0512175616</v>
      </c>
      <c r="K60" s="39">
        <v>1.2528618493277934</v>
      </c>
    </row>
    <row r="61" spans="1:13" outlineLevel="1" x14ac:dyDescent="0.35">
      <c r="A61" s="46" t="s">
        <v>465</v>
      </c>
      <c r="B61" s="47">
        <f>102.7-B78</f>
        <v>102.7</v>
      </c>
      <c r="C61" s="26">
        <f t="shared" si="5"/>
        <v>58138.241099240819</v>
      </c>
      <c r="D61" s="26">
        <f>'5.'!$C$18</f>
        <v>54732.96801786912</v>
      </c>
      <c r="E61" s="26">
        <v>1</v>
      </c>
      <c r="F61" s="26">
        <v>1</v>
      </c>
      <c r="G61" s="41">
        <v>1.0622161232012843</v>
      </c>
      <c r="H61" s="27">
        <f t="shared" si="1"/>
        <v>5970797.3608920323</v>
      </c>
      <c r="I61" s="41">
        <f t="shared" si="4"/>
        <v>1.0000000000000002</v>
      </c>
      <c r="J61" s="39">
        <v>5970797.3608920332</v>
      </c>
      <c r="K61" s="39">
        <v>1.0622161232012843</v>
      </c>
    </row>
    <row r="62" spans="1:13" outlineLevel="1" x14ac:dyDescent="0.35">
      <c r="A62" s="46" t="s">
        <v>466</v>
      </c>
      <c r="B62" s="47">
        <f>66.7-B79</f>
        <v>66.7</v>
      </c>
      <c r="C62" s="26">
        <f t="shared" si="5"/>
        <v>70430.878168242809</v>
      </c>
      <c r="D62" s="26">
        <f>'5.'!$C$18</f>
        <v>54732.96801786912</v>
      </c>
      <c r="E62" s="26">
        <v>1</v>
      </c>
      <c r="F62" s="26">
        <v>1</v>
      </c>
      <c r="G62" s="41">
        <v>1.2868090424997356</v>
      </c>
      <c r="H62" s="27">
        <f t="shared" si="1"/>
        <v>4697739.5738217952</v>
      </c>
      <c r="I62" s="41">
        <f t="shared" si="4"/>
        <v>1.0000000000000002</v>
      </c>
      <c r="J62" s="39">
        <v>4697739.5738217961</v>
      </c>
      <c r="K62" s="39">
        <v>1.2868090424997356</v>
      </c>
    </row>
    <row r="63" spans="1:13" s="18" customFormat="1" ht="43.5" customHeight="1" x14ac:dyDescent="0.35">
      <c r="A63" s="44" t="s">
        <v>510</v>
      </c>
      <c r="B63" s="45">
        <f>SUM(B64:B79)</f>
        <v>14.6</v>
      </c>
      <c r="C63" s="29" t="s">
        <v>413</v>
      </c>
      <c r="D63" s="29" t="s">
        <v>413</v>
      </c>
      <c r="E63" s="29" t="s">
        <v>413</v>
      </c>
      <c r="F63" s="29" t="s">
        <v>413</v>
      </c>
      <c r="G63" s="29" t="s">
        <v>413</v>
      </c>
      <c r="H63" s="30">
        <f>SUM(H64:H79)</f>
        <v>1119323.9942616322</v>
      </c>
      <c r="I63" s="37"/>
      <c r="J63" s="36"/>
      <c r="K63" s="36"/>
      <c r="L63" s="36"/>
      <c r="M63" s="36"/>
    </row>
    <row r="64" spans="1:13" outlineLevel="1" x14ac:dyDescent="0.35">
      <c r="A64" s="46" t="s">
        <v>451</v>
      </c>
      <c r="B64" s="47">
        <v>3</v>
      </c>
      <c r="C64" s="26">
        <f>D64*E64*F64*G64</f>
        <v>57328.008272379266</v>
      </c>
      <c r="D64" s="26">
        <f>'5.'!$C$19</f>
        <v>54732.96801786912</v>
      </c>
      <c r="E64" s="26">
        <v>1</v>
      </c>
      <c r="F64" s="26">
        <v>1</v>
      </c>
      <c r="G64" s="41">
        <v>1.0474127449778152</v>
      </c>
      <c r="H64" s="27">
        <f t="shared" si="1"/>
        <v>171984.0248171378</v>
      </c>
    </row>
    <row r="65" spans="1:13" outlineLevel="1" x14ac:dyDescent="0.35">
      <c r="A65" s="46" t="s">
        <v>452</v>
      </c>
      <c r="B65" s="47">
        <v>1.5</v>
      </c>
      <c r="C65" s="26">
        <f t="shared" ref="C65:C79" si="6">D65*E65*F65*G65</f>
        <v>58878.56410403725</v>
      </c>
      <c r="D65" s="26">
        <f>'5.'!$C$19</f>
        <v>54732.96801786912</v>
      </c>
      <c r="E65" s="26">
        <v>1</v>
      </c>
      <c r="F65" s="26">
        <v>1</v>
      </c>
      <c r="G65" s="41">
        <v>1.0757422123502363</v>
      </c>
      <c r="H65" s="27">
        <f t="shared" si="1"/>
        <v>88317.846156055879</v>
      </c>
    </row>
    <row r="66" spans="1:13" outlineLevel="1" x14ac:dyDescent="0.35">
      <c r="A66" s="46" t="s">
        <v>453</v>
      </c>
      <c r="B66" s="47">
        <v>2.5</v>
      </c>
      <c r="C66" s="26">
        <f t="shared" si="6"/>
        <v>96456.392638338992</v>
      </c>
      <c r="D66" s="26">
        <f>'5.'!$C$19</f>
        <v>54732.96801786912</v>
      </c>
      <c r="E66" s="26">
        <v>1</v>
      </c>
      <c r="F66" s="26">
        <v>1</v>
      </c>
      <c r="G66" s="41">
        <v>1.7623088264982831</v>
      </c>
      <c r="H66" s="27">
        <f t="shared" si="1"/>
        <v>241140.98159584746</v>
      </c>
    </row>
    <row r="67" spans="1:13" outlineLevel="1" x14ac:dyDescent="0.35">
      <c r="A67" s="46" t="s">
        <v>455</v>
      </c>
      <c r="B67" s="47">
        <v>2.6</v>
      </c>
      <c r="C67" s="26">
        <f t="shared" si="6"/>
        <v>109902.78168528435</v>
      </c>
      <c r="D67" s="26">
        <f>'5.'!$C$19</f>
        <v>54732.96801786912</v>
      </c>
      <c r="E67" s="26">
        <v>1</v>
      </c>
      <c r="F67" s="26">
        <v>1</v>
      </c>
      <c r="G67" s="41">
        <v>2.0079813988783415</v>
      </c>
      <c r="H67" s="27">
        <f t="shared" si="1"/>
        <v>285747.2323817393</v>
      </c>
    </row>
    <row r="68" spans="1:13" outlineLevel="1" x14ac:dyDescent="0.35">
      <c r="A68" s="46" t="s">
        <v>454</v>
      </c>
      <c r="B68" s="47">
        <v>3</v>
      </c>
      <c r="C68" s="26">
        <f t="shared" si="6"/>
        <v>61330.148620540735</v>
      </c>
      <c r="D68" s="26">
        <f>'5.'!$C$19</f>
        <v>54732.96801786912</v>
      </c>
      <c r="E68" s="26">
        <v>1</v>
      </c>
      <c r="F68" s="26">
        <v>1</v>
      </c>
      <c r="G68" s="41">
        <v>1.1205339458389645</v>
      </c>
      <c r="H68" s="27">
        <f t="shared" si="1"/>
        <v>183990.4458616222</v>
      </c>
    </row>
    <row r="69" spans="1:13" outlineLevel="1" x14ac:dyDescent="0.35">
      <c r="A69" s="46" t="s">
        <v>456</v>
      </c>
      <c r="B69" s="47">
        <v>1</v>
      </c>
      <c r="C69" s="26">
        <f t="shared" si="6"/>
        <v>70313.586951884805</v>
      </c>
      <c r="D69" s="26">
        <f>'5.'!$C$19</f>
        <v>54732.96801786912</v>
      </c>
      <c r="E69" s="26">
        <v>1</v>
      </c>
      <c r="F69" s="26">
        <v>1</v>
      </c>
      <c r="G69" s="41">
        <v>1.2846660705286246</v>
      </c>
      <c r="H69" s="27">
        <f t="shared" si="1"/>
        <v>70313.586951884805</v>
      </c>
    </row>
    <row r="70" spans="1:13" outlineLevel="1" x14ac:dyDescent="0.35">
      <c r="A70" s="46" t="s">
        <v>457</v>
      </c>
      <c r="B70" s="47"/>
      <c r="C70" s="26">
        <f t="shared" si="6"/>
        <v>73904.451132264163</v>
      </c>
      <c r="D70" s="26">
        <f>'5.'!$C$19</f>
        <v>54732.96801786912</v>
      </c>
      <c r="E70" s="26">
        <v>1</v>
      </c>
      <c r="F70" s="26">
        <v>1</v>
      </c>
      <c r="G70" s="41">
        <v>1.3502730403389778</v>
      </c>
      <c r="H70" s="27">
        <f t="shared" si="1"/>
        <v>0</v>
      </c>
    </row>
    <row r="71" spans="1:13" outlineLevel="1" x14ac:dyDescent="0.35">
      <c r="A71" s="46" t="s">
        <v>458</v>
      </c>
      <c r="B71" s="47"/>
      <c r="C71" s="26">
        <f t="shared" si="6"/>
        <v>59693.942585284327</v>
      </c>
      <c r="D71" s="26">
        <f>'5.'!$C$19</f>
        <v>54732.96801786912</v>
      </c>
      <c r="E71" s="26">
        <v>1</v>
      </c>
      <c r="F71" s="26">
        <v>1</v>
      </c>
      <c r="G71" s="41">
        <v>1.0906396043751101</v>
      </c>
      <c r="H71" s="27">
        <f t="shared" si="1"/>
        <v>0</v>
      </c>
    </row>
    <row r="72" spans="1:13" outlineLevel="1" x14ac:dyDescent="0.35">
      <c r="A72" s="46" t="s">
        <v>459</v>
      </c>
      <c r="B72" s="47"/>
      <c r="C72" s="26">
        <f t="shared" si="6"/>
        <v>54732.96809697483</v>
      </c>
      <c r="D72" s="26">
        <f>'5.'!$C$19</f>
        <v>54732.96801786912</v>
      </c>
      <c r="E72" s="26">
        <v>1</v>
      </c>
      <c r="F72" s="26">
        <v>1</v>
      </c>
      <c r="G72" s="64">
        <v>1.0000000014453028</v>
      </c>
      <c r="H72" s="27">
        <f t="shared" si="1"/>
        <v>0</v>
      </c>
    </row>
    <row r="73" spans="1:13" outlineLevel="1" x14ac:dyDescent="0.35">
      <c r="A73" s="46" t="s">
        <v>460</v>
      </c>
      <c r="B73" s="47"/>
      <c r="C73" s="26">
        <f t="shared" si="6"/>
        <v>60131.3893677702</v>
      </c>
      <c r="D73" s="26">
        <f>'5.'!$C$19</f>
        <v>54732.96801786912</v>
      </c>
      <c r="E73" s="26">
        <v>1</v>
      </c>
      <c r="F73" s="26">
        <v>1</v>
      </c>
      <c r="G73" s="41">
        <v>1.0986319862671912</v>
      </c>
      <c r="H73" s="27">
        <f t="shared" si="1"/>
        <v>0</v>
      </c>
    </row>
    <row r="74" spans="1:13" outlineLevel="1" x14ac:dyDescent="0.35">
      <c r="A74" s="46" t="s">
        <v>461</v>
      </c>
      <c r="B74" s="47">
        <v>1</v>
      </c>
      <c r="C74" s="26">
        <f t="shared" si="6"/>
        <v>77829.876497344609</v>
      </c>
      <c r="D74" s="26">
        <f>'5.'!$C$19</f>
        <v>54732.96801786912</v>
      </c>
      <c r="E74" s="26">
        <v>1</v>
      </c>
      <c r="F74" s="26">
        <v>1</v>
      </c>
      <c r="G74" s="41">
        <v>1.4219926182686613</v>
      </c>
      <c r="H74" s="27">
        <f t="shared" si="1"/>
        <v>77829.876497344609</v>
      </c>
    </row>
    <row r="75" spans="1:13" outlineLevel="1" x14ac:dyDescent="0.35">
      <c r="A75" s="46" t="s">
        <v>462</v>
      </c>
      <c r="B75" s="47"/>
      <c r="C75" s="26">
        <f t="shared" si="6"/>
        <v>104089.82402576052</v>
      </c>
      <c r="D75" s="26">
        <f>'5.'!$C$19</f>
        <v>54732.96801786912</v>
      </c>
      <c r="E75" s="26">
        <v>1</v>
      </c>
      <c r="F75" s="26">
        <v>1</v>
      </c>
      <c r="G75" s="41">
        <v>1.9017756170609543</v>
      </c>
      <c r="H75" s="27">
        <f t="shared" si="1"/>
        <v>0</v>
      </c>
    </row>
    <row r="76" spans="1:13" outlineLevel="1" x14ac:dyDescent="0.35">
      <c r="A76" s="46" t="s">
        <v>463</v>
      </c>
      <c r="B76" s="47"/>
      <c r="C76" s="26">
        <f t="shared" si="6"/>
        <v>70088.345435232404</v>
      </c>
      <c r="D76" s="26">
        <f>'5.'!$C$19</f>
        <v>54732.96801786912</v>
      </c>
      <c r="E76" s="26">
        <v>1</v>
      </c>
      <c r="F76" s="26">
        <v>1</v>
      </c>
      <c r="G76" s="41">
        <v>1.2805507900165416</v>
      </c>
      <c r="H76" s="27">
        <f t="shared" si="1"/>
        <v>0</v>
      </c>
    </row>
    <row r="77" spans="1:13" outlineLevel="1" x14ac:dyDescent="0.35">
      <c r="A77" s="46" t="s">
        <v>464</v>
      </c>
      <c r="B77" s="47"/>
      <c r="C77" s="26">
        <f t="shared" si="6"/>
        <v>68572.847530066472</v>
      </c>
      <c r="D77" s="26">
        <f>'5.'!$C$19</f>
        <v>54732.96801786912</v>
      </c>
      <c r="E77" s="26">
        <v>1</v>
      </c>
      <c r="F77" s="26">
        <v>1</v>
      </c>
      <c r="G77" s="41">
        <v>1.2528618493277934</v>
      </c>
      <c r="H77" s="27">
        <f t="shared" si="1"/>
        <v>0</v>
      </c>
    </row>
    <row r="78" spans="1:13" outlineLevel="1" x14ac:dyDescent="0.35">
      <c r="A78" s="46" t="s">
        <v>465</v>
      </c>
      <c r="B78" s="47"/>
      <c r="C78" s="26">
        <f t="shared" si="6"/>
        <v>58138.241099240819</v>
      </c>
      <c r="D78" s="26">
        <f>'5.'!$C$19</f>
        <v>54732.96801786912</v>
      </c>
      <c r="E78" s="26">
        <v>1</v>
      </c>
      <c r="F78" s="26">
        <v>1</v>
      </c>
      <c r="G78" s="41">
        <v>1.0622161232012843</v>
      </c>
      <c r="H78" s="27">
        <f>B78*C78</f>
        <v>0</v>
      </c>
    </row>
    <row r="79" spans="1:13" outlineLevel="1" x14ac:dyDescent="0.35">
      <c r="A79" s="46" t="s">
        <v>466</v>
      </c>
      <c r="B79" s="47"/>
      <c r="C79" s="26">
        <f t="shared" si="6"/>
        <v>70430.878168242809</v>
      </c>
      <c r="D79" s="26">
        <f>'5.'!$C$19</f>
        <v>54732.96801786912</v>
      </c>
      <c r="E79" s="26">
        <v>1</v>
      </c>
      <c r="F79" s="26">
        <v>1</v>
      </c>
      <c r="G79" s="41">
        <v>1.2868090424997356</v>
      </c>
      <c r="H79" s="27">
        <f>B79*C79</f>
        <v>0</v>
      </c>
    </row>
    <row r="80" spans="1:13" s="18" customFormat="1" x14ac:dyDescent="0.35">
      <c r="A80" s="17" t="s">
        <v>389</v>
      </c>
      <c r="B80" s="31" t="s">
        <v>413</v>
      </c>
      <c r="C80" s="31" t="s">
        <v>413</v>
      </c>
      <c r="D80" s="31" t="s">
        <v>413</v>
      </c>
      <c r="E80" s="31" t="s">
        <v>413</v>
      </c>
      <c r="F80" s="31" t="s">
        <v>413</v>
      </c>
      <c r="G80" s="31" t="s">
        <v>413</v>
      </c>
      <c r="H80" s="32">
        <f>H12+H29+H46+H63</f>
        <v>173954885.31394795</v>
      </c>
      <c r="I80" s="37"/>
      <c r="J80" s="36"/>
      <c r="K80" s="36"/>
      <c r="L80" s="36"/>
      <c r="M80" s="36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view="pageBreakPreview" zoomScale="85" zoomScaleNormal="100" zoomScaleSheetLayoutView="85" workbookViewId="0">
      <selection activeCell="D1" sqref="D1"/>
    </sheetView>
  </sheetViews>
  <sheetFormatPr defaultColWidth="9.1796875" defaultRowHeight="14.5" x14ac:dyDescent="0.35"/>
  <cols>
    <col min="1" max="1" width="27.54296875" style="1" customWidth="1"/>
    <col min="2" max="6" width="20.7265625" style="1" customWidth="1"/>
    <col min="7" max="7" width="13.26953125" style="1" customWidth="1"/>
    <col min="8" max="8" width="9.1796875" style="4"/>
    <col min="9" max="9" width="9.1796875" style="4" customWidth="1"/>
    <col min="10" max="10" width="10.26953125" style="4" bestFit="1" customWidth="1"/>
    <col min="11" max="16384" width="9.1796875" style="4"/>
  </cols>
  <sheetData>
    <row r="1" spans="1:10" x14ac:dyDescent="0.35">
      <c r="A1" s="9"/>
      <c r="F1" s="6"/>
      <c r="G1" s="148" t="s">
        <v>518</v>
      </c>
    </row>
    <row r="2" spans="1:10" ht="106" customHeight="1" x14ac:dyDescent="0.35">
      <c r="A2" s="9"/>
      <c r="F2" s="7"/>
      <c r="G2" s="149" t="s">
        <v>517</v>
      </c>
    </row>
    <row r="3" spans="1:10" x14ac:dyDescent="0.35">
      <c r="A3" s="8"/>
    </row>
    <row r="4" spans="1:10" x14ac:dyDescent="0.35">
      <c r="A4" s="2"/>
    </row>
    <row r="5" spans="1:10" x14ac:dyDescent="0.35">
      <c r="A5" s="184" t="s">
        <v>417</v>
      </c>
      <c r="B5" s="184"/>
      <c r="C5" s="184"/>
      <c r="D5" s="184"/>
      <c r="E5" s="184"/>
      <c r="F5" s="184"/>
      <c r="G5" s="184"/>
    </row>
    <row r="6" spans="1:10" x14ac:dyDescent="0.35">
      <c r="A6" s="184" t="s">
        <v>418</v>
      </c>
      <c r="B6" s="184"/>
      <c r="C6" s="184"/>
      <c r="D6" s="184"/>
      <c r="E6" s="184"/>
      <c r="F6" s="184"/>
      <c r="G6" s="184"/>
    </row>
    <row r="7" spans="1:10" x14ac:dyDescent="0.35">
      <c r="A7" s="184" t="s">
        <v>514</v>
      </c>
      <c r="B7" s="184"/>
      <c r="C7" s="184"/>
      <c r="D7" s="184"/>
      <c r="E7" s="184"/>
      <c r="F7" s="184"/>
      <c r="G7" s="184"/>
    </row>
    <row r="8" spans="1:10" x14ac:dyDescent="0.35">
      <c r="A8" s="2"/>
    </row>
    <row r="9" spans="1:10" ht="162.65" customHeight="1" x14ac:dyDescent="0.35">
      <c r="A9" s="11" t="s">
        <v>419</v>
      </c>
      <c r="B9" s="11" t="s">
        <v>420</v>
      </c>
      <c r="C9" s="11" t="s">
        <v>421</v>
      </c>
      <c r="D9" s="11" t="s">
        <v>422</v>
      </c>
      <c r="E9" s="11" t="s">
        <v>423</v>
      </c>
      <c r="F9" s="186" t="s">
        <v>424</v>
      </c>
      <c r="G9" s="186"/>
    </row>
    <row r="10" spans="1:10" x14ac:dyDescent="0.3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86" t="s">
        <v>425</v>
      </c>
      <c r="G10" s="186"/>
    </row>
    <row r="11" spans="1:10" x14ac:dyDescent="0.35">
      <c r="A11" s="13" t="s">
        <v>451</v>
      </c>
      <c r="B11" s="28">
        <f>'6.'!H13+'6.'!H30+'6.'!H47+'6.'!H64</f>
        <v>9041152.6135058869</v>
      </c>
      <c r="C11" s="28">
        <v>0</v>
      </c>
      <c r="D11" s="28">
        <v>0</v>
      </c>
      <c r="E11" s="28">
        <v>2024.594544</v>
      </c>
      <c r="F11" s="188">
        <f>B11+C11+E11-D11</f>
        <v>9043177.2080498878</v>
      </c>
      <c r="G11" s="188"/>
      <c r="J11" s="57"/>
    </row>
    <row r="12" spans="1:10" x14ac:dyDescent="0.35">
      <c r="A12" s="13" t="s">
        <v>452</v>
      </c>
      <c r="B12" s="28">
        <f>'6.'!H14+'6.'!H31+'6.'!H48+'6.'!H65</f>
        <v>16681694.322752954</v>
      </c>
      <c r="C12" s="28">
        <v>0</v>
      </c>
      <c r="D12" s="28">
        <v>0</v>
      </c>
      <c r="E12" s="28">
        <v>5020.5513680000004</v>
      </c>
      <c r="F12" s="188">
        <f t="shared" ref="F12:F26" si="0">B12+C12+E12-D12</f>
        <v>16686714.874120954</v>
      </c>
      <c r="G12" s="188"/>
      <c r="J12" s="57"/>
    </row>
    <row r="13" spans="1:10" x14ac:dyDescent="0.35">
      <c r="A13" s="13" t="s">
        <v>453</v>
      </c>
      <c r="B13" s="28">
        <f>'6.'!H15+'6.'!H32+'6.'!H49+'6.'!H66</f>
        <v>12022810.18919527</v>
      </c>
      <c r="C13" s="28">
        <v>0</v>
      </c>
      <c r="D13" s="28">
        <v>0</v>
      </c>
      <c r="E13" s="28">
        <v>2999.2990159999999</v>
      </c>
      <c r="F13" s="188">
        <f t="shared" si="0"/>
        <v>12025809.48821127</v>
      </c>
      <c r="G13" s="188"/>
      <c r="J13" s="57"/>
    </row>
    <row r="14" spans="1:10" x14ac:dyDescent="0.35">
      <c r="A14" s="13" t="s">
        <v>455</v>
      </c>
      <c r="B14" s="28">
        <f>'6.'!H16+'6.'!H33+'6.'!H50+'6.'!H67</f>
        <v>10319823.903265223</v>
      </c>
      <c r="C14" s="28">
        <v>0</v>
      </c>
      <c r="D14" s="28">
        <v>0</v>
      </c>
      <c r="E14" s="28">
        <v>3022.225136</v>
      </c>
      <c r="F14" s="188">
        <f t="shared" si="0"/>
        <v>10322846.128401224</v>
      </c>
      <c r="G14" s="188"/>
      <c r="J14" s="57"/>
    </row>
    <row r="15" spans="1:10" x14ac:dyDescent="0.35">
      <c r="A15" s="13" t="s">
        <v>454</v>
      </c>
      <c r="B15" s="28">
        <f>'6.'!H17+'6.'!H34+'6.'!H51+'6.'!H68</f>
        <v>17520913.119277768</v>
      </c>
      <c r="C15" s="28">
        <v>0</v>
      </c>
      <c r="D15" s="28">
        <v>0</v>
      </c>
      <c r="E15" s="28">
        <v>4012.279544</v>
      </c>
      <c r="F15" s="188">
        <f t="shared" si="0"/>
        <v>17524925.398821767</v>
      </c>
      <c r="G15" s="188"/>
      <c r="J15" s="57"/>
    </row>
    <row r="16" spans="1:10" x14ac:dyDescent="0.35">
      <c r="A16" s="13" t="s">
        <v>456</v>
      </c>
      <c r="B16" s="28">
        <f>'6.'!H18+'6.'!H35+'6.'!H52+'6.'!H69</f>
        <v>9289690.8780285493</v>
      </c>
      <c r="C16" s="28">
        <v>0</v>
      </c>
      <c r="D16" s="28">
        <v>0</v>
      </c>
      <c r="E16" s="28">
        <v>2504.042688</v>
      </c>
      <c r="F16" s="188">
        <f t="shared" si="0"/>
        <v>9292194.9207165483</v>
      </c>
      <c r="G16" s="188"/>
      <c r="J16" s="57"/>
    </row>
    <row r="17" spans="1:10" x14ac:dyDescent="0.35">
      <c r="A17" s="13" t="s">
        <v>457</v>
      </c>
      <c r="B17" s="28">
        <f>'6.'!H19+'6.'!H36+'6.'!H53+'6.'!H70</f>
        <v>8709202.8846254759</v>
      </c>
      <c r="C17" s="28">
        <v>0</v>
      </c>
      <c r="D17" s="28">
        <v>0</v>
      </c>
      <c r="E17" s="28">
        <v>3000.3911279999998</v>
      </c>
      <c r="F17" s="188">
        <f t="shared" si="0"/>
        <v>8712203.2757534757</v>
      </c>
      <c r="G17" s="188"/>
      <c r="J17" s="57"/>
    </row>
    <row r="18" spans="1:10" x14ac:dyDescent="0.35">
      <c r="A18" s="13" t="s">
        <v>458</v>
      </c>
      <c r="B18" s="28">
        <f>'6.'!H20+'6.'!H37+'6.'!H54+'6.'!H71</f>
        <v>9394257.8885576874</v>
      </c>
      <c r="C18" s="28">
        <v>0</v>
      </c>
      <c r="D18" s="28">
        <v>0</v>
      </c>
      <c r="E18" s="28">
        <v>2011.4892</v>
      </c>
      <c r="F18" s="188">
        <f t="shared" si="0"/>
        <v>9396269.3777576871</v>
      </c>
      <c r="G18" s="188"/>
      <c r="J18" s="57"/>
    </row>
    <row r="19" spans="1:10" x14ac:dyDescent="0.35">
      <c r="A19" s="13" t="s">
        <v>459</v>
      </c>
      <c r="B19" s="28">
        <f>'6.'!H21+'6.'!H38+'6.'!H55+'6.'!H72</f>
        <v>15559693.652523199</v>
      </c>
      <c r="C19" s="28">
        <v>0</v>
      </c>
      <c r="D19" s="28">
        <v>0</v>
      </c>
      <c r="E19" s="28">
        <v>6808.7228719999994</v>
      </c>
      <c r="F19" s="188">
        <f t="shared" si="0"/>
        <v>15566502.375395199</v>
      </c>
      <c r="G19" s="188"/>
      <c r="J19" s="57"/>
    </row>
    <row r="20" spans="1:10" x14ac:dyDescent="0.35">
      <c r="A20" s="13" t="s">
        <v>460</v>
      </c>
      <c r="B20" s="28">
        <f>'6.'!H22+'6.'!H39+'6.'!H56+'6.'!H73</f>
        <v>9258627.6783595029</v>
      </c>
      <c r="C20" s="28">
        <v>0</v>
      </c>
      <c r="D20" s="28">
        <v>0</v>
      </c>
      <c r="E20" s="28">
        <v>3007.5035760000005</v>
      </c>
      <c r="F20" s="188">
        <f t="shared" si="0"/>
        <v>9261635.1819355022</v>
      </c>
      <c r="G20" s="188"/>
      <c r="J20" s="57"/>
    </row>
    <row r="21" spans="1:10" x14ac:dyDescent="0.35">
      <c r="A21" s="13" t="s">
        <v>461</v>
      </c>
      <c r="B21" s="28">
        <f>'6.'!H23+'6.'!H40+'6.'!H57+'6.'!H74</f>
        <v>12018731.882931564</v>
      </c>
      <c r="C21" s="28">
        <v>0</v>
      </c>
      <c r="D21" s="28">
        <v>0</v>
      </c>
      <c r="E21" s="28">
        <v>2583.2839200000003</v>
      </c>
      <c r="F21" s="188">
        <f t="shared" si="0"/>
        <v>12021315.166851563</v>
      </c>
      <c r="G21" s="188"/>
      <c r="J21" s="57"/>
    </row>
    <row r="22" spans="1:10" x14ac:dyDescent="0.35">
      <c r="A22" s="13" t="s">
        <v>462</v>
      </c>
      <c r="B22" s="28">
        <f>'6.'!H24+'6.'!H41+'6.'!H58+'6.'!H75</f>
        <v>10720216.02621581</v>
      </c>
      <c r="C22" s="28">
        <v>0</v>
      </c>
      <c r="D22" s="28">
        <v>0</v>
      </c>
      <c r="E22" s="28">
        <v>1521.490376</v>
      </c>
      <c r="F22" s="188">
        <f t="shared" si="0"/>
        <v>10721737.51659181</v>
      </c>
      <c r="G22" s="188"/>
      <c r="J22" s="57"/>
    </row>
    <row r="23" spans="1:10" x14ac:dyDescent="0.35">
      <c r="A23" s="13" t="s">
        <v>463</v>
      </c>
      <c r="B23" s="28">
        <f>'6.'!H25+'6.'!H42+'6.'!H59+'6.'!H76</f>
        <v>9177906.5466592107</v>
      </c>
      <c r="C23" s="28">
        <v>0</v>
      </c>
      <c r="D23" s="28">
        <v>0</v>
      </c>
      <c r="E23" s="28">
        <v>3810.8370159999999</v>
      </c>
      <c r="F23" s="188">
        <f t="shared" si="0"/>
        <v>9181717.3836752102</v>
      </c>
      <c r="G23" s="188"/>
      <c r="J23" s="57"/>
    </row>
    <row r="24" spans="1:10" x14ac:dyDescent="0.35">
      <c r="A24" s="13" t="s">
        <v>464</v>
      </c>
      <c r="B24" s="28">
        <f>'6.'!H26+'6.'!H43+'6.'!H60+'6.'!H77</f>
        <v>8793000.1604970284</v>
      </c>
      <c r="C24" s="28">
        <v>0</v>
      </c>
      <c r="D24" s="28">
        <v>0</v>
      </c>
      <c r="E24" s="28">
        <v>3737.3142800000001</v>
      </c>
      <c r="F24" s="188">
        <f t="shared" si="0"/>
        <v>8796737.474777028</v>
      </c>
      <c r="G24" s="188"/>
      <c r="J24" s="57"/>
    </row>
    <row r="25" spans="1:10" x14ac:dyDescent="0.35">
      <c r="A25" s="13" t="s">
        <v>465</v>
      </c>
      <c r="B25" s="28">
        <f>'6.'!H27+'6.'!H44+'6.'!H61+'6.'!H78</f>
        <v>8039305.0908933971</v>
      </c>
      <c r="C25" s="28">
        <v>0</v>
      </c>
      <c r="D25" s="28">
        <v>0</v>
      </c>
      <c r="E25" s="28">
        <v>2201.82816</v>
      </c>
      <c r="F25" s="188">
        <f t="shared" si="0"/>
        <v>8041506.9190533971</v>
      </c>
      <c r="G25" s="188"/>
      <c r="J25" s="57"/>
    </row>
    <row r="26" spans="1:10" x14ac:dyDescent="0.35">
      <c r="A26" s="13" t="s">
        <v>466</v>
      </c>
      <c r="B26" s="28">
        <f>'6.'!H28+'6.'!H45+'6.'!H62+'6.'!H79</f>
        <v>7407858.4766594227</v>
      </c>
      <c r="C26" s="28">
        <v>0</v>
      </c>
      <c r="D26" s="28">
        <v>0</v>
      </c>
      <c r="E26" s="28">
        <v>1537.8610800000001</v>
      </c>
      <c r="F26" s="188">
        <f t="shared" si="0"/>
        <v>7409396.3377394229</v>
      </c>
      <c r="G26" s="188"/>
      <c r="J26" s="57"/>
    </row>
    <row r="27" spans="1:10" x14ac:dyDescent="0.35">
      <c r="A27" s="12" t="s">
        <v>389</v>
      </c>
      <c r="B27" s="28">
        <f>SUM(B11:B26)</f>
        <v>173954885.31394795</v>
      </c>
      <c r="C27" s="28">
        <f>SUM(C11:C26)</f>
        <v>0</v>
      </c>
      <c r="D27" s="28">
        <f>SUM(D11:D26)</f>
        <v>0</v>
      </c>
      <c r="E27" s="28">
        <f>SUM(E11:E26)</f>
        <v>49803.713904000004</v>
      </c>
      <c r="F27" s="188">
        <f>SUM(F11:G26)</f>
        <v>174004689.027852</v>
      </c>
      <c r="G27" s="188"/>
    </row>
    <row r="28" spans="1:10" ht="41.5" customHeight="1" x14ac:dyDescent="0.35">
      <c r="A28" s="191" t="s">
        <v>512</v>
      </c>
      <c r="B28" s="191"/>
      <c r="C28" s="191"/>
      <c r="D28" s="191"/>
      <c r="E28" s="191"/>
      <c r="F28" s="191"/>
      <c r="G28" s="191"/>
    </row>
    <row r="29" spans="1:10" ht="91.9" customHeight="1" x14ac:dyDescent="0.35">
      <c r="A29" s="71" t="s">
        <v>419</v>
      </c>
      <c r="B29" s="71" t="s">
        <v>511</v>
      </c>
      <c r="C29" s="71" t="s">
        <v>424</v>
      </c>
      <c r="D29" s="70"/>
      <c r="E29" s="70"/>
      <c r="F29" s="70"/>
      <c r="G29" s="70"/>
    </row>
    <row r="30" spans="1:10" ht="16.899999999999999" customHeight="1" x14ac:dyDescent="0.35">
      <c r="A30" s="13" t="s">
        <v>451</v>
      </c>
      <c r="B30" s="28">
        <v>1639919</v>
      </c>
      <c r="C30" s="73">
        <f t="shared" ref="C30:C45" si="1">F11-B30</f>
        <v>7403258.2080498878</v>
      </c>
      <c r="D30" s="70"/>
      <c r="E30" s="70"/>
      <c r="F30" s="70"/>
      <c r="G30" s="70"/>
    </row>
    <row r="31" spans="1:10" ht="16.899999999999999" customHeight="1" x14ac:dyDescent="0.35">
      <c r="A31" s="13" t="s">
        <v>452</v>
      </c>
      <c r="B31" s="28">
        <v>2977039</v>
      </c>
      <c r="C31" s="73">
        <f t="shared" si="1"/>
        <v>13709675.874120954</v>
      </c>
      <c r="D31" s="70"/>
      <c r="E31" s="70"/>
      <c r="F31" s="70"/>
      <c r="G31" s="70"/>
    </row>
    <row r="32" spans="1:10" ht="16.899999999999999" customHeight="1" x14ac:dyDescent="0.35">
      <c r="A32" s="13" t="s">
        <v>453</v>
      </c>
      <c r="B32" s="28">
        <v>1277109</v>
      </c>
      <c r="C32" s="73">
        <f t="shared" si="1"/>
        <v>10748700.48821127</v>
      </c>
      <c r="D32" s="70"/>
      <c r="E32" s="70"/>
      <c r="F32" s="70"/>
      <c r="G32" s="70"/>
    </row>
    <row r="33" spans="1:7" ht="16.899999999999999" customHeight="1" x14ac:dyDescent="0.35">
      <c r="A33" s="13" t="s">
        <v>455</v>
      </c>
      <c r="B33" s="28">
        <v>966618</v>
      </c>
      <c r="C33" s="73">
        <f t="shared" si="1"/>
        <v>9356228.1284012236</v>
      </c>
      <c r="D33" s="70"/>
      <c r="E33" s="70"/>
      <c r="F33" s="70"/>
      <c r="G33" s="70"/>
    </row>
    <row r="34" spans="1:7" ht="16.899999999999999" customHeight="1" x14ac:dyDescent="0.35">
      <c r="A34" s="13" t="s">
        <v>454</v>
      </c>
      <c r="B34" s="28">
        <v>2872981</v>
      </c>
      <c r="C34" s="73">
        <f t="shared" si="1"/>
        <v>14651944.398821767</v>
      </c>
      <c r="D34" s="70"/>
      <c r="E34" s="70"/>
      <c r="F34" s="70"/>
      <c r="G34" s="70"/>
    </row>
    <row r="35" spans="1:7" ht="16.899999999999999" customHeight="1" x14ac:dyDescent="0.35">
      <c r="A35" s="13" t="s">
        <v>456</v>
      </c>
      <c r="B35" s="28">
        <v>1396711</v>
      </c>
      <c r="C35" s="73">
        <f t="shared" si="1"/>
        <v>7895483.9207165483</v>
      </c>
      <c r="D35" s="70"/>
      <c r="E35" s="70"/>
      <c r="F35" s="70"/>
      <c r="G35" s="70"/>
    </row>
    <row r="36" spans="1:7" ht="16.899999999999999" customHeight="1" x14ac:dyDescent="0.35">
      <c r="A36" s="13" t="s">
        <v>457</v>
      </c>
      <c r="B36" s="28">
        <v>1207297</v>
      </c>
      <c r="C36" s="73">
        <f t="shared" si="1"/>
        <v>7504906.2757534757</v>
      </c>
      <c r="D36" s="70"/>
      <c r="E36" s="70"/>
      <c r="F36" s="70"/>
      <c r="G36" s="70"/>
    </row>
    <row r="37" spans="1:7" ht="16.899999999999999" customHeight="1" x14ac:dyDescent="0.35">
      <c r="A37" s="13" t="s">
        <v>458</v>
      </c>
      <c r="B37" s="28">
        <v>1664103</v>
      </c>
      <c r="C37" s="73">
        <f t="shared" si="1"/>
        <v>7732166.3777576871</v>
      </c>
      <c r="D37" s="70"/>
      <c r="E37" s="70"/>
      <c r="F37" s="70"/>
      <c r="G37" s="70"/>
    </row>
    <row r="38" spans="1:7" ht="16.899999999999999" customHeight="1" x14ac:dyDescent="0.35">
      <c r="A38" s="13" t="s">
        <v>459</v>
      </c>
      <c r="B38" s="28">
        <v>3046904</v>
      </c>
      <c r="C38" s="73">
        <f t="shared" si="1"/>
        <v>12519598.375395199</v>
      </c>
      <c r="D38" s="70"/>
      <c r="E38" s="70"/>
      <c r="F38" s="70"/>
      <c r="G38" s="70"/>
    </row>
    <row r="39" spans="1:7" ht="16.899999999999999" customHeight="1" x14ac:dyDescent="0.35">
      <c r="A39" s="13" t="s">
        <v>460</v>
      </c>
      <c r="B39" s="28">
        <v>1649983</v>
      </c>
      <c r="C39" s="73">
        <f t="shared" si="1"/>
        <v>7611652.1819355022</v>
      </c>
      <c r="D39" s="70"/>
      <c r="E39" s="70"/>
      <c r="F39" s="70"/>
      <c r="G39" s="70"/>
    </row>
    <row r="40" spans="1:7" ht="16.899999999999999" customHeight="1" x14ac:dyDescent="0.35">
      <c r="A40" s="13" t="s">
        <v>461</v>
      </c>
      <c r="B40" s="28">
        <v>1698561</v>
      </c>
      <c r="C40" s="73">
        <f t="shared" si="1"/>
        <v>10322754.166851563</v>
      </c>
      <c r="D40" s="70"/>
      <c r="E40" s="70"/>
      <c r="F40" s="70"/>
      <c r="G40" s="70"/>
    </row>
    <row r="41" spans="1:7" ht="16.899999999999999" customHeight="1" x14ac:dyDescent="0.35">
      <c r="A41" s="13" t="s">
        <v>462</v>
      </c>
      <c r="B41" s="28">
        <v>789479</v>
      </c>
      <c r="C41" s="73">
        <f t="shared" si="1"/>
        <v>9932258.5165918097</v>
      </c>
      <c r="D41" s="70"/>
      <c r="E41" s="70"/>
      <c r="F41" s="70"/>
      <c r="G41" s="70"/>
    </row>
    <row r="42" spans="1:7" ht="16.899999999999999" customHeight="1" x14ac:dyDescent="0.35">
      <c r="A42" s="13" t="s">
        <v>463</v>
      </c>
      <c r="B42" s="28">
        <v>1262462</v>
      </c>
      <c r="C42" s="73">
        <f t="shared" si="1"/>
        <v>7919255.3836752102</v>
      </c>
      <c r="D42" s="70"/>
      <c r="E42" s="70"/>
      <c r="F42" s="70"/>
      <c r="G42" s="70"/>
    </row>
    <row r="43" spans="1:7" ht="16.899999999999999" customHeight="1" x14ac:dyDescent="0.35">
      <c r="A43" s="13" t="s">
        <v>464</v>
      </c>
      <c r="B43" s="28">
        <v>1375425</v>
      </c>
      <c r="C43" s="73">
        <f t="shared" si="1"/>
        <v>7421312.474777028</v>
      </c>
      <c r="D43" s="70"/>
      <c r="E43" s="70"/>
      <c r="F43" s="70"/>
      <c r="G43" s="70"/>
    </row>
    <row r="44" spans="1:7" ht="16.899999999999999" customHeight="1" x14ac:dyDescent="0.35">
      <c r="A44" s="13" t="s">
        <v>465</v>
      </c>
      <c r="B44" s="28">
        <v>1460990</v>
      </c>
      <c r="C44" s="73">
        <f t="shared" si="1"/>
        <v>6580516.9190533971</v>
      </c>
      <c r="D44" s="70"/>
      <c r="E44" s="70"/>
      <c r="F44" s="70"/>
      <c r="G44" s="70"/>
    </row>
    <row r="45" spans="1:7" ht="16.899999999999999" customHeight="1" x14ac:dyDescent="0.35">
      <c r="A45" s="13" t="s">
        <v>466</v>
      </c>
      <c r="B45" s="28">
        <v>934530</v>
      </c>
      <c r="C45" s="73">
        <f t="shared" si="1"/>
        <v>6474866.3377394229</v>
      </c>
      <c r="D45" s="70"/>
      <c r="E45" s="70"/>
      <c r="F45" s="70"/>
      <c r="G45" s="70"/>
    </row>
    <row r="46" spans="1:7" x14ac:dyDescent="0.35">
      <c r="A46" s="75" t="s">
        <v>389</v>
      </c>
      <c r="B46" s="76">
        <f>SUM(B30:B45)</f>
        <v>26220111</v>
      </c>
      <c r="C46" s="77">
        <f>SUM(C30:C45)</f>
        <v>147784578.027852</v>
      </c>
    </row>
    <row r="47" spans="1:7" x14ac:dyDescent="0.35">
      <c r="A47" s="2"/>
      <c r="B47" s="72"/>
      <c r="C47" s="74"/>
    </row>
    <row r="48" spans="1:7" ht="33.65" customHeight="1" x14ac:dyDescent="0.35">
      <c r="A48" s="189" t="s">
        <v>484</v>
      </c>
      <c r="B48" s="189"/>
      <c r="D48" s="20"/>
      <c r="E48" s="20"/>
      <c r="G48" s="20"/>
    </row>
    <row r="49" spans="1:7" x14ac:dyDescent="0.35">
      <c r="A49" s="8"/>
      <c r="D49" s="190" t="s">
        <v>426</v>
      </c>
      <c r="E49" s="190"/>
      <c r="G49" s="21" t="s">
        <v>427</v>
      </c>
    </row>
    <row r="50" spans="1:7" x14ac:dyDescent="0.35">
      <c r="A50" s="8"/>
    </row>
  </sheetData>
  <mergeCells count="25">
    <mergeCell ref="F13:G13"/>
    <mergeCell ref="F14:G14"/>
    <mergeCell ref="A48:B48"/>
    <mergeCell ref="D49:E49"/>
    <mergeCell ref="F26:G26"/>
    <mergeCell ref="F24:G24"/>
    <mergeCell ref="F25:G25"/>
    <mergeCell ref="F27:G27"/>
    <mergeCell ref="A28:G28"/>
    <mergeCell ref="A5:G5"/>
    <mergeCell ref="A6:G6"/>
    <mergeCell ref="A7:G7"/>
    <mergeCell ref="F9:G9"/>
    <mergeCell ref="F23:G23"/>
    <mergeCell ref="F16:G16"/>
    <mergeCell ref="F20:G20"/>
    <mergeCell ref="F21:G21"/>
    <mergeCell ref="F22:G22"/>
    <mergeCell ref="F18:G18"/>
    <mergeCell ref="F17:G17"/>
    <mergeCell ref="F19:G19"/>
    <mergeCell ref="F15:G15"/>
    <mergeCell ref="F12:G12"/>
    <mergeCell ref="F10:G10"/>
    <mergeCell ref="F11:G11"/>
  </mergeCells>
  <phoneticPr fontId="18" type="noConversion"/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4"/>
  <sheetViews>
    <sheetView workbookViewId="0">
      <selection activeCell="B5" sqref="B5:B6"/>
    </sheetView>
  </sheetViews>
  <sheetFormatPr defaultColWidth="9.1796875" defaultRowHeight="13" x14ac:dyDescent="0.35"/>
  <cols>
    <col min="1" max="1" width="39" style="138" customWidth="1"/>
    <col min="2" max="2" width="27.453125" style="138" customWidth="1"/>
    <col min="3" max="3" width="36.26953125" style="138" customWidth="1"/>
    <col min="4" max="4" width="15.81640625" style="138" customWidth="1"/>
    <col min="5" max="16384" width="9.1796875" style="138"/>
  </cols>
  <sheetData>
    <row r="1" spans="1:22" ht="24" customHeight="1" x14ac:dyDescent="0.35">
      <c r="A1" s="159" t="s">
        <v>438</v>
      </c>
      <c r="B1" s="159"/>
      <c r="C1" s="159"/>
      <c r="D1" s="159"/>
    </row>
    <row r="2" spans="1:22" ht="27" customHeight="1" x14ac:dyDescent="0.35">
      <c r="A2" s="139" t="s">
        <v>436</v>
      </c>
      <c r="B2" s="139" t="s">
        <v>437</v>
      </c>
      <c r="C2" s="139" t="s">
        <v>433</v>
      </c>
      <c r="D2" s="139" t="s">
        <v>432</v>
      </c>
      <c r="V2" s="138">
        <v>1</v>
      </c>
    </row>
    <row r="3" spans="1:22" ht="52" x14ac:dyDescent="0.35">
      <c r="A3" s="160" t="s">
        <v>415</v>
      </c>
      <c r="B3" s="162" t="s">
        <v>504</v>
      </c>
      <c r="C3" s="140" t="s">
        <v>435</v>
      </c>
      <c r="D3" s="141" t="s">
        <v>434</v>
      </c>
    </row>
    <row r="4" spans="1:22" ht="26" x14ac:dyDescent="0.35">
      <c r="A4" s="161"/>
      <c r="B4" s="163"/>
      <c r="C4" s="140" t="s">
        <v>439</v>
      </c>
      <c r="D4" s="141" t="s">
        <v>440</v>
      </c>
    </row>
    <row r="5" spans="1:22" ht="52" x14ac:dyDescent="0.35">
      <c r="A5" s="160" t="s">
        <v>441</v>
      </c>
      <c r="B5" s="162" t="s">
        <v>505</v>
      </c>
      <c r="C5" s="140" t="s">
        <v>435</v>
      </c>
      <c r="D5" s="141" t="s">
        <v>442</v>
      </c>
    </row>
    <row r="6" spans="1:22" ht="26" x14ac:dyDescent="0.35">
      <c r="A6" s="161"/>
      <c r="B6" s="163"/>
      <c r="C6" s="140" t="s">
        <v>439</v>
      </c>
      <c r="D6" s="141" t="s">
        <v>443</v>
      </c>
    </row>
    <row r="7" spans="1:22" ht="25.5" customHeight="1" x14ac:dyDescent="0.35">
      <c r="A7" s="160" t="s">
        <v>428</v>
      </c>
      <c r="B7" s="162" t="s">
        <v>449</v>
      </c>
      <c r="C7" s="140" t="s">
        <v>435</v>
      </c>
      <c r="D7" s="142" t="s">
        <v>445</v>
      </c>
    </row>
    <row r="8" spans="1:22" ht="26" x14ac:dyDescent="0.35">
      <c r="A8" s="161"/>
      <c r="B8" s="163"/>
      <c r="C8" s="140" t="s">
        <v>439</v>
      </c>
      <c r="D8" s="141" t="s">
        <v>446</v>
      </c>
    </row>
    <row r="9" spans="1:22" ht="52" x14ac:dyDescent="0.35">
      <c r="A9" s="160" t="s">
        <v>444</v>
      </c>
      <c r="B9" s="162" t="s">
        <v>450</v>
      </c>
      <c r="C9" s="140" t="s">
        <v>435</v>
      </c>
      <c r="D9" s="141" t="s">
        <v>447</v>
      </c>
    </row>
    <row r="10" spans="1:22" ht="26" x14ac:dyDescent="0.35">
      <c r="A10" s="161"/>
      <c r="B10" s="163"/>
      <c r="C10" s="140" t="s">
        <v>439</v>
      </c>
      <c r="D10" s="141" t="s">
        <v>448</v>
      </c>
    </row>
    <row r="11" spans="1:22" ht="29.25" customHeight="1" x14ac:dyDescent="0.35">
      <c r="A11" s="141" t="s">
        <v>3</v>
      </c>
      <c r="B11" s="141" t="s">
        <v>3</v>
      </c>
      <c r="C11" s="140" t="s">
        <v>472</v>
      </c>
      <c r="D11" s="141" t="s">
        <v>473</v>
      </c>
    </row>
    <row r="12" spans="1:22" ht="26.25" customHeight="1" x14ac:dyDescent="0.35">
      <c r="A12" s="141" t="s">
        <v>3</v>
      </c>
      <c r="B12" s="141" t="s">
        <v>3</v>
      </c>
      <c r="C12" s="140" t="s">
        <v>474</v>
      </c>
      <c r="D12" s="141" t="s">
        <v>475</v>
      </c>
    </row>
    <row r="13" spans="1:22" ht="40.5" customHeight="1" x14ac:dyDescent="0.35">
      <c r="A13" s="141" t="s">
        <v>3</v>
      </c>
      <c r="B13" s="141" t="s">
        <v>3</v>
      </c>
      <c r="C13" s="140" t="s">
        <v>476</v>
      </c>
      <c r="D13" s="141" t="s">
        <v>477</v>
      </c>
    </row>
    <row r="14" spans="1:22" ht="40.5" customHeight="1" x14ac:dyDescent="0.35">
      <c r="A14" s="140" t="s">
        <v>483</v>
      </c>
      <c r="B14" s="141" t="s">
        <v>3</v>
      </c>
      <c r="C14" s="141" t="s">
        <v>3</v>
      </c>
      <c r="D14" s="141" t="s">
        <v>478</v>
      </c>
    </row>
  </sheetData>
  <sheetProtection password="C71F" sheet="1" objects="1" scenarios="1"/>
  <mergeCells count="9">
    <mergeCell ref="A1:D1"/>
    <mergeCell ref="A3:A4"/>
    <mergeCell ref="A5:A6"/>
    <mergeCell ref="A7:A8"/>
    <mergeCell ref="A9:A10"/>
    <mergeCell ref="B7:B8"/>
    <mergeCell ref="B5:B6"/>
    <mergeCell ref="B3:B4"/>
    <mergeCell ref="B9:B10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85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14" customWidth="1"/>
    <col min="2" max="2" width="28.81640625" style="14" customWidth="1"/>
    <col min="3" max="4" width="30.7265625" style="14" customWidth="1"/>
    <col min="5" max="16384" width="8.81640625" style="14"/>
  </cols>
  <sheetData>
    <row r="1" spans="1:4" ht="14.5" customHeight="1" x14ac:dyDescent="0.3">
      <c r="D1" s="143" t="s">
        <v>416</v>
      </c>
    </row>
    <row r="2" spans="1:4" ht="55.5" customHeight="1" x14ac:dyDescent="0.3">
      <c r="D2" s="144" t="s">
        <v>515</v>
      </c>
    </row>
    <row r="4" spans="1:4" x14ac:dyDescent="0.3">
      <c r="A4" s="168" t="s">
        <v>350</v>
      </c>
      <c r="B4" s="168"/>
      <c r="C4" s="168"/>
      <c r="D4" s="168"/>
    </row>
    <row r="5" spans="1:4" x14ac:dyDescent="0.3">
      <c r="A5" s="168" t="s">
        <v>351</v>
      </c>
      <c r="B5" s="168"/>
      <c r="C5" s="168"/>
      <c r="D5" s="168"/>
    </row>
    <row r="6" spans="1:4" x14ac:dyDescent="0.3">
      <c r="A6" s="168" t="s">
        <v>352</v>
      </c>
      <c r="B6" s="168"/>
      <c r="C6" s="168"/>
      <c r="D6" s="168"/>
    </row>
    <row r="7" spans="1:4" x14ac:dyDescent="0.3">
      <c r="A7" s="168" t="s">
        <v>353</v>
      </c>
      <c r="B7" s="168"/>
      <c r="C7" s="168"/>
      <c r="D7" s="168"/>
    </row>
    <row r="8" spans="1:4" x14ac:dyDescent="0.3">
      <c r="A8" s="8"/>
    </row>
    <row r="9" spans="1:4" ht="16.5" customHeight="1" x14ac:dyDescent="0.3">
      <c r="A9" s="16" t="s">
        <v>354</v>
      </c>
      <c r="B9" s="16" t="s">
        <v>355</v>
      </c>
      <c r="C9" s="16" t="s">
        <v>356</v>
      </c>
      <c r="D9" s="16" t="s">
        <v>357</v>
      </c>
    </row>
    <row r="10" spans="1:4" x14ac:dyDescent="0.3">
      <c r="A10" s="16">
        <v>1</v>
      </c>
      <c r="B10" s="16">
        <v>2</v>
      </c>
      <c r="C10" s="16">
        <v>3</v>
      </c>
      <c r="D10" s="16">
        <v>4</v>
      </c>
    </row>
    <row r="11" spans="1:4" x14ac:dyDescent="0.3">
      <c r="A11" s="166" t="s">
        <v>358</v>
      </c>
      <c r="B11" s="166"/>
      <c r="C11" s="166"/>
      <c r="D11" s="166"/>
    </row>
    <row r="12" spans="1:4" x14ac:dyDescent="0.3">
      <c r="A12" s="165" t="s">
        <v>415</v>
      </c>
      <c r="B12" s="165"/>
      <c r="C12" s="165"/>
      <c r="D12" s="165"/>
    </row>
    <row r="13" spans="1:4" x14ac:dyDescent="0.3">
      <c r="A13" s="166" t="s">
        <v>359</v>
      </c>
      <c r="B13" s="166"/>
      <c r="C13" s="166"/>
      <c r="D13" s="166"/>
    </row>
    <row r="14" spans="1:4" ht="30" customHeight="1" x14ac:dyDescent="0.3">
      <c r="A14" s="167" t="s">
        <v>504</v>
      </c>
      <c r="B14" s="167"/>
      <c r="C14" s="167"/>
      <c r="D14" s="167"/>
    </row>
    <row r="15" spans="1:4" x14ac:dyDescent="0.3">
      <c r="A15" s="164" t="s">
        <v>360</v>
      </c>
      <c r="B15" s="164"/>
      <c r="C15" s="164"/>
      <c r="D15" s="164"/>
    </row>
    <row r="16" spans="1:4" outlineLevel="1" x14ac:dyDescent="0.3">
      <c r="A16" s="164" t="s">
        <v>361</v>
      </c>
      <c r="B16" s="164"/>
      <c r="C16" s="164"/>
      <c r="D16" s="164"/>
    </row>
    <row r="17" spans="1:4" ht="12.75" customHeight="1" outlineLevel="2" x14ac:dyDescent="0.3">
      <c r="A17" s="48" t="str">
        <f>Базовый!A5</f>
        <v>Педагогический персонал (соц. поддержка)</v>
      </c>
      <c r="B17" s="16" t="str">
        <f>Базовый!B5</f>
        <v>шт.ед.</v>
      </c>
      <c r="C17" s="19">
        <f>Базовый!C5</f>
        <v>0.12150438394093216</v>
      </c>
      <c r="D17" s="169" t="s">
        <v>414</v>
      </c>
    </row>
    <row r="18" spans="1:4" hidden="1" outlineLevel="2" x14ac:dyDescent="0.3">
      <c r="A18" s="59"/>
      <c r="B18" s="16"/>
      <c r="C18" s="19"/>
      <c r="D18" s="170"/>
    </row>
    <row r="19" spans="1:4" hidden="1" outlineLevel="2" x14ac:dyDescent="0.3">
      <c r="A19" s="59"/>
      <c r="B19" s="16"/>
      <c r="C19" s="19"/>
      <c r="D19" s="171"/>
    </row>
    <row r="20" spans="1:4" outlineLevel="1" collapsed="1" x14ac:dyDescent="0.3">
      <c r="A20" s="164" t="s">
        <v>362</v>
      </c>
      <c r="B20" s="164"/>
      <c r="C20" s="164"/>
      <c r="D20" s="164"/>
    </row>
    <row r="21" spans="1:4" hidden="1" outlineLevel="2" x14ac:dyDescent="0.3">
      <c r="A21" s="59"/>
      <c r="B21" s="16"/>
      <c r="C21" s="19"/>
      <c r="D21" s="169" t="s">
        <v>414</v>
      </c>
    </row>
    <row r="22" spans="1:4" hidden="1" outlineLevel="3" x14ac:dyDescent="0.3">
      <c r="A22" s="48"/>
      <c r="B22" s="16"/>
      <c r="C22" s="19"/>
      <c r="D22" s="170"/>
    </row>
    <row r="23" spans="1:4" hidden="1" outlineLevel="2" x14ac:dyDescent="0.3">
      <c r="A23" s="59"/>
      <c r="B23" s="16"/>
      <c r="C23" s="19"/>
      <c r="D23" s="170"/>
    </row>
    <row r="24" spans="1:4" hidden="1" outlineLevel="3" x14ac:dyDescent="0.3">
      <c r="A24" s="48"/>
      <c r="B24" s="16"/>
      <c r="C24" s="19"/>
      <c r="D24" s="170"/>
    </row>
    <row r="25" spans="1:4" hidden="1" outlineLevel="3" x14ac:dyDescent="0.3">
      <c r="A25" s="48"/>
      <c r="B25" s="16"/>
      <c r="C25" s="19"/>
      <c r="D25" s="170"/>
    </row>
    <row r="26" spans="1:4" hidden="1" outlineLevel="3" x14ac:dyDescent="0.3">
      <c r="A26" s="48"/>
      <c r="B26" s="16"/>
      <c r="C26" s="19"/>
      <c r="D26" s="170"/>
    </row>
    <row r="27" spans="1:4" hidden="1" outlineLevel="3" x14ac:dyDescent="0.3">
      <c r="A27" s="48"/>
      <c r="B27" s="16"/>
      <c r="C27" s="19"/>
      <c r="D27" s="170"/>
    </row>
    <row r="28" spans="1:4" hidden="1" outlineLevel="3" x14ac:dyDescent="0.3">
      <c r="A28" s="48"/>
      <c r="B28" s="16"/>
      <c r="C28" s="19"/>
      <c r="D28" s="170"/>
    </row>
    <row r="29" spans="1:4" hidden="1" outlineLevel="3" x14ac:dyDescent="0.3">
      <c r="A29" s="48"/>
      <c r="B29" s="16"/>
      <c r="C29" s="19"/>
      <c r="D29" s="170"/>
    </row>
    <row r="30" spans="1:4" hidden="1" outlineLevel="3" x14ac:dyDescent="0.3">
      <c r="A30" s="48"/>
      <c r="B30" s="16"/>
      <c r="C30" s="19"/>
      <c r="D30" s="170"/>
    </row>
    <row r="31" spans="1:4" hidden="1" outlineLevel="2" x14ac:dyDescent="0.3">
      <c r="A31" s="59"/>
      <c r="B31" s="16"/>
      <c r="C31" s="19"/>
      <c r="D31" s="170"/>
    </row>
    <row r="32" spans="1:4" hidden="1" outlineLevel="3" x14ac:dyDescent="0.3">
      <c r="A32" s="48"/>
      <c r="B32" s="16"/>
      <c r="C32" s="19"/>
      <c r="D32" s="170"/>
    </row>
    <row r="33" spans="1:4" hidden="1" outlineLevel="3" x14ac:dyDescent="0.3">
      <c r="A33" s="48"/>
      <c r="B33" s="16"/>
      <c r="C33" s="19"/>
      <c r="D33" s="170"/>
    </row>
    <row r="34" spans="1:4" hidden="1" outlineLevel="3" x14ac:dyDescent="0.3">
      <c r="A34" s="48"/>
      <c r="B34" s="16"/>
      <c r="C34" s="19"/>
      <c r="D34" s="170"/>
    </row>
    <row r="35" spans="1:4" hidden="1" outlineLevel="3" x14ac:dyDescent="0.3">
      <c r="A35" s="48"/>
      <c r="B35" s="16"/>
      <c r="C35" s="19"/>
      <c r="D35" s="170"/>
    </row>
    <row r="36" spans="1:4" hidden="1" outlineLevel="3" x14ac:dyDescent="0.3">
      <c r="A36" s="48"/>
      <c r="B36" s="16"/>
      <c r="C36" s="19"/>
      <c r="D36" s="170"/>
    </row>
    <row r="37" spans="1:4" hidden="1" outlineLevel="3" x14ac:dyDescent="0.3">
      <c r="A37" s="48"/>
      <c r="B37" s="16"/>
      <c r="C37" s="19"/>
      <c r="D37" s="170"/>
    </row>
    <row r="38" spans="1:4" hidden="1" outlineLevel="3" x14ac:dyDescent="0.3">
      <c r="A38" s="48"/>
      <c r="B38" s="16"/>
      <c r="C38" s="19"/>
      <c r="D38" s="170"/>
    </row>
    <row r="39" spans="1:4" hidden="1" outlineLevel="3" x14ac:dyDescent="0.3">
      <c r="A39" s="48"/>
      <c r="B39" s="16"/>
      <c r="C39" s="19"/>
      <c r="D39" s="170"/>
    </row>
    <row r="40" spans="1:4" hidden="1" outlineLevel="3" x14ac:dyDescent="0.3">
      <c r="A40" s="48"/>
      <c r="B40" s="16"/>
      <c r="C40" s="19"/>
      <c r="D40" s="170"/>
    </row>
    <row r="41" spans="1:4" hidden="1" outlineLevel="3" x14ac:dyDescent="0.3">
      <c r="A41" s="48"/>
      <c r="B41" s="16"/>
      <c r="C41" s="19"/>
      <c r="D41" s="170"/>
    </row>
    <row r="42" spans="1:4" hidden="1" outlineLevel="3" x14ac:dyDescent="0.3">
      <c r="A42" s="48"/>
      <c r="B42" s="16"/>
      <c r="C42" s="19"/>
      <c r="D42" s="170"/>
    </row>
    <row r="43" spans="1:4" hidden="1" outlineLevel="3" x14ac:dyDescent="0.3">
      <c r="A43" s="48"/>
      <c r="B43" s="16"/>
      <c r="C43" s="19"/>
      <c r="D43" s="170"/>
    </row>
    <row r="44" spans="1:4" hidden="1" outlineLevel="3" x14ac:dyDescent="0.3">
      <c r="A44" s="48"/>
      <c r="B44" s="16"/>
      <c r="C44" s="19"/>
      <c r="D44" s="170"/>
    </row>
    <row r="45" spans="1:4" hidden="1" outlineLevel="3" x14ac:dyDescent="0.3">
      <c r="A45" s="48"/>
      <c r="B45" s="16"/>
      <c r="C45" s="19"/>
      <c r="D45" s="170"/>
    </row>
    <row r="46" spans="1:4" hidden="1" outlineLevel="3" x14ac:dyDescent="0.3">
      <c r="A46" s="48"/>
      <c r="B46" s="16"/>
      <c r="C46" s="19"/>
      <c r="D46" s="170"/>
    </row>
    <row r="47" spans="1:4" hidden="1" outlineLevel="3" x14ac:dyDescent="0.3">
      <c r="A47" s="48"/>
      <c r="B47" s="16"/>
      <c r="C47" s="19"/>
      <c r="D47" s="170"/>
    </row>
    <row r="48" spans="1:4" hidden="1" outlineLevel="3" x14ac:dyDescent="0.3">
      <c r="A48" s="48"/>
      <c r="B48" s="16"/>
      <c r="C48" s="19"/>
      <c r="D48" s="170"/>
    </row>
    <row r="49" spans="1:4" hidden="1" outlineLevel="3" x14ac:dyDescent="0.3">
      <c r="A49" s="48"/>
      <c r="B49" s="16"/>
      <c r="C49" s="19"/>
      <c r="D49" s="170"/>
    </row>
    <row r="50" spans="1:4" hidden="1" outlineLevel="2" x14ac:dyDescent="0.3">
      <c r="A50" s="59"/>
      <c r="B50" s="16"/>
      <c r="C50" s="19"/>
      <c r="D50" s="170"/>
    </row>
    <row r="51" spans="1:4" hidden="1" outlineLevel="3" x14ac:dyDescent="0.3">
      <c r="A51" s="48"/>
      <c r="B51" s="16"/>
      <c r="C51" s="19"/>
      <c r="D51" s="170"/>
    </row>
    <row r="52" spans="1:4" hidden="1" outlineLevel="3" x14ac:dyDescent="0.3">
      <c r="A52" s="48"/>
      <c r="B52" s="16"/>
      <c r="C52" s="19"/>
      <c r="D52" s="170"/>
    </row>
    <row r="53" spans="1:4" hidden="1" outlineLevel="3" x14ac:dyDescent="0.3">
      <c r="A53" s="48"/>
      <c r="B53" s="16"/>
      <c r="C53" s="19"/>
      <c r="D53" s="170"/>
    </row>
    <row r="54" spans="1:4" hidden="1" outlineLevel="3" x14ac:dyDescent="0.3">
      <c r="A54" s="48"/>
      <c r="B54" s="16"/>
      <c r="C54" s="19"/>
      <c r="D54" s="170"/>
    </row>
    <row r="55" spans="1:4" hidden="1" outlineLevel="3" x14ac:dyDescent="0.3">
      <c r="A55" s="48"/>
      <c r="B55" s="16"/>
      <c r="C55" s="19"/>
      <c r="D55" s="170"/>
    </row>
    <row r="56" spans="1:4" hidden="1" outlineLevel="3" x14ac:dyDescent="0.3">
      <c r="A56" s="48"/>
      <c r="B56" s="16"/>
      <c r="C56" s="19"/>
      <c r="D56" s="170"/>
    </row>
    <row r="57" spans="1:4" hidden="1" outlineLevel="3" x14ac:dyDescent="0.3">
      <c r="A57" s="48"/>
      <c r="B57" s="16"/>
      <c r="C57" s="19"/>
      <c r="D57" s="170"/>
    </row>
    <row r="58" spans="1:4" hidden="1" outlineLevel="3" x14ac:dyDescent="0.3">
      <c r="A58" s="48"/>
      <c r="B58" s="16"/>
      <c r="C58" s="19"/>
      <c r="D58" s="170"/>
    </row>
    <row r="59" spans="1:4" hidden="1" outlineLevel="3" x14ac:dyDescent="0.3">
      <c r="A59" s="48"/>
      <c r="B59" s="16"/>
      <c r="C59" s="19"/>
      <c r="D59" s="170"/>
    </row>
    <row r="60" spans="1:4" hidden="1" outlineLevel="3" x14ac:dyDescent="0.3">
      <c r="A60" s="48"/>
      <c r="B60" s="16"/>
      <c r="C60" s="19"/>
      <c r="D60" s="170"/>
    </row>
    <row r="61" spans="1:4" hidden="1" outlineLevel="3" x14ac:dyDescent="0.3">
      <c r="A61" s="48"/>
      <c r="B61" s="16"/>
      <c r="C61" s="19"/>
      <c r="D61" s="170"/>
    </row>
    <row r="62" spans="1:4" hidden="1" outlineLevel="3" x14ac:dyDescent="0.3">
      <c r="A62" s="48"/>
      <c r="B62" s="16"/>
      <c r="C62" s="19"/>
      <c r="D62" s="170"/>
    </row>
    <row r="63" spans="1:4" hidden="1" outlineLevel="3" x14ac:dyDescent="0.3">
      <c r="A63" s="48"/>
      <c r="B63" s="16"/>
      <c r="C63" s="19"/>
      <c r="D63" s="170"/>
    </row>
    <row r="64" spans="1:4" hidden="1" outlineLevel="3" x14ac:dyDescent="0.3">
      <c r="A64" s="48"/>
      <c r="B64" s="16"/>
      <c r="C64" s="19"/>
      <c r="D64" s="170"/>
    </row>
    <row r="65" spans="1:4" hidden="1" outlineLevel="3" x14ac:dyDescent="0.3">
      <c r="A65" s="48"/>
      <c r="B65" s="16"/>
      <c r="C65" s="19"/>
      <c r="D65" s="170"/>
    </row>
    <row r="66" spans="1:4" hidden="1" outlineLevel="3" x14ac:dyDescent="0.3">
      <c r="A66" s="48"/>
      <c r="B66" s="16"/>
      <c r="C66" s="19"/>
      <c r="D66" s="170"/>
    </row>
    <row r="67" spans="1:4" hidden="1" outlineLevel="3" x14ac:dyDescent="0.3">
      <c r="A67" s="48"/>
      <c r="B67" s="16"/>
      <c r="C67" s="19"/>
      <c r="D67" s="170"/>
    </row>
    <row r="68" spans="1:4" hidden="1" outlineLevel="3" x14ac:dyDescent="0.3">
      <c r="A68" s="48"/>
      <c r="B68" s="16"/>
      <c r="C68" s="19"/>
      <c r="D68" s="170"/>
    </row>
    <row r="69" spans="1:4" hidden="1" outlineLevel="3" x14ac:dyDescent="0.3">
      <c r="A69" s="48"/>
      <c r="B69" s="16"/>
      <c r="C69" s="19"/>
      <c r="D69" s="170"/>
    </row>
    <row r="70" spans="1:4" hidden="1" outlineLevel="3" x14ac:dyDescent="0.3">
      <c r="A70" s="48"/>
      <c r="B70" s="16"/>
      <c r="C70" s="19"/>
      <c r="D70" s="170"/>
    </row>
    <row r="71" spans="1:4" hidden="1" outlineLevel="3" x14ac:dyDescent="0.3">
      <c r="A71" s="48"/>
      <c r="B71" s="16"/>
      <c r="C71" s="19"/>
      <c r="D71" s="170"/>
    </row>
    <row r="72" spans="1:4" hidden="1" outlineLevel="3" x14ac:dyDescent="0.3">
      <c r="A72" s="48"/>
      <c r="B72" s="16"/>
      <c r="C72" s="19"/>
      <c r="D72" s="170"/>
    </row>
    <row r="73" spans="1:4" hidden="1" outlineLevel="3" x14ac:dyDescent="0.3">
      <c r="A73" s="48"/>
      <c r="B73" s="16"/>
      <c r="C73" s="19"/>
      <c r="D73" s="170"/>
    </row>
    <row r="74" spans="1:4" hidden="1" outlineLevel="3" x14ac:dyDescent="0.3">
      <c r="A74" s="48"/>
      <c r="B74" s="16"/>
      <c r="C74" s="19"/>
      <c r="D74" s="170"/>
    </row>
    <row r="75" spans="1:4" hidden="1" outlineLevel="3" x14ac:dyDescent="0.3">
      <c r="A75" s="48"/>
      <c r="B75" s="16"/>
      <c r="C75" s="19"/>
      <c r="D75" s="170"/>
    </row>
    <row r="76" spans="1:4" hidden="1" outlineLevel="3" x14ac:dyDescent="0.3">
      <c r="A76" s="48"/>
      <c r="B76" s="16"/>
      <c r="C76" s="19"/>
      <c r="D76" s="170"/>
    </row>
    <row r="77" spans="1:4" hidden="1" outlineLevel="3" x14ac:dyDescent="0.3">
      <c r="A77" s="48"/>
      <c r="B77" s="16"/>
      <c r="C77" s="19"/>
      <c r="D77" s="170"/>
    </row>
    <row r="78" spans="1:4" hidden="1" outlineLevel="3" x14ac:dyDescent="0.3">
      <c r="A78" s="48"/>
      <c r="B78" s="16"/>
      <c r="C78" s="19"/>
      <c r="D78" s="170"/>
    </row>
    <row r="79" spans="1:4" hidden="1" outlineLevel="3" x14ac:dyDescent="0.3">
      <c r="A79" s="48"/>
      <c r="B79" s="16"/>
      <c r="C79" s="19"/>
      <c r="D79" s="170"/>
    </row>
    <row r="80" spans="1:4" hidden="1" outlineLevel="3" x14ac:dyDescent="0.3">
      <c r="A80" s="48"/>
      <c r="B80" s="16"/>
      <c r="C80" s="19"/>
      <c r="D80" s="170"/>
    </row>
    <row r="81" spans="1:4" hidden="1" outlineLevel="2" x14ac:dyDescent="0.3">
      <c r="A81" s="59"/>
      <c r="B81" s="16"/>
      <c r="C81" s="19"/>
      <c r="D81" s="170"/>
    </row>
    <row r="82" spans="1:4" hidden="1" outlineLevel="3" x14ac:dyDescent="0.3">
      <c r="A82" s="48"/>
      <c r="B82" s="16"/>
      <c r="C82" s="19"/>
      <c r="D82" s="170"/>
    </row>
    <row r="83" spans="1:4" hidden="1" outlineLevel="3" x14ac:dyDescent="0.3">
      <c r="A83" s="48"/>
      <c r="B83" s="16"/>
      <c r="C83" s="19"/>
      <c r="D83" s="170"/>
    </row>
    <row r="84" spans="1:4" hidden="1" outlineLevel="3" x14ac:dyDescent="0.3">
      <c r="A84" s="48"/>
      <c r="B84" s="16"/>
      <c r="C84" s="19"/>
      <c r="D84" s="170"/>
    </row>
    <row r="85" spans="1:4" hidden="1" outlineLevel="3" x14ac:dyDescent="0.3">
      <c r="A85" s="48"/>
      <c r="B85" s="16"/>
      <c r="C85" s="19"/>
      <c r="D85" s="170"/>
    </row>
    <row r="86" spans="1:4" hidden="1" outlineLevel="3" x14ac:dyDescent="0.3">
      <c r="A86" s="48"/>
      <c r="B86" s="16"/>
      <c r="C86" s="19"/>
      <c r="D86" s="170"/>
    </row>
    <row r="87" spans="1:4" hidden="1" outlineLevel="3" x14ac:dyDescent="0.3">
      <c r="A87" s="48"/>
      <c r="B87" s="16"/>
      <c r="C87" s="19"/>
      <c r="D87" s="170"/>
    </row>
    <row r="88" spans="1:4" hidden="1" outlineLevel="2" x14ac:dyDescent="0.3">
      <c r="A88" s="59"/>
      <c r="B88" s="16"/>
      <c r="C88" s="19"/>
      <c r="D88" s="170"/>
    </row>
    <row r="89" spans="1:4" hidden="1" outlineLevel="3" x14ac:dyDescent="0.3">
      <c r="A89" s="48"/>
      <c r="B89" s="16"/>
      <c r="C89" s="19"/>
      <c r="D89" s="170"/>
    </row>
    <row r="90" spans="1:4" hidden="1" outlineLevel="3" x14ac:dyDescent="0.3">
      <c r="A90" s="48"/>
      <c r="B90" s="16"/>
      <c r="C90" s="19"/>
      <c r="D90" s="170"/>
    </row>
    <row r="91" spans="1:4" hidden="1" outlineLevel="3" x14ac:dyDescent="0.3">
      <c r="A91" s="48"/>
      <c r="B91" s="16"/>
      <c r="C91" s="19"/>
      <c r="D91" s="170"/>
    </row>
    <row r="92" spans="1:4" hidden="1" outlineLevel="3" x14ac:dyDescent="0.3">
      <c r="A92" s="48"/>
      <c r="B92" s="16"/>
      <c r="C92" s="19"/>
      <c r="D92" s="170"/>
    </row>
    <row r="93" spans="1:4" outlineLevel="2" x14ac:dyDescent="0.3">
      <c r="A93" s="48" t="str">
        <f>Базовый!A81</f>
        <v>Подписка</v>
      </c>
      <c r="B93" s="16" t="str">
        <f>Базовый!B81</f>
        <v>х</v>
      </c>
      <c r="C93" s="19" t="str">
        <f>Базовый!C81</f>
        <v>х</v>
      </c>
      <c r="D93" s="170"/>
    </row>
    <row r="94" spans="1:4" outlineLevel="3" x14ac:dyDescent="0.3">
      <c r="A94" s="48" t="str">
        <f>Базовый!A82</f>
        <v>Журнал: Дошкольная педагогика</v>
      </c>
      <c r="B94" s="16" t="str">
        <f>Базовый!B82</f>
        <v>компл.</v>
      </c>
      <c r="C94" s="19">
        <f>Базовый!C82</f>
        <v>4.7169811320754715E-3</v>
      </c>
      <c r="D94" s="170"/>
    </row>
    <row r="95" spans="1:4" outlineLevel="3" x14ac:dyDescent="0.3">
      <c r="A95" s="48" t="str">
        <f>Базовый!A83</f>
        <v>Журнал: Дошкольное воспитание</v>
      </c>
      <c r="B95" s="16" t="str">
        <f>Базовый!B83</f>
        <v>компл.</v>
      </c>
      <c r="C95" s="19">
        <f>Базовый!C83</f>
        <v>4.7169811320754715E-3</v>
      </c>
      <c r="D95" s="170"/>
    </row>
    <row r="96" spans="1:4" outlineLevel="3" x14ac:dyDescent="0.3">
      <c r="A96" s="48" t="str">
        <f>Базовый!A84</f>
        <v>Журнал: Инструктор по физкультуре</v>
      </c>
      <c r="B96" s="16" t="str">
        <f>Базовый!B84</f>
        <v>компл.</v>
      </c>
      <c r="C96" s="19">
        <f>Базовый!C84</f>
        <v>4.7169811320754715E-3</v>
      </c>
      <c r="D96" s="170"/>
    </row>
    <row r="97" spans="1:4" outlineLevel="3" x14ac:dyDescent="0.3">
      <c r="A97" s="48" t="str">
        <f>Базовый!A85</f>
        <v>Журнал: Логопед</v>
      </c>
      <c r="B97" s="16" t="str">
        <f>Базовый!B85</f>
        <v>компл.</v>
      </c>
      <c r="C97" s="19">
        <f>Базовый!C85</f>
        <v>4.7169811320754715E-3</v>
      </c>
      <c r="D97" s="170"/>
    </row>
    <row r="98" spans="1:4" outlineLevel="3" x14ac:dyDescent="0.3">
      <c r="A98" s="48" t="str">
        <f>Базовый!A86</f>
        <v>Журнал: Медработник ДОУ</v>
      </c>
      <c r="B98" s="16" t="str">
        <f>Базовый!B86</f>
        <v>компл.</v>
      </c>
      <c r="C98" s="19">
        <f>Базовый!C86</f>
        <v>4.7169811320754715E-3</v>
      </c>
      <c r="D98" s="170"/>
    </row>
    <row r="99" spans="1:4" outlineLevel="3" x14ac:dyDescent="0.3">
      <c r="A99" s="48" t="str">
        <f>Базовый!A87</f>
        <v>Журнал: Детский сад. Теория</v>
      </c>
      <c r="B99" s="16" t="str">
        <f>Базовый!B87</f>
        <v>компл.</v>
      </c>
      <c r="C99" s="19">
        <f>Базовый!C87</f>
        <v>4.7169811320754715E-3</v>
      </c>
      <c r="D99" s="170"/>
    </row>
    <row r="100" spans="1:4" ht="26" outlineLevel="3" x14ac:dyDescent="0.3">
      <c r="A100" s="48" t="str">
        <f>Базовый!A88</f>
        <v>Журнал: Детский сад будущего-галерея творческих проекто</v>
      </c>
      <c r="B100" s="16" t="str">
        <f>Базовый!B88</f>
        <v>компл.</v>
      </c>
      <c r="C100" s="19">
        <f>Базовый!C88</f>
        <v>4.7169811320754715E-3</v>
      </c>
      <c r="D100" s="170"/>
    </row>
    <row r="101" spans="1:4" ht="26" outlineLevel="3" x14ac:dyDescent="0.3">
      <c r="A101" s="48" t="str">
        <f>Базовый!A89</f>
        <v>Приложение к журналу: Дошкольная педагогика</v>
      </c>
      <c r="B101" s="16" t="str">
        <f>Базовый!B89</f>
        <v>компл.</v>
      </c>
      <c r="C101" s="19">
        <f>Базовый!C89</f>
        <v>4.7169811320754715E-3</v>
      </c>
      <c r="D101" s="170"/>
    </row>
    <row r="102" spans="1:4" ht="39" outlineLevel="3" x14ac:dyDescent="0.3">
      <c r="A102" s="48" t="str">
        <f>Базовый!A90</f>
        <v>Управление дошкольным образовательным учреждением с приложением</v>
      </c>
      <c r="B102" s="16" t="str">
        <f>Базовый!B90</f>
        <v>компл.</v>
      </c>
      <c r="C102" s="19">
        <f>Базовый!C90</f>
        <v>4.7169811320754715E-3</v>
      </c>
      <c r="D102" s="170"/>
    </row>
    <row r="103" spans="1:4" outlineLevel="3" x14ac:dyDescent="0.3">
      <c r="A103" s="48" t="str">
        <f>Базовый!A91</f>
        <v>Справочник музыкального работника</v>
      </c>
      <c r="B103" s="16" t="str">
        <f>Базовый!B91</f>
        <v>компл.</v>
      </c>
      <c r="C103" s="19">
        <f>Базовый!C91</f>
        <v>4.7169811320754715E-3</v>
      </c>
      <c r="D103" s="170"/>
    </row>
    <row r="104" spans="1:4" outlineLevel="3" x14ac:dyDescent="0.3">
      <c r="A104" s="48" t="str">
        <f>Базовый!A92</f>
        <v>Справочник: Педагога-психолога</v>
      </c>
      <c r="B104" s="16" t="str">
        <f>Базовый!B92</f>
        <v>компл.</v>
      </c>
      <c r="C104" s="19">
        <f>Базовый!C92</f>
        <v>4.7169811320754715E-3</v>
      </c>
      <c r="D104" s="170"/>
    </row>
    <row r="105" spans="1:4" ht="26" outlineLevel="3" x14ac:dyDescent="0.3">
      <c r="A105" s="48" t="str">
        <f>Базовый!A93</f>
        <v>Справочник руководителя дошкольного учреждения</v>
      </c>
      <c r="B105" s="16" t="str">
        <f>Базовый!B93</f>
        <v>компл.</v>
      </c>
      <c r="C105" s="19">
        <f>Базовый!C93</f>
        <v>4.7169811320754715E-3</v>
      </c>
      <c r="D105" s="170"/>
    </row>
    <row r="106" spans="1:4" ht="26" outlineLevel="3" x14ac:dyDescent="0.3">
      <c r="A106" s="48" t="str">
        <f>Базовый!A94</f>
        <v>Справочник старшего воспитателя дошкольного учреждения</v>
      </c>
      <c r="B106" s="16" t="str">
        <f>Базовый!B94</f>
        <v>компл.</v>
      </c>
      <c r="C106" s="19">
        <f>Базовый!C94</f>
        <v>4.7169811320754715E-3</v>
      </c>
      <c r="D106" s="170"/>
    </row>
    <row r="107" spans="1:4" ht="26" outlineLevel="3" x14ac:dyDescent="0.3">
      <c r="A107" s="48" t="str">
        <f>Базовый!A95</f>
        <v>Журнал: Воспитатель дошкольного образовательного учреждения</v>
      </c>
      <c r="B107" s="16" t="str">
        <f>Базовый!B95</f>
        <v>компл.</v>
      </c>
      <c r="C107" s="19">
        <f>Базовый!C95</f>
        <v>4.7169811320754715E-3</v>
      </c>
      <c r="D107" s="170"/>
    </row>
    <row r="108" spans="1:4" hidden="1" outlineLevel="2" x14ac:dyDescent="0.3">
      <c r="A108" s="59"/>
      <c r="B108" s="16"/>
      <c r="C108" s="19"/>
      <c r="D108" s="170"/>
    </row>
    <row r="109" spans="1:4" hidden="1" outlineLevel="3" x14ac:dyDescent="0.3">
      <c r="A109" s="48"/>
      <c r="B109" s="16"/>
      <c r="C109" s="19"/>
      <c r="D109" s="170"/>
    </row>
    <row r="110" spans="1:4" hidden="1" outlineLevel="3" x14ac:dyDescent="0.3">
      <c r="A110" s="48"/>
      <c r="B110" s="16"/>
      <c r="C110" s="19"/>
      <c r="D110" s="171"/>
    </row>
    <row r="111" spans="1:4" outlineLevel="1" x14ac:dyDescent="0.3">
      <c r="A111" s="164" t="s">
        <v>363</v>
      </c>
      <c r="B111" s="164"/>
      <c r="C111" s="164"/>
      <c r="D111" s="164"/>
    </row>
    <row r="112" spans="1:4" outlineLevel="2" x14ac:dyDescent="0.3">
      <c r="A112" s="48" t="str">
        <f>Базовый!A100</f>
        <v>Услуги сторонних организаций</v>
      </c>
      <c r="B112" s="16" t="str">
        <f>Базовый!B100</f>
        <v>х</v>
      </c>
      <c r="C112" s="19" t="str">
        <f>Базовый!C100</f>
        <v>х</v>
      </c>
      <c r="D112" s="169" t="s">
        <v>414</v>
      </c>
    </row>
    <row r="113" spans="1:4" outlineLevel="3" x14ac:dyDescent="0.3">
      <c r="A113" s="48" t="str">
        <f>Базовый!A101</f>
        <v>Мед.осмотр</v>
      </c>
      <c r="B113" s="16" t="str">
        <f>Базовый!B101</f>
        <v>усл.ед.</v>
      </c>
      <c r="C113" s="19">
        <f>Базовый!C101</f>
        <v>0.29059829059829062</v>
      </c>
      <c r="D113" s="170"/>
    </row>
    <row r="114" spans="1:4" ht="26" outlineLevel="3" x14ac:dyDescent="0.3">
      <c r="A114" s="48" t="str">
        <f>Базовый!A102</f>
        <v>Медицинский осмотр при трудоутройстве</v>
      </c>
      <c r="B114" s="16" t="str">
        <f>Базовый!B102</f>
        <v>усл.ед.</v>
      </c>
      <c r="C114" s="19">
        <f>Базовый!C102</f>
        <v>3.4188034188034191E-2</v>
      </c>
      <c r="D114" s="170"/>
    </row>
    <row r="115" spans="1:4" ht="26" outlineLevel="3" x14ac:dyDescent="0.3">
      <c r="A115" s="48" t="str">
        <f>Базовый!A103</f>
        <v>Гигиеническая аттестация сотрудников</v>
      </c>
      <c r="B115" s="16" t="str">
        <f>Базовый!B103</f>
        <v>усл.ед.</v>
      </c>
      <c r="C115" s="19">
        <f>Базовый!C103</f>
        <v>0.10256410256410256</v>
      </c>
      <c r="D115" s="170"/>
    </row>
    <row r="116" spans="1:4" outlineLevel="3" x14ac:dyDescent="0.3">
      <c r="A116" s="48" t="str">
        <f>Базовый!A104</f>
        <v>Камерная обработка</v>
      </c>
      <c r="B116" s="16" t="str">
        <f>Базовый!B104</f>
        <v>кг.</v>
      </c>
      <c r="C116" s="19">
        <f>Базовый!C104</f>
        <v>3.3502538071065993</v>
      </c>
      <c r="D116" s="170"/>
    </row>
    <row r="117" spans="1:4" outlineLevel="3" x14ac:dyDescent="0.3">
      <c r="A117" s="48" t="str">
        <f>Базовый!A105</f>
        <v>Курсы по ПБ</v>
      </c>
      <c r="B117" s="16" t="str">
        <f>Базовый!B105</f>
        <v>усл.ед.</v>
      </c>
      <c r="C117" s="19">
        <f>Базовый!C105</f>
        <v>1.7094017094017096E-2</v>
      </c>
      <c r="D117" s="170"/>
    </row>
    <row r="118" spans="1:4" outlineLevel="3" x14ac:dyDescent="0.3">
      <c r="A118" s="48" t="str">
        <f>Базовый!A106</f>
        <v>Обучение 44-ФЗ</v>
      </c>
      <c r="B118" s="16" t="str">
        <f>Базовый!B106</f>
        <v>усл.ед.</v>
      </c>
      <c r="C118" s="19">
        <f>Базовый!C106</f>
        <v>1.1111111111111112E-2</v>
      </c>
      <c r="D118" s="170"/>
    </row>
    <row r="119" spans="1:4" outlineLevel="3" x14ac:dyDescent="0.3">
      <c r="A119" s="48" t="str">
        <f>Базовый!A107</f>
        <v>Обучение на курсах по охране труда</v>
      </c>
      <c r="B119" s="16" t="str">
        <f>Базовый!B107</f>
        <v>усл.ед.</v>
      </c>
      <c r="C119" s="19">
        <f>Базовый!C107</f>
        <v>2.2222222222222223E-2</v>
      </c>
      <c r="D119" s="170"/>
    </row>
    <row r="120" spans="1:4" ht="26" outlineLevel="3" x14ac:dyDescent="0.3">
      <c r="A120" s="48" t="str">
        <f>Базовый!A108</f>
        <v>Курсы (пожарно-технический минимум)</v>
      </c>
      <c r="B120" s="16" t="str">
        <f>Базовый!B108</f>
        <v>усл.ед.</v>
      </c>
      <c r="C120" s="19">
        <f>Базовый!C108</f>
        <v>1.1111111111111112E-2</v>
      </c>
      <c r="D120" s="170"/>
    </row>
    <row r="121" spans="1:4" ht="26" outlineLevel="3" x14ac:dyDescent="0.3">
      <c r="A121" s="48" t="str">
        <f>Базовый!A109</f>
        <v>Курсы  (тепловые энергоустановки и тс)</v>
      </c>
      <c r="B121" s="16" t="str">
        <f>Базовый!B109</f>
        <v>усл.ед.</v>
      </c>
      <c r="C121" s="19">
        <f>Базовый!C109</f>
        <v>1.7094017094017096E-2</v>
      </c>
      <c r="D121" s="170"/>
    </row>
    <row r="122" spans="1:4" outlineLevel="3" x14ac:dyDescent="0.3">
      <c r="A122" s="48" t="str">
        <f>Базовый!A110</f>
        <v>Хостинг сайта</v>
      </c>
      <c r="B122" s="16" t="str">
        <f>Базовый!B110</f>
        <v>усл.ед.</v>
      </c>
      <c r="C122" s="19">
        <f>Базовый!C110</f>
        <v>8.5470085470085479E-3</v>
      </c>
      <c r="D122" s="170"/>
    </row>
    <row r="123" spans="1:4" outlineLevel="2" x14ac:dyDescent="0.3">
      <c r="A123" s="48" t="str">
        <f>Базовый!A111</f>
        <v>Канцелярские товары</v>
      </c>
      <c r="B123" s="16" t="str">
        <f>Базовый!B111</f>
        <v>х</v>
      </c>
      <c r="C123" s="19" t="str">
        <f>Базовый!C111</f>
        <v>х</v>
      </c>
      <c r="D123" s="170"/>
    </row>
    <row r="124" spans="1:4" outlineLevel="3" x14ac:dyDescent="0.3">
      <c r="A124" s="48" t="str">
        <f>Базовый!A112</f>
        <v>Папка-регистратор</v>
      </c>
      <c r="B124" s="16" t="str">
        <f>Базовый!B112</f>
        <v>шт.</v>
      </c>
      <c r="C124" s="19">
        <f>Базовый!C112</f>
        <v>0.18867924528301888</v>
      </c>
      <c r="D124" s="170"/>
    </row>
    <row r="125" spans="1:4" outlineLevel="3" x14ac:dyDescent="0.3">
      <c r="A125" s="48" t="str">
        <f>Базовый!A113</f>
        <v>Папка скоросшиватель Дело</v>
      </c>
      <c r="B125" s="16" t="str">
        <f>Базовый!B113</f>
        <v>шт.</v>
      </c>
      <c r="C125" s="19">
        <f>Базовый!C113</f>
        <v>0.42452830188679247</v>
      </c>
      <c r="D125" s="170"/>
    </row>
    <row r="126" spans="1:4" outlineLevel="3" x14ac:dyDescent="0.3">
      <c r="A126" s="48" t="str">
        <f>Базовый!A114</f>
        <v>Накопитель архивный</v>
      </c>
      <c r="B126" s="16" t="str">
        <f>Базовый!B114</f>
        <v>шт.</v>
      </c>
      <c r="C126" s="19">
        <f>Базовый!C114</f>
        <v>0.18867924528301888</v>
      </c>
      <c r="D126" s="170"/>
    </row>
    <row r="127" spans="1:4" outlineLevel="3" x14ac:dyDescent="0.3">
      <c r="A127" s="48" t="str">
        <f>Базовый!A115</f>
        <v>Бумага А4</v>
      </c>
      <c r="B127" s="16" t="str">
        <f>Базовый!B115</f>
        <v>уп.</v>
      </c>
      <c r="C127" s="19">
        <f>Базовый!C115</f>
        <v>0.18867924528301888</v>
      </c>
      <c r="D127" s="170"/>
    </row>
    <row r="128" spans="1:4" outlineLevel="3" x14ac:dyDescent="0.3">
      <c r="A128" s="48" t="str">
        <f>Базовый!A116</f>
        <v>Файлы А4</v>
      </c>
      <c r="B128" s="16" t="str">
        <f>Базовый!B116</f>
        <v>шт.</v>
      </c>
      <c r="C128" s="19">
        <f>Базовый!C116</f>
        <v>4.716981132075472</v>
      </c>
      <c r="D128" s="170"/>
    </row>
    <row r="129" spans="1:4" outlineLevel="3" x14ac:dyDescent="0.3">
      <c r="A129" s="48" t="str">
        <f>Базовый!A117</f>
        <v>Карандаши ч/гр.</v>
      </c>
      <c r="B129" s="16" t="str">
        <f>Базовый!B117</f>
        <v>шт.</v>
      </c>
      <c r="C129" s="19">
        <f>Базовый!C117</f>
        <v>9.6153846153846159E-2</v>
      </c>
      <c r="D129" s="170"/>
    </row>
    <row r="130" spans="1:4" outlineLevel="3" x14ac:dyDescent="0.3">
      <c r="A130" s="48" t="str">
        <f>Базовый!A118</f>
        <v>Закладки самоклеящ.</v>
      </c>
      <c r="B130" s="16" t="str">
        <f>Базовый!B118</f>
        <v>шт.</v>
      </c>
      <c r="C130" s="19">
        <f>Базовый!C118</f>
        <v>9.6153846153846159E-2</v>
      </c>
      <c r="D130" s="170"/>
    </row>
    <row r="131" spans="1:4" outlineLevel="3" x14ac:dyDescent="0.3">
      <c r="A131" s="48" t="str">
        <f>Базовый!A119</f>
        <v>Линейка</v>
      </c>
      <c r="B131" s="16" t="str">
        <f>Базовый!B119</f>
        <v>шт.</v>
      </c>
      <c r="C131" s="19">
        <f>Базовый!C119</f>
        <v>9.6153846153846159E-2</v>
      </c>
      <c r="D131" s="170"/>
    </row>
    <row r="132" spans="1:4" outlineLevel="3" x14ac:dyDescent="0.3">
      <c r="A132" s="48" t="str">
        <f>Базовый!A120</f>
        <v xml:space="preserve">Ножницы </v>
      </c>
      <c r="B132" s="16" t="str">
        <f>Базовый!B120</f>
        <v>шт.</v>
      </c>
      <c r="C132" s="19">
        <f>Базовый!C120</f>
        <v>0.28846153846153844</v>
      </c>
      <c r="D132" s="170"/>
    </row>
    <row r="133" spans="1:4" outlineLevel="3" x14ac:dyDescent="0.3">
      <c r="A133" s="48" t="str">
        <f>Базовый!A121</f>
        <v>Ластик</v>
      </c>
      <c r="B133" s="16" t="str">
        <f>Базовый!B121</f>
        <v>шт.</v>
      </c>
      <c r="C133" s="19">
        <f>Базовый!C121</f>
        <v>0.28846153846153844</v>
      </c>
      <c r="D133" s="170"/>
    </row>
    <row r="134" spans="1:4" outlineLevel="3" x14ac:dyDescent="0.3">
      <c r="A134" s="48" t="str">
        <f>Базовый!A122</f>
        <v>Ручка</v>
      </c>
      <c r="B134" s="16" t="str">
        <f>Базовый!B122</f>
        <v>шт.</v>
      </c>
      <c r="C134" s="19">
        <f>Базовый!C122</f>
        <v>0.28846153846153844</v>
      </c>
      <c r="D134" s="170"/>
    </row>
    <row r="135" spans="1:4" outlineLevel="3" x14ac:dyDescent="0.3">
      <c r="A135" s="48" t="str">
        <f>Базовый!A123</f>
        <v>Скобы для степлера</v>
      </c>
      <c r="B135" s="16" t="str">
        <f>Базовый!B123</f>
        <v>шт.</v>
      </c>
      <c r="C135" s="19">
        <f>Базовый!C123</f>
        <v>9.6153846153846159E-2</v>
      </c>
      <c r="D135" s="170"/>
    </row>
    <row r="136" spans="1:4" outlineLevel="3" x14ac:dyDescent="0.3">
      <c r="A136" s="48" t="str">
        <f>Базовый!A124</f>
        <v>Скоросшиватель</v>
      </c>
      <c r="B136" s="16" t="str">
        <f>Базовый!B124</f>
        <v>шт.</v>
      </c>
      <c r="C136" s="19">
        <f>Базовый!C124</f>
        <v>9.6153846153846159E-2</v>
      </c>
      <c r="D136" s="170"/>
    </row>
    <row r="137" spans="1:4" outlineLevel="3" x14ac:dyDescent="0.3">
      <c r="A137" s="48" t="str">
        <f>Базовый!A125</f>
        <v>Скрепки</v>
      </c>
      <c r="B137" s="16" t="str">
        <f>Базовый!B125</f>
        <v>шт.</v>
      </c>
      <c r="C137" s="19">
        <f>Базовый!C125</f>
        <v>0.19230769230769232</v>
      </c>
      <c r="D137" s="170"/>
    </row>
    <row r="138" spans="1:4" outlineLevel="3" x14ac:dyDescent="0.3">
      <c r="A138" s="48" t="str">
        <f>Базовый!A126</f>
        <v>Степлер</v>
      </c>
      <c r="B138" s="16" t="str">
        <f>Базовый!B126</f>
        <v>шт.</v>
      </c>
      <c r="C138" s="19">
        <f>Базовый!C126</f>
        <v>0.19230769230769232</v>
      </c>
      <c r="D138" s="170"/>
    </row>
    <row r="139" spans="1:4" outlineLevel="3" x14ac:dyDescent="0.3">
      <c r="A139" s="48" t="str">
        <f>Базовый!A127</f>
        <v>Тетрадь</v>
      </c>
      <c r="B139" s="16" t="str">
        <f>Базовый!B127</f>
        <v>шт.</v>
      </c>
      <c r="C139" s="19">
        <f>Базовый!C127</f>
        <v>0.48076923076923078</v>
      </c>
      <c r="D139" s="170"/>
    </row>
    <row r="140" spans="1:4" outlineLevel="3" x14ac:dyDescent="0.3">
      <c r="A140" s="48" t="str">
        <f>Базовый!A128</f>
        <v>Точилка</v>
      </c>
      <c r="B140" s="16" t="str">
        <f>Базовый!B128</f>
        <v>шт.</v>
      </c>
      <c r="C140" s="19">
        <f>Базовый!C128</f>
        <v>0.19230769230769232</v>
      </c>
      <c r="D140" s="170"/>
    </row>
    <row r="141" spans="1:4" outlineLevel="3" x14ac:dyDescent="0.3">
      <c r="A141" s="48" t="str">
        <f>Базовый!A129</f>
        <v>Скрепки</v>
      </c>
      <c r="B141" s="16" t="str">
        <f>Базовый!B129</f>
        <v>уп.</v>
      </c>
      <c r="C141" s="19">
        <f>Базовый!C129</f>
        <v>5.7692307692307696E-2</v>
      </c>
      <c r="D141" s="170"/>
    </row>
    <row r="142" spans="1:4" outlineLevel="3" x14ac:dyDescent="0.3">
      <c r="A142" s="48" t="str">
        <f>Базовый!A130</f>
        <v>Корректор</v>
      </c>
      <c r="B142" s="16" t="str">
        <f>Базовый!B130</f>
        <v>шт.</v>
      </c>
      <c r="C142" s="19">
        <f>Базовый!C130</f>
        <v>4.807692307692308E-2</v>
      </c>
      <c r="D142" s="170"/>
    </row>
    <row r="143" spans="1:4" outlineLevel="3" x14ac:dyDescent="0.3">
      <c r="A143" s="48" t="str">
        <f>Базовый!A131</f>
        <v>Зажимы для бумаги больш.</v>
      </c>
      <c r="B143" s="16" t="str">
        <f>Базовый!B131</f>
        <v>уп.</v>
      </c>
      <c r="C143" s="19">
        <f>Базовый!C131</f>
        <v>0.11538461538461539</v>
      </c>
      <c r="D143" s="170"/>
    </row>
    <row r="144" spans="1:4" outlineLevel="3" x14ac:dyDescent="0.3">
      <c r="A144" s="48" t="str">
        <f>Базовый!A132</f>
        <v>Зажимы для бумаги мал.</v>
      </c>
      <c r="B144" s="16" t="str">
        <f>Базовый!B132</f>
        <v>уп.</v>
      </c>
      <c r="C144" s="19">
        <f>Базовый!C132</f>
        <v>5.7692307692307696E-2</v>
      </c>
      <c r="D144" s="170"/>
    </row>
    <row r="145" spans="1:4" hidden="1" outlineLevel="2" x14ac:dyDescent="0.3">
      <c r="A145" s="59"/>
      <c r="B145" s="16"/>
      <c r="C145" s="19"/>
      <c r="D145" s="170"/>
    </row>
    <row r="146" spans="1:4" hidden="1" outlineLevel="3" x14ac:dyDescent="0.3">
      <c r="A146" s="48"/>
      <c r="B146" s="16"/>
      <c r="C146" s="19"/>
      <c r="D146" s="170"/>
    </row>
    <row r="147" spans="1:4" hidden="1" outlineLevel="3" x14ac:dyDescent="0.3">
      <c r="A147" s="48"/>
      <c r="B147" s="16"/>
      <c r="C147" s="19"/>
      <c r="D147" s="170"/>
    </row>
    <row r="148" spans="1:4" hidden="1" outlineLevel="3" x14ac:dyDescent="0.3">
      <c r="A148" s="48"/>
      <c r="B148" s="16"/>
      <c r="C148" s="19"/>
      <c r="D148" s="170"/>
    </row>
    <row r="149" spans="1:4" hidden="1" outlineLevel="3" x14ac:dyDescent="0.3">
      <c r="A149" s="48"/>
      <c r="B149" s="16"/>
      <c r="C149" s="19"/>
      <c r="D149" s="170"/>
    </row>
    <row r="150" spans="1:4" hidden="1" outlineLevel="3" x14ac:dyDescent="0.3">
      <c r="A150" s="48"/>
      <c r="B150" s="16"/>
      <c r="C150" s="19"/>
      <c r="D150" s="170"/>
    </row>
    <row r="151" spans="1:4" hidden="1" outlineLevel="3" x14ac:dyDescent="0.3">
      <c r="A151" s="48"/>
      <c r="B151" s="16"/>
      <c r="C151" s="19"/>
      <c r="D151" s="170"/>
    </row>
    <row r="152" spans="1:4" hidden="1" outlineLevel="3" x14ac:dyDescent="0.3">
      <c r="A152" s="48"/>
      <c r="B152" s="16"/>
      <c r="C152" s="19"/>
      <c r="D152" s="170"/>
    </row>
    <row r="153" spans="1:4" hidden="1" outlineLevel="3" x14ac:dyDescent="0.3">
      <c r="A153" s="48"/>
      <c r="B153" s="16"/>
      <c r="C153" s="19"/>
      <c r="D153" s="170"/>
    </row>
    <row r="154" spans="1:4" hidden="1" outlineLevel="3" x14ac:dyDescent="0.3">
      <c r="A154" s="48"/>
      <c r="B154" s="16"/>
      <c r="C154" s="19"/>
      <c r="D154" s="170"/>
    </row>
    <row r="155" spans="1:4" hidden="1" outlineLevel="3" x14ac:dyDescent="0.3">
      <c r="A155" s="48"/>
      <c r="B155" s="16"/>
      <c r="C155" s="19"/>
      <c r="D155" s="170"/>
    </row>
    <row r="156" spans="1:4" hidden="1" outlineLevel="3" x14ac:dyDescent="0.3">
      <c r="A156" s="48"/>
      <c r="B156" s="16"/>
      <c r="C156" s="19"/>
      <c r="D156" s="170"/>
    </row>
    <row r="157" spans="1:4" hidden="1" outlineLevel="3" x14ac:dyDescent="0.3">
      <c r="A157" s="48"/>
      <c r="B157" s="16"/>
      <c r="C157" s="19"/>
      <c r="D157" s="170"/>
    </row>
    <row r="158" spans="1:4" hidden="1" outlineLevel="3" x14ac:dyDescent="0.3">
      <c r="A158" s="48"/>
      <c r="B158" s="16"/>
      <c r="C158" s="19"/>
      <c r="D158" s="170"/>
    </row>
    <row r="159" spans="1:4" hidden="1" outlineLevel="3" x14ac:dyDescent="0.3">
      <c r="A159" s="48"/>
      <c r="B159" s="16"/>
      <c r="C159" s="19"/>
      <c r="D159" s="170"/>
    </row>
    <row r="160" spans="1:4" hidden="1" outlineLevel="3" x14ac:dyDescent="0.3">
      <c r="A160" s="48"/>
      <c r="B160" s="16"/>
      <c r="C160" s="19"/>
      <c r="D160" s="170"/>
    </row>
    <row r="161" spans="1:4" hidden="1" outlineLevel="3" x14ac:dyDescent="0.3">
      <c r="A161" s="48"/>
      <c r="B161" s="16"/>
      <c r="C161" s="19"/>
      <c r="D161" s="170"/>
    </row>
    <row r="162" spans="1:4" hidden="1" outlineLevel="3" x14ac:dyDescent="0.3">
      <c r="A162" s="48"/>
      <c r="B162" s="16"/>
      <c r="C162" s="19"/>
      <c r="D162" s="170"/>
    </row>
    <row r="163" spans="1:4" hidden="1" outlineLevel="3" x14ac:dyDescent="0.3">
      <c r="A163" s="48"/>
      <c r="B163" s="16"/>
      <c r="C163" s="19"/>
      <c r="D163" s="170"/>
    </row>
    <row r="164" spans="1:4" hidden="1" outlineLevel="3" x14ac:dyDescent="0.3">
      <c r="A164" s="48"/>
      <c r="B164" s="16"/>
      <c r="C164" s="19"/>
      <c r="D164" s="170"/>
    </row>
    <row r="165" spans="1:4" hidden="1" outlineLevel="3" x14ac:dyDescent="0.3">
      <c r="A165" s="48"/>
      <c r="B165" s="16"/>
      <c r="C165" s="19"/>
      <c r="D165" s="170"/>
    </row>
    <row r="166" spans="1:4" hidden="1" outlineLevel="3" x14ac:dyDescent="0.3">
      <c r="A166" s="48"/>
      <c r="B166" s="16"/>
      <c r="C166" s="19"/>
      <c r="D166" s="170"/>
    </row>
    <row r="167" spans="1:4" hidden="1" outlineLevel="3" x14ac:dyDescent="0.3">
      <c r="A167" s="48"/>
      <c r="B167" s="16"/>
      <c r="C167" s="19"/>
      <c r="D167" s="170"/>
    </row>
    <row r="168" spans="1:4" hidden="1" outlineLevel="3" x14ac:dyDescent="0.3">
      <c r="A168" s="48"/>
      <c r="B168" s="16"/>
      <c r="C168" s="19"/>
      <c r="D168" s="170"/>
    </row>
    <row r="169" spans="1:4" hidden="1" outlineLevel="3" x14ac:dyDescent="0.3">
      <c r="A169" s="48"/>
      <c r="B169" s="16"/>
      <c r="C169" s="19"/>
      <c r="D169" s="170"/>
    </row>
    <row r="170" spans="1:4" hidden="1" outlineLevel="3" x14ac:dyDescent="0.3">
      <c r="A170" s="48"/>
      <c r="B170" s="16"/>
      <c r="C170" s="19"/>
      <c r="D170" s="170"/>
    </row>
    <row r="171" spans="1:4" hidden="1" outlineLevel="3" x14ac:dyDescent="0.3">
      <c r="A171" s="48"/>
      <c r="B171" s="16"/>
      <c r="C171" s="19"/>
      <c r="D171" s="170"/>
    </row>
    <row r="172" spans="1:4" hidden="1" outlineLevel="3" x14ac:dyDescent="0.3">
      <c r="A172" s="48"/>
      <c r="B172" s="16"/>
      <c r="C172" s="19"/>
      <c r="D172" s="170"/>
    </row>
    <row r="173" spans="1:4" hidden="1" outlineLevel="3" x14ac:dyDescent="0.3">
      <c r="A173" s="48"/>
      <c r="B173" s="16"/>
      <c r="C173" s="19"/>
      <c r="D173" s="170"/>
    </row>
    <row r="174" spans="1:4" hidden="1" outlineLevel="3" x14ac:dyDescent="0.3">
      <c r="A174" s="48"/>
      <c r="B174" s="16"/>
      <c r="C174" s="19"/>
      <c r="D174" s="170"/>
    </row>
    <row r="175" spans="1:4" hidden="1" outlineLevel="3" x14ac:dyDescent="0.3">
      <c r="A175" s="48"/>
      <c r="B175" s="16"/>
      <c r="C175" s="19"/>
      <c r="D175" s="170"/>
    </row>
    <row r="176" spans="1:4" hidden="1" outlineLevel="3" x14ac:dyDescent="0.3">
      <c r="A176" s="48"/>
      <c r="B176" s="16"/>
      <c r="C176" s="19"/>
      <c r="D176" s="170"/>
    </row>
    <row r="177" spans="1:4" hidden="1" outlineLevel="3" x14ac:dyDescent="0.3">
      <c r="A177" s="48"/>
      <c r="B177" s="16"/>
      <c r="C177" s="19"/>
      <c r="D177" s="170"/>
    </row>
    <row r="178" spans="1:4" hidden="1" outlineLevel="3" x14ac:dyDescent="0.3">
      <c r="A178" s="48"/>
      <c r="B178" s="16"/>
      <c r="C178" s="19"/>
      <c r="D178" s="170"/>
    </row>
    <row r="179" spans="1:4" hidden="1" outlineLevel="3" x14ac:dyDescent="0.3">
      <c r="A179" s="48"/>
      <c r="B179" s="16"/>
      <c r="C179" s="19"/>
      <c r="D179" s="170"/>
    </row>
    <row r="180" spans="1:4" hidden="1" outlineLevel="3" x14ac:dyDescent="0.3">
      <c r="A180" s="48"/>
      <c r="B180" s="16"/>
      <c r="C180" s="19"/>
      <c r="D180" s="170"/>
    </row>
    <row r="181" spans="1:4" hidden="1" outlineLevel="3" x14ac:dyDescent="0.3">
      <c r="A181" s="48"/>
      <c r="B181" s="16"/>
      <c r="C181" s="19"/>
      <c r="D181" s="170"/>
    </row>
    <row r="182" spans="1:4" hidden="1" outlineLevel="3" x14ac:dyDescent="0.3">
      <c r="A182" s="48"/>
      <c r="B182" s="16"/>
      <c r="C182" s="19"/>
      <c r="D182" s="170"/>
    </row>
    <row r="183" spans="1:4" hidden="1" outlineLevel="3" x14ac:dyDescent="0.3">
      <c r="A183" s="48"/>
      <c r="B183" s="16"/>
      <c r="C183" s="19"/>
      <c r="D183" s="170"/>
    </row>
    <row r="184" spans="1:4" hidden="1" outlineLevel="3" x14ac:dyDescent="0.3">
      <c r="A184" s="48"/>
      <c r="B184" s="16"/>
      <c r="C184" s="19"/>
      <c r="D184" s="170"/>
    </row>
    <row r="185" spans="1:4" hidden="1" outlineLevel="2" x14ac:dyDescent="0.3">
      <c r="A185" s="59"/>
      <c r="B185" s="16"/>
      <c r="C185" s="19"/>
      <c r="D185" s="170"/>
    </row>
    <row r="186" spans="1:4" hidden="1" outlineLevel="3" x14ac:dyDescent="0.3">
      <c r="A186" s="48"/>
      <c r="B186" s="16"/>
      <c r="C186" s="19"/>
      <c r="D186" s="170"/>
    </row>
    <row r="187" spans="1:4" hidden="1" outlineLevel="3" x14ac:dyDescent="0.3">
      <c r="A187" s="48"/>
      <c r="B187" s="16"/>
      <c r="C187" s="19"/>
      <c r="D187" s="170"/>
    </row>
    <row r="188" spans="1:4" hidden="1" outlineLevel="3" x14ac:dyDescent="0.3">
      <c r="A188" s="48"/>
      <c r="B188" s="16"/>
      <c r="C188" s="19"/>
      <c r="D188" s="170"/>
    </row>
    <row r="189" spans="1:4" hidden="1" outlineLevel="3" x14ac:dyDescent="0.3">
      <c r="A189" s="48"/>
      <c r="B189" s="16"/>
      <c r="C189" s="19"/>
      <c r="D189" s="170"/>
    </row>
    <row r="190" spans="1:4" hidden="1" outlineLevel="3" x14ac:dyDescent="0.3">
      <c r="A190" s="48"/>
      <c r="B190" s="16"/>
      <c r="C190" s="19"/>
      <c r="D190" s="170"/>
    </row>
    <row r="191" spans="1:4" hidden="1" outlineLevel="3" x14ac:dyDescent="0.3">
      <c r="A191" s="48"/>
      <c r="B191" s="16"/>
      <c r="C191" s="19"/>
      <c r="D191" s="170"/>
    </row>
    <row r="192" spans="1:4" hidden="1" outlineLevel="3" x14ac:dyDescent="0.3">
      <c r="A192" s="48"/>
      <c r="B192" s="16"/>
      <c r="C192" s="19"/>
      <c r="D192" s="170"/>
    </row>
    <row r="193" spans="1:4" hidden="1" outlineLevel="3" x14ac:dyDescent="0.3">
      <c r="A193" s="48"/>
      <c r="B193" s="16"/>
      <c r="C193" s="19"/>
      <c r="D193" s="170"/>
    </row>
    <row r="194" spans="1:4" hidden="1" outlineLevel="3" x14ac:dyDescent="0.3">
      <c r="A194" s="48"/>
      <c r="B194" s="16"/>
      <c r="C194" s="19"/>
      <c r="D194" s="170"/>
    </row>
    <row r="195" spans="1:4" hidden="1" outlineLevel="3" x14ac:dyDescent="0.3">
      <c r="A195" s="48"/>
      <c r="B195" s="16"/>
      <c r="C195" s="19"/>
      <c r="D195" s="170"/>
    </row>
    <row r="196" spans="1:4" hidden="1" outlineLevel="3" x14ac:dyDescent="0.3">
      <c r="A196" s="48"/>
      <c r="B196" s="16"/>
      <c r="C196" s="19"/>
      <c r="D196" s="170"/>
    </row>
    <row r="197" spans="1:4" hidden="1" outlineLevel="3" x14ac:dyDescent="0.3">
      <c r="A197" s="48"/>
      <c r="B197" s="16"/>
      <c r="C197" s="19"/>
      <c r="D197" s="170"/>
    </row>
    <row r="198" spans="1:4" hidden="1" outlineLevel="3" x14ac:dyDescent="0.3">
      <c r="A198" s="48"/>
      <c r="B198" s="16"/>
      <c r="C198" s="19"/>
      <c r="D198" s="170"/>
    </row>
    <row r="199" spans="1:4" hidden="1" outlineLevel="3" x14ac:dyDescent="0.3">
      <c r="A199" s="48"/>
      <c r="B199" s="16"/>
      <c r="C199" s="19"/>
      <c r="D199" s="170"/>
    </row>
    <row r="200" spans="1:4" hidden="1" outlineLevel="3" x14ac:dyDescent="0.3">
      <c r="A200" s="48"/>
      <c r="B200" s="16"/>
      <c r="C200" s="19"/>
      <c r="D200" s="170"/>
    </row>
    <row r="201" spans="1:4" hidden="1" outlineLevel="2" x14ac:dyDescent="0.3">
      <c r="A201" s="59"/>
      <c r="B201" s="16"/>
      <c r="C201" s="19"/>
      <c r="D201" s="170"/>
    </row>
    <row r="202" spans="1:4" hidden="1" outlineLevel="3" x14ac:dyDescent="0.3">
      <c r="A202" s="48"/>
      <c r="B202" s="16"/>
      <c r="C202" s="19"/>
      <c r="D202" s="170"/>
    </row>
    <row r="203" spans="1:4" hidden="1" outlineLevel="3" x14ac:dyDescent="0.3">
      <c r="A203" s="48"/>
      <c r="B203" s="16"/>
      <c r="C203" s="19"/>
      <c r="D203" s="170"/>
    </row>
    <row r="204" spans="1:4" hidden="1" outlineLevel="3" x14ac:dyDescent="0.3">
      <c r="A204" s="48"/>
      <c r="B204" s="16"/>
      <c r="C204" s="19"/>
      <c r="D204" s="170"/>
    </row>
    <row r="205" spans="1:4" outlineLevel="2" x14ac:dyDescent="0.3">
      <c r="A205" s="48" t="str">
        <f>Базовый!A193</f>
        <v>Компьютерное оборудование</v>
      </c>
      <c r="B205" s="16" t="str">
        <f>Базовый!B193</f>
        <v>х</v>
      </c>
      <c r="C205" s="19" t="str">
        <f>Базовый!C193</f>
        <v>х</v>
      </c>
      <c r="D205" s="170"/>
    </row>
    <row r="206" spans="1:4" outlineLevel="3" x14ac:dyDescent="0.3">
      <c r="A206" s="48" t="str">
        <f>Базовый!A194</f>
        <v>Лазерный МФУ</v>
      </c>
      <c r="B206" s="16" t="str">
        <f>Базовый!B194</f>
        <v>шт.</v>
      </c>
      <c r="C206" s="19">
        <f>Базовый!C194</f>
        <v>4.6146746654360873E-3</v>
      </c>
      <c r="D206" s="170"/>
    </row>
    <row r="207" spans="1:4" outlineLevel="3" x14ac:dyDescent="0.3">
      <c r="A207" s="48" t="str">
        <f>Базовый!A195</f>
        <v>Ноутбук</v>
      </c>
      <c r="B207" s="16" t="str">
        <f>Базовый!B195</f>
        <v>шт.</v>
      </c>
      <c r="C207" s="19">
        <f>Базовый!C195</f>
        <v>4.6146746654360873E-3</v>
      </c>
      <c r="D207" s="170"/>
    </row>
    <row r="208" spans="1:4" outlineLevel="3" x14ac:dyDescent="0.3">
      <c r="A208" s="48" t="str">
        <f>Базовый!A196</f>
        <v>Системный блок</v>
      </c>
      <c r="B208" s="16" t="str">
        <f>Базовый!B196</f>
        <v>шт.</v>
      </c>
      <c r="C208" s="19">
        <f>Базовый!C196</f>
        <v>4.6146746654360873E-3</v>
      </c>
      <c r="D208" s="170"/>
    </row>
    <row r="209" spans="1:4" x14ac:dyDescent="0.3">
      <c r="A209" s="172" t="s">
        <v>364</v>
      </c>
      <c r="B209" s="172"/>
      <c r="C209" s="172"/>
      <c r="D209" s="172"/>
    </row>
    <row r="210" spans="1:4" outlineLevel="1" x14ac:dyDescent="0.3">
      <c r="A210" s="172" t="s">
        <v>365</v>
      </c>
      <c r="B210" s="172"/>
      <c r="C210" s="172"/>
      <c r="D210" s="172"/>
    </row>
    <row r="211" spans="1:4" outlineLevel="2" x14ac:dyDescent="0.3">
      <c r="A211" s="48" t="str">
        <f>Базовый!A199</f>
        <v>Теплоэнергия (город)</v>
      </c>
      <c r="B211" s="16" t="str">
        <f>Базовый!B199</f>
        <v>Гкал</v>
      </c>
      <c r="C211" s="19">
        <f>Базовый!C199</f>
        <v>2.8283574470733908</v>
      </c>
      <c r="D211" s="169" t="s">
        <v>414</v>
      </c>
    </row>
    <row r="212" spans="1:4" outlineLevel="2" x14ac:dyDescent="0.3">
      <c r="A212" s="48" t="str">
        <f>Базовый!A200</f>
        <v>Теплоэнергия в горячей воде</v>
      </c>
      <c r="B212" s="16" t="str">
        <f>Базовый!B200</f>
        <v>Гкал</v>
      </c>
      <c r="C212" s="19">
        <f>Базовый!C200</f>
        <v>0.15612409213123213</v>
      </c>
      <c r="D212" s="170"/>
    </row>
    <row r="213" spans="1:4" outlineLevel="2" x14ac:dyDescent="0.3">
      <c r="A213" s="48" t="str">
        <f>Базовый!A201</f>
        <v>Теплоноситель</v>
      </c>
      <c r="B213" s="16" t="str">
        <f>Базовый!B201</f>
        <v>м3</v>
      </c>
      <c r="C213" s="19">
        <f>Базовый!C201</f>
        <v>2.3661380504500134</v>
      </c>
      <c r="D213" s="170"/>
    </row>
    <row r="214" spans="1:4" outlineLevel="2" x14ac:dyDescent="0.3">
      <c r="A214" s="48" t="str">
        <f>Базовый!A202</f>
        <v>Электроэнергия</v>
      </c>
      <c r="B214" s="16" t="str">
        <f>Базовый!B202</f>
        <v>Квт*ч</v>
      </c>
      <c r="C214" s="19">
        <f>Базовый!C202</f>
        <v>229.20523552563728</v>
      </c>
      <c r="D214" s="170"/>
    </row>
    <row r="215" spans="1:4" outlineLevel="2" x14ac:dyDescent="0.3">
      <c r="A215" s="48" t="str">
        <f>Базовый!A203</f>
        <v>Холодное водоснабжение</v>
      </c>
      <c r="B215" s="16" t="str">
        <f>Базовый!B203</f>
        <v>м3</v>
      </c>
      <c r="C215" s="19">
        <f>Базовый!C203</f>
        <v>9.9994760348931244</v>
      </c>
      <c r="D215" s="170"/>
    </row>
    <row r="216" spans="1:4" outlineLevel="2" x14ac:dyDescent="0.3">
      <c r="A216" s="48" t="str">
        <f>Базовый!A204</f>
        <v>Водоотведение</v>
      </c>
      <c r="B216" s="16" t="str">
        <f>Базовый!B204</f>
        <v>м3</v>
      </c>
      <c r="C216" s="19">
        <f>Базовый!C204</f>
        <v>11.380734758842362</v>
      </c>
      <c r="D216" s="170"/>
    </row>
    <row r="217" spans="1:4" outlineLevel="2" x14ac:dyDescent="0.3">
      <c r="A217" s="48" t="str">
        <f>Базовый!A205</f>
        <v>Сбросы загрязнений</v>
      </c>
      <c r="B217" s="16" t="str">
        <f>Базовый!B205</f>
        <v>м3</v>
      </c>
      <c r="C217" s="19">
        <f>Базовый!C205</f>
        <v>7.107203979593355</v>
      </c>
      <c r="D217" s="171"/>
    </row>
    <row r="218" spans="1:4" outlineLevel="1" x14ac:dyDescent="0.3">
      <c r="A218" s="172" t="s">
        <v>366</v>
      </c>
      <c r="B218" s="172"/>
      <c r="C218" s="172"/>
      <c r="D218" s="172"/>
    </row>
    <row r="219" spans="1:4" outlineLevel="2" x14ac:dyDescent="0.3">
      <c r="A219" s="48" t="str">
        <f>Базовый!A207</f>
        <v>Дератизация</v>
      </c>
      <c r="B219" s="16" t="str">
        <f>Базовый!B207</f>
        <v>м2</v>
      </c>
      <c r="C219" s="19">
        <f>Базовый!C207</f>
        <v>1.1075219197046609</v>
      </c>
      <c r="D219" s="169" t="s">
        <v>414</v>
      </c>
    </row>
    <row r="220" spans="1:4" outlineLevel="2" x14ac:dyDescent="0.3">
      <c r="A220" s="48" t="str">
        <f>Базовый!A208</f>
        <v>Дезинсекция</v>
      </c>
      <c r="B220" s="16" t="str">
        <f>Базовый!B208</f>
        <v>м2</v>
      </c>
      <c r="C220" s="19">
        <f>Базовый!C208</f>
        <v>1.1075219197046609</v>
      </c>
      <c r="D220" s="170"/>
    </row>
    <row r="221" spans="1:4" outlineLevel="2" x14ac:dyDescent="0.3">
      <c r="A221" s="48" t="str">
        <f>Базовый!A209</f>
        <v>Дезинфекция</v>
      </c>
      <c r="B221" s="16" t="str">
        <f>Базовый!B209</f>
        <v>м2</v>
      </c>
      <c r="C221" s="19">
        <f>Базовый!C209</f>
        <v>0.50761421319796962</v>
      </c>
      <c r="D221" s="170"/>
    </row>
    <row r="222" spans="1:4" outlineLevel="2" x14ac:dyDescent="0.3">
      <c r="A222" s="48" t="str">
        <f>Базовый!A210</f>
        <v>ТО КТС</v>
      </c>
      <c r="B222" s="16" t="str">
        <f>Базовый!B210</f>
        <v>усл. ед.</v>
      </c>
      <c r="C222" s="19">
        <f>Базовый!C210</f>
        <v>4.6146746654360873E-3</v>
      </c>
      <c r="D222" s="170"/>
    </row>
    <row r="223" spans="1:4" outlineLevel="2" x14ac:dyDescent="0.3">
      <c r="A223" s="48" t="str">
        <f>Базовый!A211</f>
        <v>Охрана КТС</v>
      </c>
      <c r="B223" s="16" t="str">
        <f>Базовый!B211</f>
        <v>усл. ед.</v>
      </c>
      <c r="C223" s="19">
        <f>Базовый!C211</f>
        <v>40.424550069220125</v>
      </c>
      <c r="D223" s="170"/>
    </row>
    <row r="224" spans="1:4" outlineLevel="2" x14ac:dyDescent="0.3">
      <c r="A224" s="48" t="str">
        <f>Базовый!A212</f>
        <v>Пожарная охрана</v>
      </c>
      <c r="B224" s="16" t="str">
        <f>Базовый!B212</f>
        <v>усл. ед.</v>
      </c>
      <c r="C224" s="19">
        <f>Базовый!C212</f>
        <v>40.424550069220125</v>
      </c>
      <c r="D224" s="170"/>
    </row>
    <row r="225" spans="1:4" outlineLevel="2" x14ac:dyDescent="0.3">
      <c r="A225" s="48" t="str">
        <f>Базовый!A213</f>
        <v>Охрана при помощи ОС</v>
      </c>
      <c r="B225" s="16" t="str">
        <f>Базовый!B213</f>
        <v>усл. ед.</v>
      </c>
      <c r="C225" s="19">
        <f>Базовый!C213</f>
        <v>80.849100138440249</v>
      </c>
      <c r="D225" s="170"/>
    </row>
    <row r="226" spans="1:4" ht="26" outlineLevel="2" x14ac:dyDescent="0.3">
      <c r="A226" s="48" t="str">
        <f>Базовый!A214</f>
        <v>ТО автоматизированного теплового пункта</v>
      </c>
      <c r="B226" s="16" t="str">
        <f>Базовый!B214</f>
        <v>усл. ед.</v>
      </c>
      <c r="C226" s="19">
        <f>Базовый!C214</f>
        <v>4.6146746654360873E-3</v>
      </c>
      <c r="D226" s="170"/>
    </row>
    <row r="227" spans="1:4" outlineLevel="2" x14ac:dyDescent="0.3">
      <c r="A227" s="48" t="str">
        <f>Базовый!A215</f>
        <v>ТО приборов учета тепловой энергии</v>
      </c>
      <c r="B227" s="16" t="str">
        <f>Базовый!B215</f>
        <v>усл. ед.</v>
      </c>
      <c r="C227" s="19">
        <f>Базовый!C215</f>
        <v>4.6146746654360873E-3</v>
      </c>
      <c r="D227" s="170"/>
    </row>
    <row r="228" spans="1:4" outlineLevel="2" x14ac:dyDescent="0.3">
      <c r="A228" s="48" t="str">
        <f>Базовый!A216</f>
        <v>Вывоз ТБО</v>
      </c>
      <c r="B228" s="16" t="str">
        <f>Базовый!B216</f>
        <v>м3</v>
      </c>
      <c r="C228" s="19">
        <f>Базовый!C216</f>
        <v>0.66109829257037378</v>
      </c>
      <c r="D228" s="170"/>
    </row>
    <row r="229" spans="1:4" outlineLevel="2" x14ac:dyDescent="0.3">
      <c r="A229" s="48" t="str">
        <f>Базовый!A217</f>
        <v>ТО пожарной сигнализации</v>
      </c>
      <c r="B229" s="16" t="str">
        <f>Базовый!B217</f>
        <v>усл. ед.</v>
      </c>
      <c r="C229" s="19">
        <f>Базовый!C217</f>
        <v>4.6146746654360873E-3</v>
      </c>
      <c r="D229" s="170"/>
    </row>
    <row r="230" spans="1:4" outlineLevel="2" x14ac:dyDescent="0.3">
      <c r="A230" s="48" t="str">
        <f>Базовый!A218</f>
        <v>Обработка чердачных перекрытий</v>
      </c>
      <c r="B230" s="16" t="str">
        <f>Базовый!B218</f>
        <v>м2</v>
      </c>
      <c r="C230" s="19">
        <f>Базовый!C218</f>
        <v>0</v>
      </c>
      <c r="D230" s="170"/>
    </row>
    <row r="231" spans="1:4" outlineLevel="2" x14ac:dyDescent="0.3">
      <c r="A231" s="48" t="str">
        <f>Базовый!A219</f>
        <v>Прочистка канализации</v>
      </c>
      <c r="B231" s="16" t="str">
        <f>Базовый!B219</f>
        <v>усл. ед.</v>
      </c>
      <c r="C231" s="19">
        <f>Базовый!C219</f>
        <v>0</v>
      </c>
      <c r="D231" s="170"/>
    </row>
    <row r="232" spans="1:4" ht="26" outlineLevel="2" x14ac:dyDescent="0.3">
      <c r="A232" s="48" t="str">
        <f>Базовый!A220</f>
        <v>Проверка качества огнезащитной пропитки</v>
      </c>
      <c r="B232" s="16" t="str">
        <f>Базовый!B220</f>
        <v>усл. ед.</v>
      </c>
      <c r="C232" s="19">
        <f>Базовый!C220</f>
        <v>9.2293493308721747E-3</v>
      </c>
      <c r="D232" s="170"/>
    </row>
    <row r="233" spans="1:4" outlineLevel="2" x14ac:dyDescent="0.3">
      <c r="A233" s="48" t="str">
        <f>Базовый!A221</f>
        <v>Замеры сопротивления изоляции</v>
      </c>
      <c r="B233" s="16" t="str">
        <f>Базовый!B221</f>
        <v>усл. ед.</v>
      </c>
      <c r="C233" s="19">
        <f>Базовый!C221</f>
        <v>0</v>
      </c>
      <c r="D233" s="170"/>
    </row>
    <row r="234" spans="1:4" outlineLevel="1" x14ac:dyDescent="0.3">
      <c r="A234" s="172" t="s">
        <v>367</v>
      </c>
      <c r="B234" s="172"/>
      <c r="C234" s="172"/>
      <c r="D234" s="172"/>
    </row>
    <row r="235" spans="1:4" outlineLevel="2" x14ac:dyDescent="0.3">
      <c r="A235" s="48" t="str">
        <f>Базовый!A223</f>
        <v>Ремонт МФУ</v>
      </c>
      <c r="B235" s="16" t="str">
        <f>Базовый!B223</f>
        <v>шт.</v>
      </c>
      <c r="C235" s="19">
        <f>Базовый!C223</f>
        <v>4.6146746654360873E-3</v>
      </c>
      <c r="D235" s="169" t="s">
        <v>414</v>
      </c>
    </row>
    <row r="236" spans="1:4" outlineLevel="2" x14ac:dyDescent="0.3">
      <c r="A236" s="48" t="str">
        <f>Базовый!A224</f>
        <v>Огнезащитная обработка веранд</v>
      </c>
      <c r="B236" s="16" t="str">
        <f>Базовый!B224</f>
        <v>м2</v>
      </c>
      <c r="C236" s="19">
        <f>Базовый!C224</f>
        <v>0</v>
      </c>
      <c r="D236" s="171"/>
    </row>
    <row r="237" spans="1:4" outlineLevel="1" x14ac:dyDescent="0.3">
      <c r="A237" s="172" t="s">
        <v>368</v>
      </c>
      <c r="B237" s="172"/>
      <c r="C237" s="172"/>
      <c r="D237" s="172"/>
    </row>
    <row r="238" spans="1:4" outlineLevel="2" x14ac:dyDescent="0.3">
      <c r="A238" s="48" t="str">
        <f>Базовый!A226</f>
        <v>Ростелеком внутризоновая связь</v>
      </c>
      <c r="B238" s="16" t="str">
        <f>Базовый!B226</f>
        <v>усл. ед.</v>
      </c>
      <c r="C238" s="19">
        <f>Базовый!C226</f>
        <v>4.6146746654360873E-3</v>
      </c>
      <c r="D238" s="169" t="s">
        <v>414</v>
      </c>
    </row>
    <row r="239" spans="1:4" outlineLevel="2" x14ac:dyDescent="0.3">
      <c r="A239" s="48" t="str">
        <f>Базовый!A227</f>
        <v>Ростелеком интернет</v>
      </c>
      <c r="B239" s="16" t="str">
        <f>Базовый!B227</f>
        <v>усл. ед.</v>
      </c>
      <c r="C239" s="19">
        <f>Базовый!C227</f>
        <v>4.6146746654360873E-3</v>
      </c>
      <c r="D239" s="171"/>
    </row>
    <row r="240" spans="1:4" outlineLevel="1" x14ac:dyDescent="0.3">
      <c r="A240" s="172" t="s">
        <v>369</v>
      </c>
      <c r="B240" s="172"/>
      <c r="C240" s="172"/>
      <c r="D240" s="172"/>
    </row>
    <row r="241" spans="1:4" ht="26" outlineLevel="2" x14ac:dyDescent="0.3">
      <c r="A241" s="48"/>
      <c r="B241" s="48"/>
      <c r="C241" s="48"/>
      <c r="D241" s="48" t="s">
        <v>414</v>
      </c>
    </row>
    <row r="242" spans="1:4" outlineLevel="1" x14ac:dyDescent="0.3">
      <c r="A242" s="172" t="s">
        <v>370</v>
      </c>
      <c r="B242" s="172"/>
      <c r="C242" s="172"/>
      <c r="D242" s="172"/>
    </row>
    <row r="243" spans="1:4" outlineLevel="2" x14ac:dyDescent="0.3">
      <c r="A243" s="55"/>
      <c r="B243" s="16"/>
      <c r="C243" s="19"/>
      <c r="D243" s="48"/>
    </row>
    <row r="244" spans="1:4" outlineLevel="2" x14ac:dyDescent="0.3">
      <c r="A244" s="55"/>
      <c r="B244" s="16"/>
      <c r="C244" s="19"/>
      <c r="D244" s="48"/>
    </row>
    <row r="245" spans="1:4" outlineLevel="1" x14ac:dyDescent="0.3">
      <c r="A245" s="172" t="s">
        <v>371</v>
      </c>
      <c r="B245" s="172"/>
      <c r="C245" s="172"/>
      <c r="D245" s="172"/>
    </row>
    <row r="246" spans="1:4" outlineLevel="2" x14ac:dyDescent="0.3">
      <c r="A246" s="55"/>
      <c r="B246" s="16"/>
      <c r="C246" s="19"/>
      <c r="D246" s="169" t="s">
        <v>414</v>
      </c>
    </row>
    <row r="247" spans="1:4" outlineLevel="2" x14ac:dyDescent="0.3">
      <c r="A247" s="55"/>
      <c r="B247" s="16"/>
      <c r="C247" s="19"/>
      <c r="D247" s="170"/>
    </row>
    <row r="248" spans="1:4" outlineLevel="2" x14ac:dyDescent="0.3">
      <c r="A248" s="55"/>
      <c r="B248" s="16"/>
      <c r="C248" s="19"/>
      <c r="D248" s="170"/>
    </row>
    <row r="249" spans="1:4" outlineLevel="2" x14ac:dyDescent="0.3">
      <c r="A249" s="48" t="str">
        <f>Базовый!A237</f>
        <v>Проверка пожарных кранов</v>
      </c>
      <c r="B249" s="16" t="str">
        <f>Базовый!B237</f>
        <v>усл</v>
      </c>
      <c r="C249" s="19">
        <f>Базовый!C237</f>
        <v>0</v>
      </c>
      <c r="D249" s="170"/>
    </row>
    <row r="250" spans="1:4" outlineLevel="2" x14ac:dyDescent="0.3">
      <c r="A250" s="48" t="str">
        <f>Базовый!A238</f>
        <v>Испытание пожарного рукава</v>
      </c>
      <c r="B250" s="16" t="str">
        <f>Базовый!B238</f>
        <v>шт.</v>
      </c>
      <c r="C250" s="19">
        <f>Базовый!C238</f>
        <v>0</v>
      </c>
      <c r="D250" s="170"/>
    </row>
    <row r="251" spans="1:4" outlineLevel="2" x14ac:dyDescent="0.3">
      <c r="A251" s="48" t="str">
        <f>Базовый!A239</f>
        <v>Испытание пожарного крана</v>
      </c>
      <c r="B251" s="16" t="str">
        <f>Базовый!B239</f>
        <v>шт.</v>
      </c>
      <c r="C251" s="19">
        <f>Базовый!C239</f>
        <v>0</v>
      </c>
      <c r="D251" s="170"/>
    </row>
    <row r="252" spans="1:4" outlineLevel="2" x14ac:dyDescent="0.3">
      <c r="A252" s="48" t="str">
        <f>Базовый!A240</f>
        <v>Перемотка рукава на другое ребро</v>
      </c>
      <c r="B252" s="16" t="str">
        <f>Базовый!B240</f>
        <v>шт.</v>
      </c>
      <c r="C252" s="19">
        <f>Базовый!C240</f>
        <v>0</v>
      </c>
      <c r="D252" s="170"/>
    </row>
    <row r="253" spans="1:4" outlineLevel="2" x14ac:dyDescent="0.3">
      <c r="A253" s="48" t="str">
        <f>Базовый!A241</f>
        <v>Огнетушители</v>
      </c>
      <c r="B253" s="16" t="str">
        <f>Базовый!B241</f>
        <v>шт.</v>
      </c>
      <c r="C253" s="19">
        <f>Базовый!C241</f>
        <v>0</v>
      </c>
      <c r="D253" s="170"/>
    </row>
    <row r="254" spans="1:4" ht="26" outlineLevel="2" x14ac:dyDescent="0.3">
      <c r="A254" s="48" t="str">
        <f>Базовый!A242</f>
        <v>Поверка и ТО весы настольные циферблатные</v>
      </c>
      <c r="B254" s="16" t="str">
        <f>Базовый!B242</f>
        <v>шт.</v>
      </c>
      <c r="C254" s="19">
        <f>Базовый!C242</f>
        <v>0</v>
      </c>
      <c r="D254" s="170"/>
    </row>
    <row r="255" spans="1:4" ht="26" outlineLevel="2" x14ac:dyDescent="0.3">
      <c r="A255" s="48" t="str">
        <f>Базовый!A243</f>
        <v>Поверка и ТО весы электронные торговые</v>
      </c>
      <c r="B255" s="16" t="str">
        <f>Базовый!B243</f>
        <v>шт.</v>
      </c>
      <c r="C255" s="19">
        <f>Базовый!C243</f>
        <v>0</v>
      </c>
      <c r="D255" s="170"/>
    </row>
    <row r="256" spans="1:4" outlineLevel="2" x14ac:dyDescent="0.3">
      <c r="A256" s="48" t="str">
        <f>Базовый!A244</f>
        <v>Поверка и ТО весы медицинские</v>
      </c>
      <c r="B256" s="16" t="str">
        <f>Базовый!B244</f>
        <v>шт.</v>
      </c>
      <c r="C256" s="19">
        <f>Базовый!C244</f>
        <v>0</v>
      </c>
      <c r="D256" s="170"/>
    </row>
    <row r="257" spans="1:4" ht="39" outlineLevel="2" x14ac:dyDescent="0.3">
      <c r="A257" s="48" t="str">
        <f>Базовый!A245</f>
        <v>Поверка и ТО весы напольные медицинские электронные ВМЭН 150</v>
      </c>
      <c r="B257" s="16" t="str">
        <f>Базовый!B245</f>
        <v>шт.</v>
      </c>
      <c r="C257" s="19">
        <f>Базовый!C245</f>
        <v>0</v>
      </c>
      <c r="D257" s="170"/>
    </row>
    <row r="258" spans="1:4" ht="26" outlineLevel="2" x14ac:dyDescent="0.3">
      <c r="A258" s="48" t="str">
        <f>Базовый!A246</f>
        <v>Поверка и ТО весы электронные длястатистического взвешивания</v>
      </c>
      <c r="B258" s="16" t="str">
        <f>Базовый!B246</f>
        <v>шт.</v>
      </c>
      <c r="C258" s="19">
        <f>Базовый!C246</f>
        <v>0</v>
      </c>
      <c r="D258" s="170"/>
    </row>
    <row r="259" spans="1:4" ht="26" outlineLevel="2" x14ac:dyDescent="0.3">
      <c r="A259" s="48" t="str">
        <f>Базовый!A247</f>
        <v>Поверка и ТО весы механические для статистического взвешивания</v>
      </c>
      <c r="B259" s="16" t="str">
        <f>Базовый!B247</f>
        <v>шт.</v>
      </c>
      <c r="C259" s="19">
        <f>Базовый!C247</f>
        <v>0</v>
      </c>
      <c r="D259" s="170"/>
    </row>
    <row r="260" spans="1:4" ht="26" outlineLevel="2" x14ac:dyDescent="0.3">
      <c r="A260" s="48" t="str">
        <f>Базовый!A248</f>
        <v>Поверка и ТО гири общего назначения</v>
      </c>
      <c r="B260" s="16" t="str">
        <f>Базовый!B248</f>
        <v>шт.</v>
      </c>
      <c r="C260" s="19">
        <f>Базовый!C248</f>
        <v>0</v>
      </c>
      <c r="D260" s="170"/>
    </row>
    <row r="261" spans="1:4" ht="26" outlineLevel="2" x14ac:dyDescent="0.3">
      <c r="A261" s="48" t="str">
        <f>Базовый!A249</f>
        <v>Поверка динамометры медицинские кистевые механические</v>
      </c>
      <c r="B261" s="16" t="str">
        <f>Базовый!B249</f>
        <v>шт.</v>
      </c>
      <c r="C261" s="19">
        <f>Базовый!C249</f>
        <v>0</v>
      </c>
      <c r="D261" s="170"/>
    </row>
    <row r="262" spans="1:4" ht="26" outlineLevel="2" x14ac:dyDescent="0.3">
      <c r="A262" s="48" t="str">
        <f>Базовый!A250</f>
        <v>Метрологическая аттестация узлов учета</v>
      </c>
      <c r="B262" s="16" t="str">
        <f>Базовый!B250</f>
        <v>усл. ед.</v>
      </c>
      <c r="C262" s="19">
        <f>Базовый!C250</f>
        <v>0</v>
      </c>
      <c r="D262" s="170"/>
    </row>
    <row r="263" spans="1:4" outlineLevel="2" x14ac:dyDescent="0.3">
      <c r="A263" s="48" t="str">
        <f>Базовый!A251</f>
        <v>Ткань на половые тряпки</v>
      </c>
      <c r="B263" s="16" t="str">
        <f>Базовый!B251</f>
        <v>м</v>
      </c>
      <c r="C263" s="19">
        <f>Базовый!C251</f>
        <v>0</v>
      </c>
      <c r="D263" s="170"/>
    </row>
    <row r="264" spans="1:4" outlineLevel="2" x14ac:dyDescent="0.3">
      <c r="A264" s="48" t="str">
        <f>Базовый!A252</f>
        <v>Рукавицы ватные</v>
      </c>
      <c r="B264" s="16" t="str">
        <f>Базовый!B252</f>
        <v>пар.</v>
      </c>
      <c r="C264" s="19">
        <f>Базовый!C252</f>
        <v>0</v>
      </c>
      <c r="D264" s="170"/>
    </row>
    <row r="265" spans="1:4" outlineLevel="2" x14ac:dyDescent="0.3">
      <c r="A265" s="48" t="str">
        <f>Базовый!A253</f>
        <v>Перчатки обливные</v>
      </c>
      <c r="B265" s="16" t="str">
        <f>Базовый!B253</f>
        <v>пар.</v>
      </c>
      <c r="C265" s="19">
        <f>Базовый!C253</f>
        <v>0</v>
      </c>
      <c r="D265" s="170"/>
    </row>
    <row r="266" spans="1:4" outlineLevel="2" x14ac:dyDescent="0.3">
      <c r="A266" s="48" t="str">
        <f>Базовый!A254</f>
        <v>Ведро пластик</v>
      </c>
      <c r="B266" s="16" t="str">
        <f>Базовый!B254</f>
        <v>шт.</v>
      </c>
      <c r="C266" s="19">
        <f>Базовый!C254</f>
        <v>0</v>
      </c>
      <c r="D266" s="170"/>
    </row>
    <row r="267" spans="1:4" outlineLevel="2" x14ac:dyDescent="0.3">
      <c r="A267" s="48" t="str">
        <f>Базовый!A255</f>
        <v>Перчатки хозяйственные</v>
      </c>
      <c r="B267" s="16" t="str">
        <f>Базовый!B255</f>
        <v>пар.</v>
      </c>
      <c r="C267" s="19">
        <f>Базовый!C255</f>
        <v>0</v>
      </c>
      <c r="D267" s="170"/>
    </row>
    <row r="268" spans="1:4" outlineLevel="2" x14ac:dyDescent="0.3">
      <c r="A268" s="48" t="str">
        <f>Базовый!A256</f>
        <v>Лопата</v>
      </c>
      <c r="B268" s="16" t="str">
        <f>Базовый!B256</f>
        <v>шт.</v>
      </c>
      <c r="C268" s="19">
        <f>Базовый!C256</f>
        <v>0</v>
      </c>
      <c r="D268" s="170"/>
    </row>
    <row r="269" spans="1:4" outlineLevel="2" x14ac:dyDescent="0.3">
      <c r="A269" s="48" t="str">
        <f>Базовый!A257</f>
        <v>Метла</v>
      </c>
      <c r="B269" s="16" t="str">
        <f>Базовый!B257</f>
        <v>шт.</v>
      </c>
      <c r="C269" s="19">
        <f>Базовый!C257</f>
        <v>0</v>
      </c>
      <c r="D269" s="170"/>
    </row>
    <row r="270" spans="1:4" outlineLevel="2" x14ac:dyDescent="0.3">
      <c r="A270" s="48" t="str">
        <f>Базовый!A258</f>
        <v>Движок для снега</v>
      </c>
      <c r="B270" s="16" t="str">
        <f>Базовый!B258</f>
        <v>шт.</v>
      </c>
      <c r="C270" s="19">
        <f>Базовый!C258</f>
        <v>0</v>
      </c>
      <c r="D270" s="170"/>
    </row>
    <row r="271" spans="1:4" outlineLevel="2" x14ac:dyDescent="0.3">
      <c r="A271" s="48" t="str">
        <f>Базовый!A259</f>
        <v>Веник</v>
      </c>
      <c r="B271" s="16" t="str">
        <f>Базовый!B259</f>
        <v>шт.</v>
      </c>
      <c r="C271" s="19">
        <f>Базовый!C259</f>
        <v>0</v>
      </c>
      <c r="D271" s="170"/>
    </row>
    <row r="272" spans="1:4" outlineLevel="2" x14ac:dyDescent="0.3">
      <c r="A272" s="48" t="str">
        <f>Базовый!A260</f>
        <v>Скребок для льда</v>
      </c>
      <c r="B272" s="16" t="str">
        <f>Базовый!B260</f>
        <v>шт.</v>
      </c>
      <c r="C272" s="19">
        <f>Базовый!C260</f>
        <v>0</v>
      </c>
      <c r="D272" s="170"/>
    </row>
    <row r="273" spans="1:4" outlineLevel="2" x14ac:dyDescent="0.3">
      <c r="A273" s="48" t="str">
        <f>Базовый!A261</f>
        <v>Грабли</v>
      </c>
      <c r="B273" s="16" t="str">
        <f>Базовый!B261</f>
        <v>шт.</v>
      </c>
      <c r="C273" s="19">
        <f>Базовый!C261</f>
        <v>0</v>
      </c>
      <c r="D273" s="170"/>
    </row>
    <row r="274" spans="1:4" outlineLevel="2" x14ac:dyDescent="0.3">
      <c r="A274" s="48" t="str">
        <f>Базовый!A262</f>
        <v>Тачка садовая</v>
      </c>
      <c r="B274" s="16" t="str">
        <f>Базовый!B262</f>
        <v>шт.</v>
      </c>
      <c r="C274" s="19">
        <f>Базовый!C262</f>
        <v>0</v>
      </c>
      <c r="D274" s="170"/>
    </row>
    <row r="275" spans="1:4" outlineLevel="2" x14ac:dyDescent="0.3">
      <c r="A275" s="48" t="str">
        <f>Базовый!A263</f>
        <v>Ерш унитазный</v>
      </c>
      <c r="B275" s="16" t="str">
        <f>Базовый!B263</f>
        <v>шт.</v>
      </c>
      <c r="C275" s="19">
        <f>Базовый!C263</f>
        <v>0</v>
      </c>
      <c r="D275" s="170"/>
    </row>
    <row r="276" spans="1:4" outlineLevel="2" x14ac:dyDescent="0.3">
      <c r="A276" s="48" t="str">
        <f>Базовый!A264</f>
        <v>Швабра деревянная в сборе</v>
      </c>
      <c r="B276" s="16" t="str">
        <f>Базовый!B264</f>
        <v>шт.</v>
      </c>
      <c r="C276" s="19">
        <f>Базовый!C264</f>
        <v>0</v>
      </c>
      <c r="D276" s="170"/>
    </row>
    <row r="277" spans="1:4" outlineLevel="2" x14ac:dyDescent="0.3">
      <c r="A277" s="48" t="str">
        <f>Базовый!A265</f>
        <v>Ведро эмалированное 12л с крышкой</v>
      </c>
      <c r="B277" s="16" t="str">
        <f>Базовый!B265</f>
        <v>шт.</v>
      </c>
      <c r="C277" s="19">
        <f>Базовый!C265</f>
        <v>0</v>
      </c>
      <c r="D277" s="170"/>
    </row>
    <row r="278" spans="1:4" outlineLevel="2" x14ac:dyDescent="0.3">
      <c r="A278" s="48" t="str">
        <f>Базовый!A266</f>
        <v>Ведро 10л</v>
      </c>
      <c r="B278" s="16" t="str">
        <f>Базовый!B266</f>
        <v>шт.</v>
      </c>
      <c r="C278" s="19">
        <f>Базовый!C266</f>
        <v>0</v>
      </c>
      <c r="D278" s="170"/>
    </row>
    <row r="279" spans="1:4" x14ac:dyDescent="0.3">
      <c r="A279" s="8"/>
    </row>
    <row r="280" spans="1:4" ht="37.5" customHeight="1" x14ac:dyDescent="0.3">
      <c r="A280" s="8" t="s">
        <v>372</v>
      </c>
      <c r="B280" s="56"/>
      <c r="C280" s="56"/>
    </row>
    <row r="281" spans="1:4" ht="17.25" customHeight="1" x14ac:dyDescent="0.3">
      <c r="A281" s="173" t="s">
        <v>373</v>
      </c>
      <c r="B281" s="173"/>
      <c r="C281" s="173"/>
      <c r="D281" s="173"/>
    </row>
    <row r="282" spans="1:4" ht="44.25" customHeight="1" x14ac:dyDescent="0.3">
      <c r="A282" s="173" t="s">
        <v>374</v>
      </c>
      <c r="B282" s="173"/>
      <c r="C282" s="173"/>
      <c r="D282" s="173"/>
    </row>
    <row r="283" spans="1:4" ht="42.75" customHeight="1" x14ac:dyDescent="0.3">
      <c r="A283" s="173" t="s">
        <v>374</v>
      </c>
      <c r="B283" s="173"/>
      <c r="C283" s="173"/>
      <c r="D283" s="173"/>
    </row>
    <row r="284" spans="1:4" ht="19.899999999999999" customHeight="1" x14ac:dyDescent="0.3">
      <c r="A284" s="173" t="s">
        <v>375</v>
      </c>
      <c r="B284" s="173"/>
      <c r="C284" s="173"/>
      <c r="D284" s="173"/>
    </row>
    <row r="285" spans="1:4" ht="36.65" customHeight="1" x14ac:dyDescent="0.3">
      <c r="A285" s="173" t="s">
        <v>376</v>
      </c>
      <c r="B285" s="173"/>
      <c r="C285" s="173"/>
      <c r="D285" s="173"/>
    </row>
  </sheetData>
  <autoFilter ref="A10:D242">
    <filterColumn colId="0">
      <customFilters>
        <customFilter operator="notEqual" val=" "/>
      </customFilters>
    </filterColumn>
  </autoFilter>
  <mergeCells count="33">
    <mergeCell ref="A245:D245"/>
    <mergeCell ref="D246:D278"/>
    <mergeCell ref="D235:D236"/>
    <mergeCell ref="A234:D234"/>
    <mergeCell ref="A237:D237"/>
    <mergeCell ref="D238:D239"/>
    <mergeCell ref="A240:D240"/>
    <mergeCell ref="A242:D242"/>
    <mergeCell ref="A285:D285"/>
    <mergeCell ref="A281:D281"/>
    <mergeCell ref="A282:D282"/>
    <mergeCell ref="A283:D283"/>
    <mergeCell ref="A284:D284"/>
    <mergeCell ref="D219:D233"/>
    <mergeCell ref="D17:D19"/>
    <mergeCell ref="A111:D111"/>
    <mergeCell ref="D112:D208"/>
    <mergeCell ref="A20:D20"/>
    <mergeCell ref="D21:D110"/>
    <mergeCell ref="A209:D209"/>
    <mergeCell ref="A210:D210"/>
    <mergeCell ref="D211:D217"/>
    <mergeCell ref="A218:D218"/>
    <mergeCell ref="A16:D16"/>
    <mergeCell ref="A12:D12"/>
    <mergeCell ref="A13:D13"/>
    <mergeCell ref="A14:D14"/>
    <mergeCell ref="A4:D4"/>
    <mergeCell ref="A5:D5"/>
    <mergeCell ref="A6:D6"/>
    <mergeCell ref="A7:D7"/>
    <mergeCell ref="A15:D15"/>
    <mergeCell ref="A11:D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02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75"/>
  <sheetViews>
    <sheetView view="pageBreakPreview" zoomScale="85" zoomScaleNormal="100" zoomScaleSheetLayoutView="85" workbookViewId="0">
      <pane ySplit="8" topLeftCell="A9" activePane="bottomLeft" state="frozen"/>
      <selection activeCell="D246" sqref="D246:D278"/>
      <selection pane="bottomLeft" activeCell="A236" sqref="A236:D236"/>
    </sheetView>
  </sheetViews>
  <sheetFormatPr defaultColWidth="9.1796875" defaultRowHeight="13" outlineLevelRow="3" x14ac:dyDescent="0.35"/>
  <cols>
    <col min="1" max="6" width="25.7265625" style="34" customWidth="1"/>
    <col min="7" max="16384" width="9.1796875" style="34"/>
  </cols>
  <sheetData>
    <row r="1" spans="1:6" x14ac:dyDescent="0.35">
      <c r="A1" s="49"/>
      <c r="F1" s="50" t="s">
        <v>377</v>
      </c>
    </row>
    <row r="2" spans="1:6" ht="14.5" customHeight="1" x14ac:dyDescent="0.35">
      <c r="A2" s="49"/>
      <c r="F2" s="15" t="s">
        <v>378</v>
      </c>
    </row>
    <row r="3" spans="1:6" x14ac:dyDescent="0.35">
      <c r="A3" s="51"/>
    </row>
    <row r="4" spans="1:6" x14ac:dyDescent="0.35">
      <c r="A4" s="174" t="s">
        <v>379</v>
      </c>
      <c r="B4" s="174"/>
      <c r="C4" s="174"/>
      <c r="D4" s="174"/>
      <c r="E4" s="174"/>
      <c r="F4" s="174"/>
    </row>
    <row r="5" spans="1:6" x14ac:dyDescent="0.35">
      <c r="A5" s="174" t="s">
        <v>380</v>
      </c>
      <c r="B5" s="174"/>
      <c r="C5" s="174"/>
      <c r="D5" s="174"/>
      <c r="E5" s="174"/>
      <c r="F5" s="174"/>
    </row>
    <row r="6" spans="1:6" x14ac:dyDescent="0.35">
      <c r="A6" s="51"/>
    </row>
    <row r="7" spans="1:6" ht="26" x14ac:dyDescent="0.35">
      <c r="A7" s="16" t="s">
        <v>0</v>
      </c>
      <c r="B7" s="16" t="s">
        <v>255</v>
      </c>
      <c r="C7" s="16" t="s">
        <v>257</v>
      </c>
      <c r="D7" s="16" t="s">
        <v>258</v>
      </c>
      <c r="E7" s="16" t="s">
        <v>259</v>
      </c>
      <c r="F7" s="16" t="s">
        <v>381</v>
      </c>
    </row>
    <row r="8" spans="1:6" x14ac:dyDescent="0.3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</row>
    <row r="9" spans="1:6" ht="19.5" customHeight="1" x14ac:dyDescent="0.35">
      <c r="A9" s="164" t="s">
        <v>429</v>
      </c>
      <c r="B9" s="164"/>
      <c r="C9" s="164"/>
      <c r="D9" s="164"/>
      <c r="E9" s="164"/>
      <c r="F9" s="164"/>
    </row>
    <row r="10" spans="1:6" ht="18" customHeight="1" x14ac:dyDescent="0.35">
      <c r="A10" s="175" t="s">
        <v>506</v>
      </c>
      <c r="B10" s="175"/>
      <c r="C10" s="175"/>
      <c r="D10" s="175"/>
      <c r="E10" s="175"/>
      <c r="F10" s="175"/>
    </row>
    <row r="11" spans="1:6" ht="30" customHeight="1" x14ac:dyDescent="0.35">
      <c r="A11" s="164" t="s">
        <v>4</v>
      </c>
      <c r="B11" s="164"/>
      <c r="C11" s="164"/>
      <c r="D11" s="164"/>
      <c r="E11" s="23">
        <f>E12+E16+E107</f>
        <v>4394.556713930574</v>
      </c>
      <c r="F11" s="169" t="s">
        <v>414</v>
      </c>
    </row>
    <row r="12" spans="1:6" ht="30" customHeight="1" outlineLevel="1" collapsed="1" x14ac:dyDescent="0.35">
      <c r="A12" s="164" t="s">
        <v>5</v>
      </c>
      <c r="B12" s="164"/>
      <c r="C12" s="164"/>
      <c r="D12" s="164"/>
      <c r="E12" s="22">
        <f>SUM(E13:E15)</f>
        <v>2388.5325334563913</v>
      </c>
      <c r="F12" s="170"/>
    </row>
    <row r="13" spans="1:6" ht="26" hidden="1" outlineLevel="2" x14ac:dyDescent="0.35">
      <c r="A13" s="48" t="str">
        <f>Базовый!A5</f>
        <v>Педагогический персонал (соц. поддержка)</v>
      </c>
      <c r="B13" s="19">
        <f>Базовый!C5</f>
        <v>0.12150438394093216</v>
      </c>
      <c r="C13" s="22">
        <f>Базовый!T5</f>
        <v>1</v>
      </c>
      <c r="D13" s="22">
        <f>Базовый!U5</f>
        <v>19657.994682871249</v>
      </c>
      <c r="E13" s="22">
        <f>B13/C13*D13</f>
        <v>2388.5325334563913</v>
      </c>
      <c r="F13" s="170"/>
    </row>
    <row r="14" spans="1:6" ht="17.25" hidden="1" customHeight="1" outlineLevel="2" x14ac:dyDescent="0.35">
      <c r="A14" s="55"/>
      <c r="B14" s="60"/>
      <c r="C14" s="52"/>
      <c r="D14" s="52"/>
      <c r="E14" s="52"/>
      <c r="F14" s="170"/>
    </row>
    <row r="15" spans="1:6" ht="12.75" hidden="1" customHeight="1" outlineLevel="2" x14ac:dyDescent="0.35">
      <c r="A15" s="55"/>
      <c r="B15" s="60"/>
      <c r="C15" s="52"/>
      <c r="D15" s="52"/>
      <c r="E15" s="52"/>
      <c r="F15" s="170"/>
    </row>
    <row r="16" spans="1:6" ht="45" customHeight="1" outlineLevel="1" collapsed="1" x14ac:dyDescent="0.35">
      <c r="A16" s="164" t="s">
        <v>6</v>
      </c>
      <c r="B16" s="164"/>
      <c r="C16" s="164"/>
      <c r="D16" s="164"/>
      <c r="E16" s="22">
        <f>E17+E19+E27+E46+E77+E84+E89+E104</f>
        <v>66.270427672955975</v>
      </c>
      <c r="F16" s="170"/>
    </row>
    <row r="17" spans="1:6" s="53" customFormat="1" hidden="1" outlineLevel="2" collapsed="1" x14ac:dyDescent="0.35">
      <c r="A17" s="55"/>
      <c r="B17" s="60"/>
      <c r="C17" s="52"/>
      <c r="D17" s="52"/>
      <c r="E17" s="52"/>
      <c r="F17" s="170"/>
    </row>
    <row r="18" spans="1:6" s="53" customFormat="1" hidden="1" outlineLevel="3" x14ac:dyDescent="0.35">
      <c r="A18" s="55"/>
      <c r="B18" s="60"/>
      <c r="C18" s="52"/>
      <c r="D18" s="52"/>
      <c r="E18" s="52"/>
      <c r="F18" s="170"/>
    </row>
    <row r="19" spans="1:6" s="53" customFormat="1" hidden="1" outlineLevel="2" collapsed="1" x14ac:dyDescent="0.35">
      <c r="A19" s="55"/>
      <c r="B19" s="60"/>
      <c r="C19" s="52"/>
      <c r="D19" s="52"/>
      <c r="E19" s="52"/>
      <c r="F19" s="170"/>
    </row>
    <row r="20" spans="1:6" s="53" customFormat="1" hidden="1" outlineLevel="3" x14ac:dyDescent="0.35">
      <c r="A20" s="55"/>
      <c r="B20" s="60"/>
      <c r="C20" s="52"/>
      <c r="D20" s="52"/>
      <c r="E20" s="52"/>
      <c r="F20" s="170"/>
    </row>
    <row r="21" spans="1:6" s="53" customFormat="1" hidden="1" outlineLevel="3" x14ac:dyDescent="0.35">
      <c r="A21" s="55"/>
      <c r="B21" s="60"/>
      <c r="C21" s="52"/>
      <c r="D21" s="52"/>
      <c r="E21" s="52"/>
      <c r="F21" s="170"/>
    </row>
    <row r="22" spans="1:6" s="53" customFormat="1" hidden="1" outlineLevel="3" x14ac:dyDescent="0.35">
      <c r="A22" s="55"/>
      <c r="B22" s="60"/>
      <c r="C22" s="52"/>
      <c r="D22" s="52"/>
      <c r="E22" s="52"/>
      <c r="F22" s="170"/>
    </row>
    <row r="23" spans="1:6" s="53" customFormat="1" hidden="1" outlineLevel="3" x14ac:dyDescent="0.35">
      <c r="A23" s="55"/>
      <c r="B23" s="60"/>
      <c r="C23" s="52"/>
      <c r="D23" s="52"/>
      <c r="E23" s="52"/>
      <c r="F23" s="170"/>
    </row>
    <row r="24" spans="1:6" s="53" customFormat="1" hidden="1" outlineLevel="3" x14ac:dyDescent="0.35">
      <c r="A24" s="55"/>
      <c r="B24" s="60"/>
      <c r="C24" s="52"/>
      <c r="D24" s="52"/>
      <c r="E24" s="52"/>
      <c r="F24" s="170"/>
    </row>
    <row r="25" spans="1:6" s="53" customFormat="1" hidden="1" outlineLevel="3" x14ac:dyDescent="0.35">
      <c r="A25" s="55"/>
      <c r="B25" s="60"/>
      <c r="C25" s="52"/>
      <c r="D25" s="52"/>
      <c r="E25" s="52"/>
      <c r="F25" s="170"/>
    </row>
    <row r="26" spans="1:6" s="53" customFormat="1" hidden="1" outlineLevel="3" x14ac:dyDescent="0.35">
      <c r="A26" s="55"/>
      <c r="B26" s="60"/>
      <c r="C26" s="52"/>
      <c r="D26" s="52"/>
      <c r="E26" s="52"/>
      <c r="F26" s="170"/>
    </row>
    <row r="27" spans="1:6" s="53" customFormat="1" hidden="1" outlineLevel="2" collapsed="1" x14ac:dyDescent="0.35">
      <c r="A27" s="55"/>
      <c r="B27" s="60"/>
      <c r="C27" s="52"/>
      <c r="D27" s="52"/>
      <c r="E27" s="52"/>
      <c r="F27" s="170"/>
    </row>
    <row r="28" spans="1:6" s="53" customFormat="1" hidden="1" outlineLevel="3" x14ac:dyDescent="0.35">
      <c r="A28" s="55"/>
      <c r="B28" s="60"/>
      <c r="C28" s="52"/>
      <c r="D28" s="52"/>
      <c r="E28" s="52"/>
      <c r="F28" s="170"/>
    </row>
    <row r="29" spans="1:6" s="53" customFormat="1" hidden="1" outlineLevel="3" x14ac:dyDescent="0.35">
      <c r="A29" s="55"/>
      <c r="B29" s="60"/>
      <c r="C29" s="52"/>
      <c r="D29" s="52"/>
      <c r="E29" s="52"/>
      <c r="F29" s="170"/>
    </row>
    <row r="30" spans="1:6" s="53" customFormat="1" hidden="1" outlineLevel="3" x14ac:dyDescent="0.35">
      <c r="A30" s="55"/>
      <c r="B30" s="60"/>
      <c r="C30" s="52"/>
      <c r="D30" s="52"/>
      <c r="E30" s="52"/>
      <c r="F30" s="170"/>
    </row>
    <row r="31" spans="1:6" s="53" customFormat="1" hidden="1" outlineLevel="3" x14ac:dyDescent="0.35">
      <c r="A31" s="55"/>
      <c r="B31" s="60"/>
      <c r="C31" s="52"/>
      <c r="D31" s="52"/>
      <c r="E31" s="52"/>
      <c r="F31" s="170"/>
    </row>
    <row r="32" spans="1:6" s="53" customFormat="1" hidden="1" outlineLevel="3" x14ac:dyDescent="0.35">
      <c r="A32" s="55"/>
      <c r="B32" s="60"/>
      <c r="C32" s="52"/>
      <c r="D32" s="52"/>
      <c r="E32" s="52"/>
      <c r="F32" s="170"/>
    </row>
    <row r="33" spans="1:6" s="53" customFormat="1" hidden="1" outlineLevel="3" x14ac:dyDescent="0.35">
      <c r="A33" s="55"/>
      <c r="B33" s="60"/>
      <c r="C33" s="52"/>
      <c r="D33" s="52"/>
      <c r="E33" s="52"/>
      <c r="F33" s="170"/>
    </row>
    <row r="34" spans="1:6" s="53" customFormat="1" hidden="1" outlineLevel="3" x14ac:dyDescent="0.35">
      <c r="A34" s="55"/>
      <c r="B34" s="60"/>
      <c r="C34" s="52"/>
      <c r="D34" s="52"/>
      <c r="E34" s="52"/>
      <c r="F34" s="170"/>
    </row>
    <row r="35" spans="1:6" s="53" customFormat="1" hidden="1" outlineLevel="3" x14ac:dyDescent="0.35">
      <c r="A35" s="55"/>
      <c r="B35" s="60"/>
      <c r="C35" s="52"/>
      <c r="D35" s="52"/>
      <c r="E35" s="52"/>
      <c r="F35" s="170"/>
    </row>
    <row r="36" spans="1:6" s="53" customFormat="1" hidden="1" outlineLevel="3" x14ac:dyDescent="0.35">
      <c r="A36" s="55"/>
      <c r="B36" s="60"/>
      <c r="C36" s="52"/>
      <c r="D36" s="52"/>
      <c r="E36" s="52"/>
      <c r="F36" s="170"/>
    </row>
    <row r="37" spans="1:6" s="53" customFormat="1" hidden="1" outlineLevel="3" x14ac:dyDescent="0.35">
      <c r="A37" s="55"/>
      <c r="B37" s="60"/>
      <c r="C37" s="52"/>
      <c r="D37" s="52"/>
      <c r="E37" s="52"/>
      <c r="F37" s="170"/>
    </row>
    <row r="38" spans="1:6" s="53" customFormat="1" hidden="1" outlineLevel="3" x14ac:dyDescent="0.35">
      <c r="A38" s="55"/>
      <c r="B38" s="60"/>
      <c r="C38" s="52"/>
      <c r="D38" s="52"/>
      <c r="E38" s="52"/>
      <c r="F38" s="170"/>
    </row>
    <row r="39" spans="1:6" s="53" customFormat="1" hidden="1" outlineLevel="3" x14ac:dyDescent="0.35">
      <c r="A39" s="55"/>
      <c r="B39" s="60"/>
      <c r="C39" s="52"/>
      <c r="D39" s="52"/>
      <c r="E39" s="52"/>
      <c r="F39" s="170"/>
    </row>
    <row r="40" spans="1:6" s="53" customFormat="1" hidden="1" outlineLevel="3" x14ac:dyDescent="0.35">
      <c r="A40" s="55"/>
      <c r="B40" s="60"/>
      <c r="C40" s="52"/>
      <c r="D40" s="52"/>
      <c r="E40" s="52"/>
      <c r="F40" s="170"/>
    </row>
    <row r="41" spans="1:6" s="53" customFormat="1" hidden="1" outlineLevel="3" x14ac:dyDescent="0.35">
      <c r="A41" s="55"/>
      <c r="B41" s="60"/>
      <c r="C41" s="52"/>
      <c r="D41" s="52"/>
      <c r="E41" s="52"/>
      <c r="F41" s="170"/>
    </row>
    <row r="42" spans="1:6" s="53" customFormat="1" hidden="1" outlineLevel="3" x14ac:dyDescent="0.35">
      <c r="A42" s="55"/>
      <c r="B42" s="60"/>
      <c r="C42" s="52"/>
      <c r="D42" s="52"/>
      <c r="E42" s="52"/>
      <c r="F42" s="170"/>
    </row>
    <row r="43" spans="1:6" s="53" customFormat="1" hidden="1" outlineLevel="3" x14ac:dyDescent="0.35">
      <c r="A43" s="55"/>
      <c r="B43" s="60"/>
      <c r="C43" s="52"/>
      <c r="D43" s="52"/>
      <c r="E43" s="52"/>
      <c r="F43" s="170"/>
    </row>
    <row r="44" spans="1:6" s="53" customFormat="1" hidden="1" outlineLevel="3" x14ac:dyDescent="0.35">
      <c r="A44" s="55"/>
      <c r="B44" s="60"/>
      <c r="C44" s="52"/>
      <c r="D44" s="52"/>
      <c r="E44" s="52"/>
      <c r="F44" s="170"/>
    </row>
    <row r="45" spans="1:6" s="53" customFormat="1" hidden="1" outlineLevel="3" x14ac:dyDescent="0.35">
      <c r="A45" s="55"/>
      <c r="B45" s="60"/>
      <c r="C45" s="52"/>
      <c r="D45" s="52"/>
      <c r="E45" s="52"/>
      <c r="F45" s="170"/>
    </row>
    <row r="46" spans="1:6" s="53" customFormat="1" hidden="1" outlineLevel="2" collapsed="1" x14ac:dyDescent="0.35">
      <c r="A46" s="55"/>
      <c r="B46" s="60"/>
      <c r="C46" s="52"/>
      <c r="D46" s="52"/>
      <c r="E46" s="52"/>
      <c r="F46" s="170"/>
    </row>
    <row r="47" spans="1:6" s="53" customFormat="1" hidden="1" outlineLevel="3" x14ac:dyDescent="0.35">
      <c r="A47" s="55"/>
      <c r="B47" s="60"/>
      <c r="C47" s="52"/>
      <c r="D47" s="52"/>
      <c r="E47" s="52"/>
      <c r="F47" s="170"/>
    </row>
    <row r="48" spans="1:6" s="53" customFormat="1" hidden="1" outlineLevel="3" x14ac:dyDescent="0.35">
      <c r="A48" s="55"/>
      <c r="B48" s="60"/>
      <c r="C48" s="52"/>
      <c r="D48" s="52"/>
      <c r="E48" s="52"/>
      <c r="F48" s="170"/>
    </row>
    <row r="49" spans="1:6" s="53" customFormat="1" hidden="1" outlineLevel="3" x14ac:dyDescent="0.35">
      <c r="A49" s="55"/>
      <c r="B49" s="60"/>
      <c r="C49" s="52"/>
      <c r="D49" s="52"/>
      <c r="E49" s="52"/>
      <c r="F49" s="170"/>
    </row>
    <row r="50" spans="1:6" s="53" customFormat="1" hidden="1" outlineLevel="3" x14ac:dyDescent="0.35">
      <c r="A50" s="55"/>
      <c r="B50" s="60"/>
      <c r="C50" s="52"/>
      <c r="D50" s="52"/>
      <c r="E50" s="52"/>
      <c r="F50" s="170"/>
    </row>
    <row r="51" spans="1:6" s="53" customFormat="1" hidden="1" outlineLevel="3" x14ac:dyDescent="0.35">
      <c r="A51" s="55"/>
      <c r="B51" s="60"/>
      <c r="C51" s="52"/>
      <c r="D51" s="52"/>
      <c r="E51" s="52"/>
      <c r="F51" s="170"/>
    </row>
    <row r="52" spans="1:6" s="53" customFormat="1" hidden="1" outlineLevel="3" x14ac:dyDescent="0.35">
      <c r="A52" s="55"/>
      <c r="B52" s="60"/>
      <c r="C52" s="52"/>
      <c r="D52" s="52"/>
      <c r="E52" s="52"/>
      <c r="F52" s="170"/>
    </row>
    <row r="53" spans="1:6" s="53" customFormat="1" hidden="1" outlineLevel="3" x14ac:dyDescent="0.35">
      <c r="A53" s="55"/>
      <c r="B53" s="60"/>
      <c r="C53" s="52"/>
      <c r="D53" s="52"/>
      <c r="E53" s="52"/>
      <c r="F53" s="170"/>
    </row>
    <row r="54" spans="1:6" s="53" customFormat="1" hidden="1" outlineLevel="3" x14ac:dyDescent="0.35">
      <c r="A54" s="55"/>
      <c r="B54" s="60"/>
      <c r="C54" s="52"/>
      <c r="D54" s="52"/>
      <c r="E54" s="52"/>
      <c r="F54" s="170"/>
    </row>
    <row r="55" spans="1:6" s="53" customFormat="1" hidden="1" outlineLevel="3" x14ac:dyDescent="0.35">
      <c r="A55" s="55"/>
      <c r="B55" s="60"/>
      <c r="C55" s="52"/>
      <c r="D55" s="52"/>
      <c r="E55" s="52"/>
      <c r="F55" s="170"/>
    </row>
    <row r="56" spans="1:6" s="53" customFormat="1" hidden="1" outlineLevel="3" x14ac:dyDescent="0.35">
      <c r="A56" s="55"/>
      <c r="B56" s="60"/>
      <c r="C56" s="52"/>
      <c r="D56" s="52"/>
      <c r="E56" s="52"/>
      <c r="F56" s="170"/>
    </row>
    <row r="57" spans="1:6" s="53" customFormat="1" hidden="1" outlineLevel="3" x14ac:dyDescent="0.35">
      <c r="A57" s="55"/>
      <c r="B57" s="60"/>
      <c r="C57" s="52"/>
      <c r="D57" s="52"/>
      <c r="E57" s="52"/>
      <c r="F57" s="170"/>
    </row>
    <row r="58" spans="1:6" s="53" customFormat="1" hidden="1" outlineLevel="3" x14ac:dyDescent="0.35">
      <c r="A58" s="55"/>
      <c r="B58" s="60"/>
      <c r="C58" s="52"/>
      <c r="D58" s="52"/>
      <c r="E58" s="52"/>
      <c r="F58" s="170"/>
    </row>
    <row r="59" spans="1:6" s="53" customFormat="1" hidden="1" outlineLevel="3" x14ac:dyDescent="0.35">
      <c r="A59" s="55"/>
      <c r="B59" s="60"/>
      <c r="C59" s="52"/>
      <c r="D59" s="52"/>
      <c r="E59" s="52"/>
      <c r="F59" s="170"/>
    </row>
    <row r="60" spans="1:6" s="53" customFormat="1" hidden="1" outlineLevel="3" x14ac:dyDescent="0.35">
      <c r="A60" s="55"/>
      <c r="B60" s="60"/>
      <c r="C60" s="52"/>
      <c r="D60" s="52"/>
      <c r="E60" s="52"/>
      <c r="F60" s="170"/>
    </row>
    <row r="61" spans="1:6" s="53" customFormat="1" hidden="1" outlineLevel="3" x14ac:dyDescent="0.35">
      <c r="A61" s="55"/>
      <c r="B61" s="60"/>
      <c r="C61" s="52"/>
      <c r="D61" s="52"/>
      <c r="E61" s="52"/>
      <c r="F61" s="170"/>
    </row>
    <row r="62" spans="1:6" s="53" customFormat="1" hidden="1" outlineLevel="3" x14ac:dyDescent="0.35">
      <c r="A62" s="55"/>
      <c r="B62" s="60"/>
      <c r="C62" s="52"/>
      <c r="D62" s="52"/>
      <c r="E62" s="52"/>
      <c r="F62" s="170"/>
    </row>
    <row r="63" spans="1:6" s="53" customFormat="1" hidden="1" outlineLevel="3" x14ac:dyDescent="0.35">
      <c r="A63" s="55"/>
      <c r="B63" s="60"/>
      <c r="C63" s="52"/>
      <c r="D63" s="52"/>
      <c r="E63" s="52"/>
      <c r="F63" s="170"/>
    </row>
    <row r="64" spans="1:6" s="53" customFormat="1" hidden="1" outlineLevel="3" x14ac:dyDescent="0.35">
      <c r="A64" s="55"/>
      <c r="B64" s="60"/>
      <c r="C64" s="52"/>
      <c r="D64" s="52"/>
      <c r="E64" s="52"/>
      <c r="F64" s="170"/>
    </row>
    <row r="65" spans="1:6" s="53" customFormat="1" hidden="1" outlineLevel="3" x14ac:dyDescent="0.35">
      <c r="A65" s="55"/>
      <c r="B65" s="60"/>
      <c r="C65" s="52"/>
      <c r="D65" s="52"/>
      <c r="E65" s="52"/>
      <c r="F65" s="170"/>
    </row>
    <row r="66" spans="1:6" s="53" customFormat="1" hidden="1" outlineLevel="3" x14ac:dyDescent="0.35">
      <c r="A66" s="55"/>
      <c r="B66" s="60"/>
      <c r="C66" s="52"/>
      <c r="D66" s="52"/>
      <c r="E66" s="52"/>
      <c r="F66" s="170"/>
    </row>
    <row r="67" spans="1:6" s="53" customFormat="1" hidden="1" outlineLevel="3" x14ac:dyDescent="0.35">
      <c r="A67" s="55"/>
      <c r="B67" s="60"/>
      <c r="C67" s="52"/>
      <c r="D67" s="52"/>
      <c r="E67" s="52"/>
      <c r="F67" s="170"/>
    </row>
    <row r="68" spans="1:6" s="53" customFormat="1" hidden="1" outlineLevel="3" x14ac:dyDescent="0.35">
      <c r="A68" s="55"/>
      <c r="B68" s="60"/>
      <c r="C68" s="52"/>
      <c r="D68" s="52"/>
      <c r="E68" s="52"/>
      <c r="F68" s="170"/>
    </row>
    <row r="69" spans="1:6" s="53" customFormat="1" hidden="1" outlineLevel="3" x14ac:dyDescent="0.35">
      <c r="A69" s="55"/>
      <c r="B69" s="60"/>
      <c r="C69" s="52"/>
      <c r="D69" s="52"/>
      <c r="E69" s="52"/>
      <c r="F69" s="170"/>
    </row>
    <row r="70" spans="1:6" s="53" customFormat="1" hidden="1" outlineLevel="3" x14ac:dyDescent="0.35">
      <c r="A70" s="55"/>
      <c r="B70" s="60"/>
      <c r="C70" s="52"/>
      <c r="D70" s="52"/>
      <c r="E70" s="52"/>
      <c r="F70" s="170"/>
    </row>
    <row r="71" spans="1:6" s="53" customFormat="1" hidden="1" outlineLevel="3" x14ac:dyDescent="0.35">
      <c r="A71" s="55"/>
      <c r="B71" s="60"/>
      <c r="C71" s="52"/>
      <c r="D71" s="52"/>
      <c r="E71" s="52"/>
      <c r="F71" s="170"/>
    </row>
    <row r="72" spans="1:6" s="53" customFormat="1" hidden="1" outlineLevel="3" x14ac:dyDescent="0.35">
      <c r="A72" s="55"/>
      <c r="B72" s="60"/>
      <c r="C72" s="52"/>
      <c r="D72" s="52"/>
      <c r="E72" s="52"/>
      <c r="F72" s="170"/>
    </row>
    <row r="73" spans="1:6" s="53" customFormat="1" hidden="1" outlineLevel="3" x14ac:dyDescent="0.35">
      <c r="A73" s="55"/>
      <c r="B73" s="60"/>
      <c r="C73" s="52"/>
      <c r="D73" s="52"/>
      <c r="E73" s="52"/>
      <c r="F73" s="170"/>
    </row>
    <row r="74" spans="1:6" s="53" customFormat="1" hidden="1" outlineLevel="3" x14ac:dyDescent="0.35">
      <c r="A74" s="55"/>
      <c r="B74" s="60"/>
      <c r="C74" s="52"/>
      <c r="D74" s="52"/>
      <c r="E74" s="52"/>
      <c r="F74" s="170"/>
    </row>
    <row r="75" spans="1:6" s="53" customFormat="1" hidden="1" outlineLevel="3" x14ac:dyDescent="0.35">
      <c r="A75" s="55"/>
      <c r="B75" s="60"/>
      <c r="C75" s="52"/>
      <c r="D75" s="52"/>
      <c r="E75" s="52"/>
      <c r="F75" s="170"/>
    </row>
    <row r="76" spans="1:6" s="53" customFormat="1" hidden="1" outlineLevel="3" x14ac:dyDescent="0.35">
      <c r="A76" s="55"/>
      <c r="B76" s="60"/>
      <c r="C76" s="52"/>
      <c r="D76" s="52"/>
      <c r="E76" s="52"/>
      <c r="F76" s="170"/>
    </row>
    <row r="77" spans="1:6" s="53" customFormat="1" hidden="1" outlineLevel="2" collapsed="1" x14ac:dyDescent="0.35">
      <c r="A77" s="55"/>
      <c r="B77" s="60"/>
      <c r="C77" s="52"/>
      <c r="D77" s="52"/>
      <c r="E77" s="52"/>
      <c r="F77" s="170"/>
    </row>
    <row r="78" spans="1:6" s="53" customFormat="1" hidden="1" outlineLevel="3" x14ac:dyDescent="0.35">
      <c r="A78" s="55"/>
      <c r="B78" s="60"/>
      <c r="C78" s="52"/>
      <c r="D78" s="52"/>
      <c r="E78" s="52"/>
      <c r="F78" s="170"/>
    </row>
    <row r="79" spans="1:6" s="53" customFormat="1" hidden="1" outlineLevel="3" x14ac:dyDescent="0.35">
      <c r="A79" s="55"/>
      <c r="B79" s="60"/>
      <c r="C79" s="52"/>
      <c r="D79" s="52"/>
      <c r="E79" s="52"/>
      <c r="F79" s="170"/>
    </row>
    <row r="80" spans="1:6" s="53" customFormat="1" hidden="1" outlineLevel="3" x14ac:dyDescent="0.35">
      <c r="A80" s="55"/>
      <c r="B80" s="60"/>
      <c r="C80" s="52"/>
      <c r="D80" s="52"/>
      <c r="E80" s="52"/>
      <c r="F80" s="170"/>
    </row>
    <row r="81" spans="1:6" s="53" customFormat="1" hidden="1" outlineLevel="3" x14ac:dyDescent="0.35">
      <c r="A81" s="55"/>
      <c r="B81" s="60"/>
      <c r="C81" s="52"/>
      <c r="D81" s="52"/>
      <c r="E81" s="52"/>
      <c r="F81" s="170"/>
    </row>
    <row r="82" spans="1:6" s="53" customFormat="1" hidden="1" outlineLevel="3" x14ac:dyDescent="0.35">
      <c r="A82" s="55"/>
      <c r="B82" s="60"/>
      <c r="C82" s="52"/>
      <c r="D82" s="52"/>
      <c r="E82" s="52"/>
      <c r="F82" s="170"/>
    </row>
    <row r="83" spans="1:6" s="53" customFormat="1" hidden="1" outlineLevel="3" x14ac:dyDescent="0.35">
      <c r="A83" s="55"/>
      <c r="B83" s="60"/>
      <c r="C83" s="52"/>
      <c r="D83" s="52"/>
      <c r="E83" s="52"/>
      <c r="F83" s="170"/>
    </row>
    <row r="84" spans="1:6" s="53" customFormat="1" hidden="1" outlineLevel="2" collapsed="1" x14ac:dyDescent="0.35">
      <c r="A84" s="55"/>
      <c r="B84" s="60"/>
      <c r="C84" s="52"/>
      <c r="D84" s="52"/>
      <c r="E84" s="52"/>
      <c r="F84" s="170"/>
    </row>
    <row r="85" spans="1:6" s="53" customFormat="1" hidden="1" outlineLevel="3" x14ac:dyDescent="0.35">
      <c r="A85" s="55"/>
      <c r="B85" s="60"/>
      <c r="C85" s="52"/>
      <c r="D85" s="52"/>
      <c r="E85" s="52"/>
      <c r="F85" s="170"/>
    </row>
    <row r="86" spans="1:6" s="53" customFormat="1" hidden="1" outlineLevel="3" x14ac:dyDescent="0.35">
      <c r="A86" s="55"/>
      <c r="B86" s="60"/>
      <c r="C86" s="52"/>
      <c r="D86" s="52"/>
      <c r="E86" s="52"/>
      <c r="F86" s="170"/>
    </row>
    <row r="87" spans="1:6" s="53" customFormat="1" hidden="1" outlineLevel="3" x14ac:dyDescent="0.35">
      <c r="A87" s="55"/>
      <c r="B87" s="60"/>
      <c r="C87" s="52"/>
      <c r="D87" s="52"/>
      <c r="E87" s="52"/>
      <c r="F87" s="170"/>
    </row>
    <row r="88" spans="1:6" s="53" customFormat="1" hidden="1" outlineLevel="3" x14ac:dyDescent="0.35">
      <c r="A88" s="55"/>
      <c r="B88" s="60"/>
      <c r="C88" s="52"/>
      <c r="D88" s="52"/>
      <c r="E88" s="52"/>
      <c r="F88" s="170"/>
    </row>
    <row r="89" spans="1:6" s="53" customFormat="1" hidden="1" outlineLevel="2" collapsed="1" x14ac:dyDescent="0.35">
      <c r="A89" s="48" t="str">
        <f>Базовый!A81</f>
        <v>Подписка</v>
      </c>
      <c r="B89" s="19" t="str">
        <f>Базовый!C81</f>
        <v>х</v>
      </c>
      <c r="C89" s="22" t="str">
        <f>Базовый!T81</f>
        <v>х</v>
      </c>
      <c r="D89" s="22" t="str">
        <f>Базовый!U81</f>
        <v>х</v>
      </c>
      <c r="E89" s="22">
        <f>SUM(E90:E103)</f>
        <v>66.270427672955975</v>
      </c>
      <c r="F89" s="170"/>
    </row>
    <row r="90" spans="1:6" s="53" customFormat="1" ht="26" hidden="1" outlineLevel="3" x14ac:dyDescent="0.35">
      <c r="A90" s="48" t="str">
        <f>Базовый!A82</f>
        <v>Журнал: Дошкольная педагогика</v>
      </c>
      <c r="B90" s="19">
        <f>Базовый!C82</f>
        <v>4.7169811320754715E-3</v>
      </c>
      <c r="C90" s="22">
        <f>Базовый!T82</f>
        <v>1</v>
      </c>
      <c r="D90" s="22">
        <f>Базовый!U82</f>
        <v>794.79</v>
      </c>
      <c r="E90" s="22">
        <f t="shared" ref="E90:E103" si="0">B90/C90*D90</f>
        <v>3.7490094339622639</v>
      </c>
      <c r="F90" s="170"/>
    </row>
    <row r="91" spans="1:6" s="53" customFormat="1" ht="26" hidden="1" outlineLevel="3" x14ac:dyDescent="0.35">
      <c r="A91" s="48" t="str">
        <f>Базовый!A83</f>
        <v>Журнал: Дошкольное воспитание</v>
      </c>
      <c r="B91" s="19">
        <f>Базовый!C83</f>
        <v>4.7169811320754715E-3</v>
      </c>
      <c r="C91" s="22">
        <f>Базовый!T83</f>
        <v>1</v>
      </c>
      <c r="D91" s="22">
        <f>Базовый!U83</f>
        <v>1348.5666666666666</v>
      </c>
      <c r="E91" s="22">
        <f t="shared" si="0"/>
        <v>6.3611635220125784</v>
      </c>
      <c r="F91" s="170"/>
    </row>
    <row r="92" spans="1:6" s="53" customFormat="1" ht="26" hidden="1" outlineLevel="3" x14ac:dyDescent="0.35">
      <c r="A92" s="48" t="str">
        <f>Базовый!A84</f>
        <v>Журнал: Инструктор по физкультуре</v>
      </c>
      <c r="B92" s="19">
        <f>Базовый!C84</f>
        <v>4.7169811320754715E-3</v>
      </c>
      <c r="C92" s="22">
        <f>Базовый!T84</f>
        <v>1</v>
      </c>
      <c r="D92" s="22">
        <f>Базовый!U84</f>
        <v>666.94999999999993</v>
      </c>
      <c r="E92" s="22">
        <f t="shared" si="0"/>
        <v>3.1459905660377352</v>
      </c>
      <c r="F92" s="170"/>
    </row>
    <row r="93" spans="1:6" s="53" customFormat="1" hidden="1" outlineLevel="3" x14ac:dyDescent="0.35">
      <c r="A93" s="48" t="str">
        <f>Базовый!A85</f>
        <v>Журнал: Логопед</v>
      </c>
      <c r="B93" s="19">
        <f>Базовый!C85</f>
        <v>4.7169811320754715E-3</v>
      </c>
      <c r="C93" s="22">
        <f>Базовый!T85</f>
        <v>1</v>
      </c>
      <c r="D93" s="22">
        <f>Базовый!U85</f>
        <v>833.69</v>
      </c>
      <c r="E93" s="22">
        <f t="shared" si="0"/>
        <v>3.9325000000000001</v>
      </c>
      <c r="F93" s="170"/>
    </row>
    <row r="94" spans="1:6" s="53" customFormat="1" hidden="1" outlineLevel="3" x14ac:dyDescent="0.35">
      <c r="A94" s="48" t="str">
        <f>Базовый!A86</f>
        <v>Журнал: Медработник ДОУ</v>
      </c>
      <c r="B94" s="19">
        <f>Базовый!C86</f>
        <v>4.7169811320754715E-3</v>
      </c>
      <c r="C94" s="22">
        <f>Базовый!T86</f>
        <v>1</v>
      </c>
      <c r="D94" s="22">
        <f>Базовый!U86</f>
        <v>666.94999999999993</v>
      </c>
      <c r="E94" s="22">
        <f t="shared" si="0"/>
        <v>3.1459905660377352</v>
      </c>
      <c r="F94" s="170"/>
    </row>
    <row r="95" spans="1:6" s="53" customFormat="1" hidden="1" outlineLevel="3" x14ac:dyDescent="0.35">
      <c r="A95" s="48" t="str">
        <f>Базовый!A87</f>
        <v>Журнал: Детский сад. Теория</v>
      </c>
      <c r="B95" s="19">
        <f>Базовый!C87</f>
        <v>4.7169811320754715E-3</v>
      </c>
      <c r="C95" s="22">
        <f>Базовый!T87</f>
        <v>1</v>
      </c>
      <c r="D95" s="22">
        <f>Базовый!U87</f>
        <v>666.94400000000007</v>
      </c>
      <c r="E95" s="22">
        <f t="shared" si="0"/>
        <v>3.1459622641509437</v>
      </c>
      <c r="F95" s="170"/>
    </row>
    <row r="96" spans="1:6" s="53" customFormat="1" ht="26" hidden="1" outlineLevel="3" x14ac:dyDescent="0.35">
      <c r="A96" s="48" t="str">
        <f>Базовый!A88</f>
        <v>Журнал: Детский сад будущего-галерея творческих проекто</v>
      </c>
      <c r="B96" s="19">
        <f>Базовый!C88</f>
        <v>4.7169811320754715E-3</v>
      </c>
      <c r="C96" s="22">
        <f>Базовый!T88</f>
        <v>1</v>
      </c>
      <c r="D96" s="22">
        <f>Базовый!U88</f>
        <v>666.9466666666666</v>
      </c>
      <c r="E96" s="22">
        <f t="shared" si="0"/>
        <v>3.1459748427672953</v>
      </c>
      <c r="F96" s="170"/>
    </row>
    <row r="97" spans="1:6" s="53" customFormat="1" ht="26" hidden="1" outlineLevel="3" x14ac:dyDescent="0.35">
      <c r="A97" s="48" t="str">
        <f>Базовый!A89</f>
        <v>Приложение к журналу: Дошкольная педагогика</v>
      </c>
      <c r="B97" s="19">
        <f>Базовый!C89</f>
        <v>4.7169811320754715E-3</v>
      </c>
      <c r="C97" s="22">
        <f>Базовый!T89</f>
        <v>1</v>
      </c>
      <c r="D97" s="22">
        <f>Базовый!U89</f>
        <v>871.56666666666661</v>
      </c>
      <c r="E97" s="22">
        <f t="shared" si="0"/>
        <v>4.1111635220125784</v>
      </c>
      <c r="F97" s="170"/>
    </row>
    <row r="98" spans="1:6" s="53" customFormat="1" ht="39" hidden="1" outlineLevel="3" x14ac:dyDescent="0.35">
      <c r="A98" s="48" t="str">
        <f>Базовый!A90</f>
        <v>Управление дошкольным образовательным учреждением с приложением</v>
      </c>
      <c r="B98" s="19">
        <f>Базовый!C90</f>
        <v>4.7169811320754715E-3</v>
      </c>
      <c r="C98" s="22">
        <f>Базовый!T90</f>
        <v>1</v>
      </c>
      <c r="D98" s="22">
        <f>Базовый!U90</f>
        <v>645.34</v>
      </c>
      <c r="E98" s="22">
        <f t="shared" si="0"/>
        <v>3.0440566037735848</v>
      </c>
      <c r="F98" s="170"/>
    </row>
    <row r="99" spans="1:6" s="53" customFormat="1" ht="26" hidden="1" outlineLevel="3" x14ac:dyDescent="0.35">
      <c r="A99" s="48" t="str">
        <f>Базовый!A91</f>
        <v>Справочник музыкального работника</v>
      </c>
      <c r="B99" s="19">
        <f>Базовый!C91</f>
        <v>4.7169811320754715E-3</v>
      </c>
      <c r="C99" s="22">
        <f>Базовый!T91</f>
        <v>1</v>
      </c>
      <c r="D99" s="22">
        <f>Базовый!U91</f>
        <v>781.34</v>
      </c>
      <c r="E99" s="22">
        <f t="shared" si="0"/>
        <v>3.6855660377358492</v>
      </c>
      <c r="F99" s="170"/>
    </row>
    <row r="100" spans="1:6" s="53" customFormat="1" ht="26" hidden="1" outlineLevel="3" x14ac:dyDescent="0.35">
      <c r="A100" s="48" t="str">
        <f>Базовый!A92</f>
        <v>Справочник: Педагога-психолога</v>
      </c>
      <c r="B100" s="19">
        <f>Базовый!C92</f>
        <v>4.7169811320754715E-3</v>
      </c>
      <c r="C100" s="22">
        <f>Базовый!T92</f>
        <v>1</v>
      </c>
      <c r="D100" s="22">
        <f>Базовый!U92</f>
        <v>2710.5499999999997</v>
      </c>
      <c r="E100" s="22">
        <f t="shared" si="0"/>
        <v>12.785613207547168</v>
      </c>
      <c r="F100" s="170"/>
    </row>
    <row r="101" spans="1:6" s="53" customFormat="1" ht="26" hidden="1" outlineLevel="3" x14ac:dyDescent="0.35">
      <c r="A101" s="48" t="str">
        <f>Базовый!A93</f>
        <v>Справочник руководителя дошкольного учреждения</v>
      </c>
      <c r="B101" s="19">
        <f>Базовый!C93</f>
        <v>4.7169811320754715E-3</v>
      </c>
      <c r="C101" s="22">
        <f>Базовый!T93</f>
        <v>1</v>
      </c>
      <c r="D101" s="22">
        <f>Базовый!U93</f>
        <v>645.34</v>
      </c>
      <c r="E101" s="22">
        <f t="shared" si="0"/>
        <v>3.0440566037735848</v>
      </c>
      <c r="F101" s="170"/>
    </row>
    <row r="102" spans="1:6" s="53" customFormat="1" ht="39" hidden="1" outlineLevel="3" x14ac:dyDescent="0.35">
      <c r="A102" s="48" t="str">
        <f>Базовый!A94</f>
        <v>Справочник старшего воспитателя дошкольного учреждения</v>
      </c>
      <c r="B102" s="19">
        <f>Базовый!C94</f>
        <v>4.7169811320754715E-3</v>
      </c>
      <c r="C102" s="22">
        <f>Базовый!T94</f>
        <v>1</v>
      </c>
      <c r="D102" s="22">
        <f>Базовый!U94</f>
        <v>1974.28</v>
      </c>
      <c r="E102" s="22">
        <f t="shared" si="0"/>
        <v>9.312641509433961</v>
      </c>
      <c r="F102" s="170"/>
    </row>
    <row r="103" spans="1:6" s="53" customFormat="1" ht="39" hidden="1" outlineLevel="3" x14ac:dyDescent="0.35">
      <c r="A103" s="48" t="str">
        <f>Базовый!A95</f>
        <v>Журнал: Воспитатель дошкольного образовательного учреждения</v>
      </c>
      <c r="B103" s="19">
        <f>Базовый!C95</f>
        <v>4.7169811320754715E-3</v>
      </c>
      <c r="C103" s="22">
        <f>Базовый!T95</f>
        <v>1</v>
      </c>
      <c r="D103" s="22">
        <f>Базовый!U95</f>
        <v>776.07666666666671</v>
      </c>
      <c r="E103" s="22">
        <f t="shared" si="0"/>
        <v>3.6607389937106918</v>
      </c>
      <c r="F103" s="170"/>
    </row>
    <row r="104" spans="1:6" s="53" customFormat="1" hidden="1" outlineLevel="2" collapsed="1" x14ac:dyDescent="0.35">
      <c r="A104" s="55"/>
      <c r="B104" s="60"/>
      <c r="C104" s="52"/>
      <c r="D104" s="52"/>
      <c r="E104" s="52"/>
      <c r="F104" s="170"/>
    </row>
    <row r="105" spans="1:6" s="53" customFormat="1" hidden="1" outlineLevel="3" x14ac:dyDescent="0.35">
      <c r="A105" s="55"/>
      <c r="B105" s="60"/>
      <c r="C105" s="52"/>
      <c r="D105" s="52"/>
      <c r="E105" s="52"/>
      <c r="F105" s="170"/>
    </row>
    <row r="106" spans="1:6" s="53" customFormat="1" hidden="1" outlineLevel="3" x14ac:dyDescent="0.35">
      <c r="A106" s="55"/>
      <c r="B106" s="60"/>
      <c r="C106" s="52"/>
      <c r="D106" s="52"/>
      <c r="E106" s="52"/>
      <c r="F106" s="170"/>
    </row>
    <row r="107" spans="1:6" ht="30" customHeight="1" outlineLevel="1" collapsed="1" x14ac:dyDescent="0.35">
      <c r="A107" s="164" t="s">
        <v>7</v>
      </c>
      <c r="B107" s="164"/>
      <c r="C107" s="164"/>
      <c r="D107" s="164"/>
      <c r="E107" s="22">
        <f>E108+E119+E141+E181+E197+E201</f>
        <v>1939.7537528012265</v>
      </c>
      <c r="F107" s="170"/>
    </row>
    <row r="108" spans="1:6" hidden="1" outlineLevel="2" collapsed="1" x14ac:dyDescent="0.35">
      <c r="A108" s="48" t="str">
        <f>Базовый!A100</f>
        <v>Услуги сторонних организаций</v>
      </c>
      <c r="B108" s="19" t="str">
        <f>Базовый!C100</f>
        <v>х</v>
      </c>
      <c r="C108" s="22" t="str">
        <f>Базовый!T100</f>
        <v>х</v>
      </c>
      <c r="D108" s="22" t="str">
        <f>Базовый!U100</f>
        <v>х</v>
      </c>
      <c r="E108" s="22">
        <f>SUM(E109:E118)</f>
        <v>1660.394727175438</v>
      </c>
      <c r="F108" s="170"/>
    </row>
    <row r="109" spans="1:6" hidden="1" outlineLevel="3" x14ac:dyDescent="0.35">
      <c r="A109" s="48" t="str">
        <f>Базовый!A101</f>
        <v>Мед.осмотр</v>
      </c>
      <c r="B109" s="19">
        <f>Базовый!C101</f>
        <v>0.29059829059829062</v>
      </c>
      <c r="C109" s="22">
        <f>Базовый!T101</f>
        <v>1</v>
      </c>
      <c r="D109" s="22">
        <f>Базовый!U101</f>
        <v>3557.5</v>
      </c>
      <c r="E109" s="22">
        <f t="shared" ref="E109:E140" si="1">B109/C109*D109</f>
        <v>1033.8034188034189</v>
      </c>
      <c r="F109" s="170"/>
    </row>
    <row r="110" spans="1:6" ht="26" hidden="1" outlineLevel="3" x14ac:dyDescent="0.35">
      <c r="A110" s="48" t="str">
        <f>Базовый!A102</f>
        <v>Медицинский осмотр при трудоутройстве</v>
      </c>
      <c r="B110" s="19">
        <f>Базовый!C102</f>
        <v>3.4188034188034191E-2</v>
      </c>
      <c r="C110" s="22">
        <f>Базовый!T102</f>
        <v>1</v>
      </c>
      <c r="D110" s="22">
        <f>Базовый!U102</f>
        <v>3557.5</v>
      </c>
      <c r="E110" s="22">
        <f t="shared" si="1"/>
        <v>121.62393162393164</v>
      </c>
      <c r="F110" s="170"/>
    </row>
    <row r="111" spans="1:6" ht="26" hidden="1" outlineLevel="3" x14ac:dyDescent="0.35">
      <c r="A111" s="48" t="str">
        <f>Базовый!A103</f>
        <v>Гигиеническая аттестация сотрудников</v>
      </c>
      <c r="B111" s="19">
        <f>Базовый!C103</f>
        <v>0.10256410256410256</v>
      </c>
      <c r="C111" s="22">
        <f>Базовый!T103</f>
        <v>1</v>
      </c>
      <c r="D111" s="22">
        <f>Базовый!U103</f>
        <v>494</v>
      </c>
      <c r="E111" s="22">
        <f t="shared" si="1"/>
        <v>50.666666666666664</v>
      </c>
      <c r="F111" s="170"/>
    </row>
    <row r="112" spans="1:6" hidden="1" outlineLevel="3" x14ac:dyDescent="0.35">
      <c r="A112" s="48" t="str">
        <f>Базовый!A104</f>
        <v>Камерная обработка</v>
      </c>
      <c r="B112" s="19">
        <f>Базовый!C104</f>
        <v>3.3502538071065993</v>
      </c>
      <c r="C112" s="22">
        <f>Базовый!T104</f>
        <v>1</v>
      </c>
      <c r="D112" s="22">
        <f>Базовый!U104</f>
        <v>48.77</v>
      </c>
      <c r="E112" s="22">
        <f t="shared" si="1"/>
        <v>163.39187817258886</v>
      </c>
      <c r="F112" s="170"/>
    </row>
    <row r="113" spans="1:6" hidden="1" outlineLevel="3" x14ac:dyDescent="0.35">
      <c r="A113" s="48" t="str">
        <f>Базовый!A105</f>
        <v>Курсы по ПБ</v>
      </c>
      <c r="B113" s="19">
        <f>Базовый!C105</f>
        <v>1.7094017094017096E-2</v>
      </c>
      <c r="C113" s="22">
        <f>Базовый!T105</f>
        <v>1</v>
      </c>
      <c r="D113" s="22">
        <f>Базовый!U105</f>
        <v>3333.3333333333335</v>
      </c>
      <c r="E113" s="22">
        <f t="shared" si="1"/>
        <v>56.980056980056986</v>
      </c>
      <c r="F113" s="170"/>
    </row>
    <row r="114" spans="1:6" hidden="1" outlineLevel="3" x14ac:dyDescent="0.35">
      <c r="A114" s="48" t="str">
        <f>Базовый!A106</f>
        <v>Обучение 44-ФЗ</v>
      </c>
      <c r="B114" s="19">
        <f>Базовый!C106</f>
        <v>1.1111111111111112E-2</v>
      </c>
      <c r="C114" s="22">
        <f>Базовый!T106</f>
        <v>1</v>
      </c>
      <c r="D114" s="22">
        <f>Базовый!U106</f>
        <v>7433.333333333333</v>
      </c>
      <c r="E114" s="22">
        <f t="shared" si="1"/>
        <v>82.592592592592595</v>
      </c>
      <c r="F114" s="170"/>
    </row>
    <row r="115" spans="1:6" ht="26" hidden="1" outlineLevel="3" x14ac:dyDescent="0.35">
      <c r="A115" s="48" t="str">
        <f>Базовый!A107</f>
        <v>Обучение на курсах по охране труда</v>
      </c>
      <c r="B115" s="19">
        <f>Базовый!C107</f>
        <v>2.2222222222222223E-2</v>
      </c>
      <c r="C115" s="22">
        <f>Базовый!T107</f>
        <v>1</v>
      </c>
      <c r="D115" s="22">
        <f>Базовый!U107</f>
        <v>2233.3333333333335</v>
      </c>
      <c r="E115" s="22">
        <f t="shared" si="1"/>
        <v>49.629629629629633</v>
      </c>
      <c r="F115" s="170"/>
    </row>
    <row r="116" spans="1:6" ht="26" hidden="1" outlineLevel="3" x14ac:dyDescent="0.35">
      <c r="A116" s="48" t="str">
        <f>Базовый!A108</f>
        <v>Курсы (пожарно-технический минимум)</v>
      </c>
      <c r="B116" s="19">
        <f>Базовый!C108</f>
        <v>1.1111111111111112E-2</v>
      </c>
      <c r="C116" s="22">
        <f>Базовый!T108</f>
        <v>1</v>
      </c>
      <c r="D116" s="22">
        <f>Базовый!U108</f>
        <v>2150</v>
      </c>
      <c r="E116" s="22">
        <f t="shared" si="1"/>
        <v>23.888888888888889</v>
      </c>
      <c r="F116" s="170"/>
    </row>
    <row r="117" spans="1:6" ht="26" hidden="1" outlineLevel="3" x14ac:dyDescent="0.35">
      <c r="A117" s="48" t="str">
        <f>Базовый!A109</f>
        <v>Курсы  (тепловые энергоустановки и тс)</v>
      </c>
      <c r="B117" s="19">
        <f>Базовый!C109</f>
        <v>1.7094017094017096E-2</v>
      </c>
      <c r="C117" s="22">
        <f>Базовый!T109</f>
        <v>1</v>
      </c>
      <c r="D117" s="22">
        <f>Базовый!U109</f>
        <v>3000</v>
      </c>
      <c r="E117" s="22">
        <f t="shared" si="1"/>
        <v>51.282051282051285</v>
      </c>
      <c r="F117" s="170"/>
    </row>
    <row r="118" spans="1:6" hidden="1" outlineLevel="3" x14ac:dyDescent="0.35">
      <c r="A118" s="48" t="str">
        <f>Базовый!A110</f>
        <v>Хостинг сайта</v>
      </c>
      <c r="B118" s="19">
        <f>Базовый!C110</f>
        <v>8.5470085470085479E-3</v>
      </c>
      <c r="C118" s="22">
        <f>Базовый!T110</f>
        <v>1</v>
      </c>
      <c r="D118" s="22">
        <f>Базовый!U110</f>
        <v>3104.6666666666665</v>
      </c>
      <c r="E118" s="22">
        <f t="shared" si="1"/>
        <v>26.535612535612536</v>
      </c>
      <c r="F118" s="170"/>
    </row>
    <row r="119" spans="1:6" hidden="1" outlineLevel="2" collapsed="1" x14ac:dyDescent="0.35">
      <c r="A119" s="48" t="str">
        <f>Базовый!A111</f>
        <v>Канцелярские товары</v>
      </c>
      <c r="B119" s="19" t="str">
        <f>Базовый!C111</f>
        <v>х</v>
      </c>
      <c r="C119" s="22" t="str">
        <f>Базовый!T111</f>
        <v>х</v>
      </c>
      <c r="D119" s="22" t="str">
        <f>Базовый!U111</f>
        <v>х</v>
      </c>
      <c r="E119" s="22">
        <f>SUM(E120:E140)</f>
        <v>204.09398947750364</v>
      </c>
      <c r="F119" s="170"/>
    </row>
    <row r="120" spans="1:6" hidden="1" outlineLevel="3" x14ac:dyDescent="0.35">
      <c r="A120" s="48" t="str">
        <f>Базовый!A112</f>
        <v>Папка-регистратор</v>
      </c>
      <c r="B120" s="19">
        <f>Базовый!C112</f>
        <v>0.18867924528301888</v>
      </c>
      <c r="C120" s="22">
        <f>Базовый!T112</f>
        <v>1</v>
      </c>
      <c r="D120" s="22">
        <f>Базовый!U112</f>
        <v>211.33333333333334</v>
      </c>
      <c r="E120" s="22">
        <f t="shared" si="1"/>
        <v>39.874213836477992</v>
      </c>
      <c r="F120" s="170"/>
    </row>
    <row r="121" spans="1:6" hidden="1" outlineLevel="3" x14ac:dyDescent="0.35">
      <c r="A121" s="48" t="str">
        <f>Базовый!A113</f>
        <v>Папка скоросшиватель Дело</v>
      </c>
      <c r="B121" s="19">
        <f>Базовый!C113</f>
        <v>0.42452830188679247</v>
      </c>
      <c r="C121" s="22">
        <f>Базовый!T113</f>
        <v>1</v>
      </c>
      <c r="D121" s="22">
        <f>Базовый!U113</f>
        <v>11.200000000000001</v>
      </c>
      <c r="E121" s="22">
        <f t="shared" si="1"/>
        <v>4.7547169811320762</v>
      </c>
      <c r="F121" s="170"/>
    </row>
    <row r="122" spans="1:6" hidden="1" outlineLevel="3" x14ac:dyDescent="0.35">
      <c r="A122" s="48" t="str">
        <f>Базовый!A114</f>
        <v>Накопитель архивный</v>
      </c>
      <c r="B122" s="19">
        <f>Базовый!C114</f>
        <v>0.18867924528301888</v>
      </c>
      <c r="C122" s="22">
        <f>Базовый!T114</f>
        <v>1</v>
      </c>
      <c r="D122" s="22">
        <f>Базовый!U114</f>
        <v>43.086666666666666</v>
      </c>
      <c r="E122" s="22">
        <f t="shared" si="1"/>
        <v>8.129559748427674</v>
      </c>
      <c r="F122" s="170"/>
    </row>
    <row r="123" spans="1:6" hidden="1" outlineLevel="3" x14ac:dyDescent="0.35">
      <c r="A123" s="48" t="str">
        <f>Базовый!A115</f>
        <v>Бумага А4</v>
      </c>
      <c r="B123" s="19">
        <f>Базовый!C115</f>
        <v>0.18867924528301888</v>
      </c>
      <c r="C123" s="22">
        <f>Базовый!T115</f>
        <v>1</v>
      </c>
      <c r="D123" s="22">
        <f>Базовый!U115</f>
        <v>204.16666666666666</v>
      </c>
      <c r="E123" s="22">
        <f t="shared" si="1"/>
        <v>38.522012578616355</v>
      </c>
      <c r="F123" s="170"/>
    </row>
    <row r="124" spans="1:6" hidden="1" outlineLevel="3" x14ac:dyDescent="0.35">
      <c r="A124" s="48" t="str">
        <f>Базовый!A116</f>
        <v>Файлы А4</v>
      </c>
      <c r="B124" s="19">
        <f>Базовый!C116</f>
        <v>4.716981132075472</v>
      </c>
      <c r="C124" s="22">
        <f>Базовый!T116</f>
        <v>1</v>
      </c>
      <c r="D124" s="22">
        <f>Базовый!U116</f>
        <v>1.73</v>
      </c>
      <c r="E124" s="22">
        <f t="shared" si="1"/>
        <v>8.1603773584905657</v>
      </c>
      <c r="F124" s="170"/>
    </row>
    <row r="125" spans="1:6" hidden="1" outlineLevel="3" x14ac:dyDescent="0.35">
      <c r="A125" s="48" t="str">
        <f>Базовый!A117</f>
        <v>Карандаши ч/гр.</v>
      </c>
      <c r="B125" s="19">
        <f>Базовый!C117</f>
        <v>9.6153846153846159E-2</v>
      </c>
      <c r="C125" s="22">
        <f>Базовый!T117</f>
        <v>1</v>
      </c>
      <c r="D125" s="22">
        <f>Базовый!U117</f>
        <v>11.296666666666667</v>
      </c>
      <c r="E125" s="22">
        <f t="shared" si="1"/>
        <v>1.0862179487179489</v>
      </c>
      <c r="F125" s="170"/>
    </row>
    <row r="126" spans="1:6" hidden="1" outlineLevel="3" x14ac:dyDescent="0.35">
      <c r="A126" s="48" t="str">
        <f>Базовый!A118</f>
        <v>Закладки самоклеящ.</v>
      </c>
      <c r="B126" s="19">
        <f>Базовый!C118</f>
        <v>9.6153846153846159E-2</v>
      </c>
      <c r="C126" s="22">
        <f>Базовый!T118</f>
        <v>1</v>
      </c>
      <c r="D126" s="22">
        <f>Базовый!U118</f>
        <v>100.60666666666667</v>
      </c>
      <c r="E126" s="22">
        <f t="shared" si="1"/>
        <v>9.6737179487179503</v>
      </c>
      <c r="F126" s="170"/>
    </row>
    <row r="127" spans="1:6" hidden="1" outlineLevel="3" x14ac:dyDescent="0.35">
      <c r="A127" s="48" t="str">
        <f>Базовый!A119</f>
        <v>Линейка</v>
      </c>
      <c r="B127" s="19">
        <f>Базовый!C119</f>
        <v>9.6153846153846159E-2</v>
      </c>
      <c r="C127" s="22">
        <f>Базовый!T119</f>
        <v>1</v>
      </c>
      <c r="D127" s="22">
        <f>Базовый!U119</f>
        <v>8.94</v>
      </c>
      <c r="E127" s="22">
        <f t="shared" si="1"/>
        <v>0.85961538461538467</v>
      </c>
      <c r="F127" s="170"/>
    </row>
    <row r="128" spans="1:6" hidden="1" outlineLevel="3" x14ac:dyDescent="0.35">
      <c r="A128" s="48" t="str">
        <f>Базовый!A120</f>
        <v xml:space="preserve">Ножницы </v>
      </c>
      <c r="B128" s="19">
        <f>Базовый!C120</f>
        <v>0.28846153846153844</v>
      </c>
      <c r="C128" s="22">
        <f>Базовый!T120</f>
        <v>1</v>
      </c>
      <c r="D128" s="22">
        <f>Базовый!U120</f>
        <v>82.300000000000011</v>
      </c>
      <c r="E128" s="22">
        <f t="shared" si="1"/>
        <v>23.740384615384617</v>
      </c>
      <c r="F128" s="170"/>
    </row>
    <row r="129" spans="1:6" hidden="1" outlineLevel="3" x14ac:dyDescent="0.35">
      <c r="A129" s="48" t="str">
        <f>Базовый!A121</f>
        <v>Ластик</v>
      </c>
      <c r="B129" s="19">
        <f>Базовый!C121</f>
        <v>0.28846153846153844</v>
      </c>
      <c r="C129" s="22">
        <f>Базовый!T121</f>
        <v>1</v>
      </c>
      <c r="D129" s="22">
        <f>Базовый!U121</f>
        <v>9.3033333333333328</v>
      </c>
      <c r="E129" s="22">
        <f t="shared" si="1"/>
        <v>2.6836538461538457</v>
      </c>
      <c r="F129" s="170"/>
    </row>
    <row r="130" spans="1:6" hidden="1" outlineLevel="3" x14ac:dyDescent="0.35">
      <c r="A130" s="48" t="str">
        <f>Базовый!A122</f>
        <v>Ручка</v>
      </c>
      <c r="B130" s="19">
        <f>Базовый!C122</f>
        <v>0.28846153846153844</v>
      </c>
      <c r="C130" s="22">
        <f>Базовый!T122</f>
        <v>1</v>
      </c>
      <c r="D130" s="22">
        <f>Базовый!U122</f>
        <v>17.863333333333333</v>
      </c>
      <c r="E130" s="22">
        <f t="shared" si="1"/>
        <v>5.1528846153846146</v>
      </c>
      <c r="F130" s="170"/>
    </row>
    <row r="131" spans="1:6" hidden="1" outlineLevel="3" x14ac:dyDescent="0.35">
      <c r="A131" s="48" t="str">
        <f>Базовый!A123</f>
        <v>Скобы для степлера</v>
      </c>
      <c r="B131" s="19">
        <f>Базовый!C123</f>
        <v>9.6153846153846159E-2</v>
      </c>
      <c r="C131" s="22">
        <f>Базовый!T123</f>
        <v>1</v>
      </c>
      <c r="D131" s="22">
        <f>Базовый!U123</f>
        <v>17.816666666666666</v>
      </c>
      <c r="E131" s="22">
        <f t="shared" si="1"/>
        <v>1.7131410256410258</v>
      </c>
      <c r="F131" s="170"/>
    </row>
    <row r="132" spans="1:6" hidden="1" outlineLevel="3" x14ac:dyDescent="0.35">
      <c r="A132" s="48" t="str">
        <f>Базовый!A124</f>
        <v>Скоросшиватель</v>
      </c>
      <c r="B132" s="19">
        <f>Базовый!C124</f>
        <v>9.6153846153846159E-2</v>
      </c>
      <c r="C132" s="22">
        <f>Базовый!T124</f>
        <v>1</v>
      </c>
      <c r="D132" s="22">
        <f>Базовый!U124</f>
        <v>9.8133333333333326</v>
      </c>
      <c r="E132" s="22">
        <f t="shared" si="1"/>
        <v>0.94358974358974357</v>
      </c>
      <c r="F132" s="170"/>
    </row>
    <row r="133" spans="1:6" hidden="1" outlineLevel="3" x14ac:dyDescent="0.35">
      <c r="A133" s="48" t="str">
        <f>Базовый!A125</f>
        <v>Скрепки</v>
      </c>
      <c r="B133" s="19">
        <f>Базовый!C125</f>
        <v>0.19230769230769232</v>
      </c>
      <c r="C133" s="22">
        <f>Базовый!T125</f>
        <v>1</v>
      </c>
      <c r="D133" s="22">
        <f>Базовый!U125</f>
        <v>73.7</v>
      </c>
      <c r="E133" s="22">
        <f t="shared" si="1"/>
        <v>14.173076923076925</v>
      </c>
      <c r="F133" s="170"/>
    </row>
    <row r="134" spans="1:6" hidden="1" outlineLevel="3" x14ac:dyDescent="0.35">
      <c r="A134" s="48" t="str">
        <f>Базовый!A126</f>
        <v>Степлер</v>
      </c>
      <c r="B134" s="19">
        <f>Базовый!C126</f>
        <v>0.19230769230769232</v>
      </c>
      <c r="C134" s="22">
        <f>Базовый!T126</f>
        <v>1</v>
      </c>
      <c r="D134" s="22">
        <f>Базовый!U126</f>
        <v>98.716666666666654</v>
      </c>
      <c r="E134" s="22">
        <f t="shared" si="1"/>
        <v>18.983974358974358</v>
      </c>
      <c r="F134" s="170"/>
    </row>
    <row r="135" spans="1:6" hidden="1" outlineLevel="3" x14ac:dyDescent="0.35">
      <c r="A135" s="48" t="str">
        <f>Базовый!A127</f>
        <v>Тетрадь</v>
      </c>
      <c r="B135" s="19">
        <f>Базовый!C127</f>
        <v>0.48076923076923078</v>
      </c>
      <c r="C135" s="22">
        <f>Базовый!T127</f>
        <v>1</v>
      </c>
      <c r="D135" s="22">
        <f>Базовый!U127</f>
        <v>9.3666666666666671</v>
      </c>
      <c r="E135" s="22">
        <f t="shared" si="1"/>
        <v>4.5032051282051286</v>
      </c>
      <c r="F135" s="170"/>
    </row>
    <row r="136" spans="1:6" hidden="1" outlineLevel="3" x14ac:dyDescent="0.35">
      <c r="A136" s="48" t="str">
        <f>Базовый!A128</f>
        <v>Точилка</v>
      </c>
      <c r="B136" s="19">
        <f>Базовый!C128</f>
        <v>0.19230769230769232</v>
      </c>
      <c r="C136" s="22">
        <f>Базовый!T128</f>
        <v>1</v>
      </c>
      <c r="D136" s="22">
        <f>Базовый!U128</f>
        <v>41</v>
      </c>
      <c r="E136" s="22">
        <f t="shared" si="1"/>
        <v>7.884615384615385</v>
      </c>
      <c r="F136" s="170"/>
    </row>
    <row r="137" spans="1:6" hidden="1" outlineLevel="3" x14ac:dyDescent="0.35">
      <c r="A137" s="48" t="str">
        <f>Базовый!A129</f>
        <v>Скрепки</v>
      </c>
      <c r="B137" s="19">
        <f>Базовый!C129</f>
        <v>5.7692307692307696E-2</v>
      </c>
      <c r="C137" s="22">
        <f>Базовый!T129</f>
        <v>1</v>
      </c>
      <c r="D137" s="22">
        <f>Базовый!U129</f>
        <v>29.123333333333335</v>
      </c>
      <c r="E137" s="22">
        <f t="shared" si="1"/>
        <v>1.6801923076923078</v>
      </c>
      <c r="F137" s="170"/>
    </row>
    <row r="138" spans="1:6" hidden="1" outlineLevel="3" x14ac:dyDescent="0.35">
      <c r="A138" s="48" t="str">
        <f>Базовый!A130</f>
        <v>Корректор</v>
      </c>
      <c r="B138" s="19">
        <f>Базовый!C130</f>
        <v>4.807692307692308E-2</v>
      </c>
      <c r="C138" s="22">
        <f>Базовый!T130</f>
        <v>1</v>
      </c>
      <c r="D138" s="22">
        <f>Базовый!U130</f>
        <v>31.876666666666665</v>
      </c>
      <c r="E138" s="22">
        <f t="shared" si="1"/>
        <v>1.5325320512820513</v>
      </c>
      <c r="F138" s="170"/>
    </row>
    <row r="139" spans="1:6" hidden="1" outlineLevel="3" x14ac:dyDescent="0.35">
      <c r="A139" s="48" t="str">
        <f>Базовый!A131</f>
        <v>Зажимы для бумаги больш.</v>
      </c>
      <c r="B139" s="19">
        <f>Базовый!C131</f>
        <v>0.11538461538461539</v>
      </c>
      <c r="C139" s="22">
        <f>Базовый!T131</f>
        <v>1</v>
      </c>
      <c r="D139" s="22">
        <f>Базовый!U131</f>
        <v>67.533333333333331</v>
      </c>
      <c r="E139" s="22">
        <f t="shared" si="1"/>
        <v>7.7923076923076922</v>
      </c>
      <c r="F139" s="170"/>
    </row>
    <row r="140" spans="1:6" hidden="1" outlineLevel="3" x14ac:dyDescent="0.35">
      <c r="A140" s="48" t="str">
        <f>Базовый!A132</f>
        <v>Зажимы для бумаги мал.</v>
      </c>
      <c r="B140" s="19">
        <f>Базовый!C132</f>
        <v>5.7692307692307696E-2</v>
      </c>
      <c r="C140" s="22">
        <f>Базовый!T132</f>
        <v>1</v>
      </c>
      <c r="D140" s="22">
        <f>Базовый!U132</f>
        <v>39</v>
      </c>
      <c r="E140" s="22">
        <f t="shared" si="1"/>
        <v>2.25</v>
      </c>
      <c r="F140" s="170"/>
    </row>
    <row r="141" spans="1:6" hidden="1" outlineLevel="2" collapsed="1" x14ac:dyDescent="0.35">
      <c r="A141" s="55"/>
      <c r="B141" s="60"/>
      <c r="C141" s="52"/>
      <c r="D141" s="52"/>
      <c r="E141" s="52"/>
      <c r="F141" s="170"/>
    </row>
    <row r="142" spans="1:6" hidden="1" outlineLevel="3" x14ac:dyDescent="0.35">
      <c r="A142" s="55"/>
      <c r="B142" s="60"/>
      <c r="C142" s="52"/>
      <c r="D142" s="52"/>
      <c r="E142" s="52"/>
      <c r="F142" s="170"/>
    </row>
    <row r="143" spans="1:6" hidden="1" outlineLevel="3" x14ac:dyDescent="0.35">
      <c r="A143" s="55"/>
      <c r="B143" s="60"/>
      <c r="C143" s="52"/>
      <c r="D143" s="52"/>
      <c r="E143" s="52"/>
      <c r="F143" s="170"/>
    </row>
    <row r="144" spans="1:6" hidden="1" outlineLevel="3" x14ac:dyDescent="0.35">
      <c r="A144" s="55"/>
      <c r="B144" s="60"/>
      <c r="C144" s="52"/>
      <c r="D144" s="52"/>
      <c r="E144" s="52"/>
      <c r="F144" s="170"/>
    </row>
    <row r="145" spans="1:6" hidden="1" outlineLevel="3" x14ac:dyDescent="0.35">
      <c r="A145" s="55"/>
      <c r="B145" s="60"/>
      <c r="C145" s="52"/>
      <c r="D145" s="52"/>
      <c r="E145" s="52"/>
      <c r="F145" s="170"/>
    </row>
    <row r="146" spans="1:6" hidden="1" outlineLevel="3" x14ac:dyDescent="0.35">
      <c r="A146" s="55"/>
      <c r="B146" s="60"/>
      <c r="C146" s="52"/>
      <c r="D146" s="52"/>
      <c r="E146" s="52"/>
      <c r="F146" s="170"/>
    </row>
    <row r="147" spans="1:6" hidden="1" outlineLevel="3" x14ac:dyDescent="0.35">
      <c r="A147" s="55"/>
      <c r="B147" s="60"/>
      <c r="C147" s="52"/>
      <c r="D147" s="52"/>
      <c r="E147" s="52"/>
      <c r="F147" s="170"/>
    </row>
    <row r="148" spans="1:6" hidden="1" outlineLevel="3" x14ac:dyDescent="0.35">
      <c r="A148" s="55"/>
      <c r="B148" s="60"/>
      <c r="C148" s="52"/>
      <c r="D148" s="52"/>
      <c r="E148" s="52"/>
      <c r="F148" s="170"/>
    </row>
    <row r="149" spans="1:6" hidden="1" outlineLevel="3" x14ac:dyDescent="0.35">
      <c r="A149" s="55"/>
      <c r="B149" s="60"/>
      <c r="C149" s="52"/>
      <c r="D149" s="52"/>
      <c r="E149" s="52"/>
      <c r="F149" s="170"/>
    </row>
    <row r="150" spans="1:6" hidden="1" outlineLevel="3" x14ac:dyDescent="0.35">
      <c r="A150" s="55"/>
      <c r="B150" s="60"/>
      <c r="C150" s="52"/>
      <c r="D150" s="52"/>
      <c r="E150" s="52"/>
      <c r="F150" s="170"/>
    </row>
    <row r="151" spans="1:6" hidden="1" outlineLevel="3" x14ac:dyDescent="0.35">
      <c r="A151" s="55"/>
      <c r="B151" s="60"/>
      <c r="C151" s="52"/>
      <c r="D151" s="52"/>
      <c r="E151" s="52"/>
      <c r="F151" s="170"/>
    </row>
    <row r="152" spans="1:6" hidden="1" outlineLevel="3" x14ac:dyDescent="0.35">
      <c r="A152" s="55"/>
      <c r="B152" s="60"/>
      <c r="C152" s="52"/>
      <c r="D152" s="52"/>
      <c r="E152" s="52"/>
      <c r="F152" s="170"/>
    </row>
    <row r="153" spans="1:6" hidden="1" outlineLevel="3" x14ac:dyDescent="0.35">
      <c r="A153" s="55"/>
      <c r="B153" s="60"/>
      <c r="C153" s="52"/>
      <c r="D153" s="52"/>
      <c r="E153" s="52"/>
      <c r="F153" s="170"/>
    </row>
    <row r="154" spans="1:6" hidden="1" outlineLevel="3" x14ac:dyDescent="0.35">
      <c r="A154" s="55"/>
      <c r="B154" s="60"/>
      <c r="C154" s="52"/>
      <c r="D154" s="52"/>
      <c r="E154" s="52"/>
      <c r="F154" s="170"/>
    </row>
    <row r="155" spans="1:6" hidden="1" outlineLevel="3" x14ac:dyDescent="0.35">
      <c r="A155" s="55"/>
      <c r="B155" s="60"/>
      <c r="C155" s="52"/>
      <c r="D155" s="52"/>
      <c r="E155" s="52"/>
      <c r="F155" s="170"/>
    </row>
    <row r="156" spans="1:6" hidden="1" outlineLevel="3" x14ac:dyDescent="0.35">
      <c r="A156" s="55"/>
      <c r="B156" s="60"/>
      <c r="C156" s="52"/>
      <c r="D156" s="52"/>
      <c r="E156" s="52"/>
      <c r="F156" s="170"/>
    </row>
    <row r="157" spans="1:6" hidden="1" outlineLevel="3" x14ac:dyDescent="0.35">
      <c r="A157" s="55"/>
      <c r="B157" s="60"/>
      <c r="C157" s="52"/>
      <c r="D157" s="52"/>
      <c r="E157" s="52"/>
      <c r="F157" s="170"/>
    </row>
    <row r="158" spans="1:6" hidden="1" outlineLevel="3" x14ac:dyDescent="0.35">
      <c r="A158" s="55"/>
      <c r="B158" s="60"/>
      <c r="C158" s="52"/>
      <c r="D158" s="52"/>
      <c r="E158" s="52"/>
      <c r="F158" s="170"/>
    </row>
    <row r="159" spans="1:6" hidden="1" outlineLevel="3" x14ac:dyDescent="0.35">
      <c r="A159" s="55"/>
      <c r="B159" s="60"/>
      <c r="C159" s="52"/>
      <c r="D159" s="52"/>
      <c r="E159" s="52"/>
      <c r="F159" s="170"/>
    </row>
    <row r="160" spans="1:6" hidden="1" outlineLevel="3" x14ac:dyDescent="0.35">
      <c r="A160" s="55"/>
      <c r="B160" s="60"/>
      <c r="C160" s="52"/>
      <c r="D160" s="52"/>
      <c r="E160" s="52"/>
      <c r="F160" s="170"/>
    </row>
    <row r="161" spans="1:6" hidden="1" outlineLevel="3" x14ac:dyDescent="0.35">
      <c r="A161" s="55"/>
      <c r="B161" s="60"/>
      <c r="C161" s="52"/>
      <c r="D161" s="52"/>
      <c r="E161" s="52"/>
      <c r="F161" s="170"/>
    </row>
    <row r="162" spans="1:6" hidden="1" outlineLevel="3" x14ac:dyDescent="0.35">
      <c r="A162" s="55"/>
      <c r="B162" s="60"/>
      <c r="C162" s="52"/>
      <c r="D162" s="52"/>
      <c r="E162" s="52"/>
      <c r="F162" s="170"/>
    </row>
    <row r="163" spans="1:6" hidden="1" outlineLevel="3" x14ac:dyDescent="0.35">
      <c r="A163" s="55"/>
      <c r="B163" s="60"/>
      <c r="C163" s="52"/>
      <c r="D163" s="52"/>
      <c r="E163" s="52"/>
      <c r="F163" s="170"/>
    </row>
    <row r="164" spans="1:6" hidden="1" outlineLevel="3" x14ac:dyDescent="0.35">
      <c r="A164" s="55"/>
      <c r="B164" s="60"/>
      <c r="C164" s="52"/>
      <c r="D164" s="52"/>
      <c r="E164" s="52"/>
      <c r="F164" s="170"/>
    </row>
    <row r="165" spans="1:6" hidden="1" outlineLevel="3" x14ac:dyDescent="0.35">
      <c r="A165" s="55"/>
      <c r="B165" s="60"/>
      <c r="C165" s="52"/>
      <c r="D165" s="52"/>
      <c r="E165" s="52"/>
      <c r="F165" s="170"/>
    </row>
    <row r="166" spans="1:6" hidden="1" outlineLevel="3" x14ac:dyDescent="0.35">
      <c r="A166" s="55"/>
      <c r="B166" s="60"/>
      <c r="C166" s="52"/>
      <c r="D166" s="52"/>
      <c r="E166" s="52"/>
      <c r="F166" s="170"/>
    </row>
    <row r="167" spans="1:6" hidden="1" outlineLevel="3" x14ac:dyDescent="0.35">
      <c r="A167" s="55"/>
      <c r="B167" s="60"/>
      <c r="C167" s="52"/>
      <c r="D167" s="52"/>
      <c r="E167" s="52"/>
      <c r="F167" s="170"/>
    </row>
    <row r="168" spans="1:6" hidden="1" outlineLevel="3" x14ac:dyDescent="0.35">
      <c r="A168" s="55"/>
      <c r="B168" s="60"/>
      <c r="C168" s="52"/>
      <c r="D168" s="52"/>
      <c r="E168" s="52"/>
      <c r="F168" s="170"/>
    </row>
    <row r="169" spans="1:6" hidden="1" outlineLevel="3" x14ac:dyDescent="0.35">
      <c r="A169" s="55"/>
      <c r="B169" s="60"/>
      <c r="C169" s="52"/>
      <c r="D169" s="52"/>
      <c r="E169" s="52"/>
      <c r="F169" s="170"/>
    </row>
    <row r="170" spans="1:6" hidden="1" outlineLevel="3" x14ac:dyDescent="0.35">
      <c r="A170" s="55"/>
      <c r="B170" s="60"/>
      <c r="C170" s="52"/>
      <c r="D170" s="52"/>
      <c r="E170" s="52"/>
      <c r="F170" s="170"/>
    </row>
    <row r="171" spans="1:6" hidden="1" outlineLevel="3" x14ac:dyDescent="0.35">
      <c r="A171" s="55"/>
      <c r="B171" s="60"/>
      <c r="C171" s="52"/>
      <c r="D171" s="52"/>
      <c r="E171" s="52"/>
      <c r="F171" s="170"/>
    </row>
    <row r="172" spans="1:6" hidden="1" outlineLevel="3" x14ac:dyDescent="0.35">
      <c r="A172" s="55"/>
      <c r="B172" s="60"/>
      <c r="C172" s="52"/>
      <c r="D172" s="52"/>
      <c r="E172" s="52"/>
      <c r="F172" s="170"/>
    </row>
    <row r="173" spans="1:6" hidden="1" outlineLevel="3" x14ac:dyDescent="0.35">
      <c r="A173" s="55"/>
      <c r="B173" s="60"/>
      <c r="C173" s="52"/>
      <c r="D173" s="52"/>
      <c r="E173" s="52"/>
      <c r="F173" s="170"/>
    </row>
    <row r="174" spans="1:6" hidden="1" outlineLevel="3" x14ac:dyDescent="0.35">
      <c r="A174" s="55"/>
      <c r="B174" s="60"/>
      <c r="C174" s="52"/>
      <c r="D174" s="52"/>
      <c r="E174" s="52"/>
      <c r="F174" s="170"/>
    </row>
    <row r="175" spans="1:6" hidden="1" outlineLevel="3" x14ac:dyDescent="0.35">
      <c r="A175" s="55"/>
      <c r="B175" s="60"/>
      <c r="C175" s="52"/>
      <c r="D175" s="52"/>
      <c r="E175" s="52"/>
      <c r="F175" s="170"/>
    </row>
    <row r="176" spans="1:6" s="54" customFormat="1" hidden="1" outlineLevel="3" collapsed="1" x14ac:dyDescent="0.35">
      <c r="A176" s="55"/>
      <c r="B176" s="60"/>
      <c r="C176" s="52"/>
      <c r="D176" s="52"/>
      <c r="E176" s="52"/>
      <c r="F176" s="170"/>
    </row>
    <row r="177" spans="1:6" s="54" customFormat="1" hidden="1" outlineLevel="3" x14ac:dyDescent="0.35">
      <c r="A177" s="55"/>
      <c r="B177" s="60"/>
      <c r="C177" s="52"/>
      <c r="D177" s="52"/>
      <c r="E177" s="52"/>
      <c r="F177" s="170"/>
    </row>
    <row r="178" spans="1:6" s="54" customFormat="1" hidden="1" outlineLevel="3" x14ac:dyDescent="0.35">
      <c r="A178" s="55"/>
      <c r="B178" s="60"/>
      <c r="C178" s="52"/>
      <c r="D178" s="52"/>
      <c r="E178" s="52"/>
      <c r="F178" s="170"/>
    </row>
    <row r="179" spans="1:6" s="54" customFormat="1" hidden="1" outlineLevel="3" x14ac:dyDescent="0.35">
      <c r="A179" s="55"/>
      <c r="B179" s="60"/>
      <c r="C179" s="52"/>
      <c r="D179" s="52"/>
      <c r="E179" s="52"/>
      <c r="F179" s="170"/>
    </row>
    <row r="180" spans="1:6" s="54" customFormat="1" hidden="1" outlineLevel="3" x14ac:dyDescent="0.35">
      <c r="A180" s="55"/>
      <c r="B180" s="60"/>
      <c r="C180" s="52"/>
      <c r="D180" s="52"/>
      <c r="E180" s="52"/>
      <c r="F180" s="170"/>
    </row>
    <row r="181" spans="1:6" s="54" customFormat="1" hidden="1" outlineLevel="2" collapsed="1" x14ac:dyDescent="0.35">
      <c r="A181" s="55"/>
      <c r="B181" s="60"/>
      <c r="C181" s="52"/>
      <c r="D181" s="52"/>
      <c r="E181" s="52"/>
      <c r="F181" s="170"/>
    </row>
    <row r="182" spans="1:6" s="54" customFormat="1" hidden="1" outlineLevel="3" x14ac:dyDescent="0.35">
      <c r="A182" s="55"/>
      <c r="B182" s="60"/>
      <c r="C182" s="52"/>
      <c r="D182" s="52"/>
      <c r="E182" s="52"/>
      <c r="F182" s="170"/>
    </row>
    <row r="183" spans="1:6" s="54" customFormat="1" hidden="1" outlineLevel="3" x14ac:dyDescent="0.35">
      <c r="A183" s="55"/>
      <c r="B183" s="60"/>
      <c r="C183" s="52"/>
      <c r="D183" s="52"/>
      <c r="E183" s="52"/>
      <c r="F183" s="170"/>
    </row>
    <row r="184" spans="1:6" s="54" customFormat="1" hidden="1" outlineLevel="3" x14ac:dyDescent="0.35">
      <c r="A184" s="55"/>
      <c r="B184" s="60"/>
      <c r="C184" s="52"/>
      <c r="D184" s="52"/>
      <c r="E184" s="52"/>
      <c r="F184" s="170"/>
    </row>
    <row r="185" spans="1:6" s="54" customFormat="1" hidden="1" outlineLevel="3" x14ac:dyDescent="0.35">
      <c r="A185" s="55"/>
      <c r="B185" s="60"/>
      <c r="C185" s="52"/>
      <c r="D185" s="52"/>
      <c r="E185" s="52"/>
      <c r="F185" s="170"/>
    </row>
    <row r="186" spans="1:6" s="54" customFormat="1" hidden="1" outlineLevel="3" x14ac:dyDescent="0.35">
      <c r="A186" s="55"/>
      <c r="B186" s="60"/>
      <c r="C186" s="52"/>
      <c r="D186" s="52"/>
      <c r="E186" s="52"/>
      <c r="F186" s="170"/>
    </row>
    <row r="187" spans="1:6" s="54" customFormat="1" hidden="1" outlineLevel="3" x14ac:dyDescent="0.35">
      <c r="A187" s="55"/>
      <c r="B187" s="60"/>
      <c r="C187" s="52"/>
      <c r="D187" s="52"/>
      <c r="E187" s="52"/>
      <c r="F187" s="170"/>
    </row>
    <row r="188" spans="1:6" s="54" customFormat="1" hidden="1" outlineLevel="3" x14ac:dyDescent="0.35">
      <c r="A188" s="55"/>
      <c r="B188" s="60"/>
      <c r="C188" s="52"/>
      <c r="D188" s="52"/>
      <c r="E188" s="52"/>
      <c r="F188" s="170"/>
    </row>
    <row r="189" spans="1:6" s="54" customFormat="1" hidden="1" outlineLevel="3" x14ac:dyDescent="0.35">
      <c r="A189" s="55"/>
      <c r="B189" s="60"/>
      <c r="C189" s="52"/>
      <c r="D189" s="52"/>
      <c r="E189" s="52"/>
      <c r="F189" s="170"/>
    </row>
    <row r="190" spans="1:6" s="54" customFormat="1" hidden="1" outlineLevel="3" x14ac:dyDescent="0.35">
      <c r="A190" s="55"/>
      <c r="B190" s="60"/>
      <c r="C190" s="52"/>
      <c r="D190" s="52"/>
      <c r="E190" s="52"/>
      <c r="F190" s="170"/>
    </row>
    <row r="191" spans="1:6" s="54" customFormat="1" hidden="1" outlineLevel="3" x14ac:dyDescent="0.35">
      <c r="A191" s="55"/>
      <c r="B191" s="60"/>
      <c r="C191" s="52"/>
      <c r="D191" s="52"/>
      <c r="E191" s="52"/>
      <c r="F191" s="170"/>
    </row>
    <row r="192" spans="1:6" s="54" customFormat="1" hidden="1" outlineLevel="3" x14ac:dyDescent="0.35">
      <c r="A192" s="55"/>
      <c r="B192" s="60"/>
      <c r="C192" s="52"/>
      <c r="D192" s="52"/>
      <c r="E192" s="52"/>
      <c r="F192" s="170"/>
    </row>
    <row r="193" spans="1:6" s="54" customFormat="1" hidden="1" outlineLevel="3" x14ac:dyDescent="0.35">
      <c r="A193" s="55"/>
      <c r="B193" s="60"/>
      <c r="C193" s="52"/>
      <c r="D193" s="52"/>
      <c r="E193" s="52"/>
      <c r="F193" s="170"/>
    </row>
    <row r="194" spans="1:6" s="54" customFormat="1" hidden="1" outlineLevel="3" x14ac:dyDescent="0.35">
      <c r="A194" s="55"/>
      <c r="B194" s="60"/>
      <c r="C194" s="52"/>
      <c r="D194" s="52"/>
      <c r="E194" s="52"/>
      <c r="F194" s="170"/>
    </row>
    <row r="195" spans="1:6" s="54" customFormat="1" hidden="1" outlineLevel="3" x14ac:dyDescent="0.35">
      <c r="A195" s="55"/>
      <c r="B195" s="60"/>
      <c r="C195" s="52"/>
      <c r="D195" s="52"/>
      <c r="E195" s="52"/>
      <c r="F195" s="170"/>
    </row>
    <row r="196" spans="1:6" s="54" customFormat="1" hidden="1" outlineLevel="3" x14ac:dyDescent="0.35">
      <c r="A196" s="55"/>
      <c r="B196" s="60"/>
      <c r="C196" s="52"/>
      <c r="D196" s="52"/>
      <c r="E196" s="52"/>
      <c r="F196" s="170"/>
    </row>
    <row r="197" spans="1:6" s="54" customFormat="1" hidden="1" outlineLevel="2" collapsed="1" x14ac:dyDescent="0.35">
      <c r="A197" s="55"/>
      <c r="B197" s="60"/>
      <c r="C197" s="52"/>
      <c r="D197" s="52"/>
      <c r="E197" s="52"/>
      <c r="F197" s="170"/>
    </row>
    <row r="198" spans="1:6" s="54" customFormat="1" hidden="1" outlineLevel="3" x14ac:dyDescent="0.35">
      <c r="A198" s="55"/>
      <c r="B198" s="60"/>
      <c r="C198" s="52"/>
      <c r="D198" s="52"/>
      <c r="E198" s="52"/>
      <c r="F198" s="170"/>
    </row>
    <row r="199" spans="1:6" s="54" customFormat="1" hidden="1" outlineLevel="3" x14ac:dyDescent="0.35">
      <c r="A199" s="55"/>
      <c r="B199" s="60"/>
      <c r="C199" s="52"/>
      <c r="D199" s="52"/>
      <c r="E199" s="52"/>
      <c r="F199" s="170"/>
    </row>
    <row r="200" spans="1:6" s="54" customFormat="1" hidden="1" outlineLevel="3" x14ac:dyDescent="0.35">
      <c r="A200" s="55"/>
      <c r="B200" s="60"/>
      <c r="C200" s="52"/>
      <c r="D200" s="52"/>
      <c r="E200" s="52"/>
      <c r="F200" s="170"/>
    </row>
    <row r="201" spans="1:6" s="54" customFormat="1" hidden="1" outlineLevel="2" collapsed="1" x14ac:dyDescent="0.35">
      <c r="A201" s="48" t="str">
        <f>Базовый!A193</f>
        <v>Компьютерное оборудование</v>
      </c>
      <c r="B201" s="19" t="str">
        <f>Базовый!C193</f>
        <v>х</v>
      </c>
      <c r="C201" s="22" t="str">
        <f>Базовый!T193</f>
        <v>х</v>
      </c>
      <c r="D201" s="22" t="str">
        <f>Базовый!U193</f>
        <v>х</v>
      </c>
      <c r="E201" s="22">
        <f>SUM(E202:E204)</f>
        <v>75.265036148284878</v>
      </c>
      <c r="F201" s="170"/>
    </row>
    <row r="202" spans="1:6" s="54" customFormat="1" hidden="1" outlineLevel="3" x14ac:dyDescent="0.35">
      <c r="A202" s="48" t="str">
        <f>Базовый!A194</f>
        <v>Лазерный МФУ</v>
      </c>
      <c r="B202" s="19">
        <f>Базовый!C194</f>
        <v>4.6146746654360873E-3</v>
      </c>
      <c r="C202" s="22">
        <f>Базовый!T194</f>
        <v>5</v>
      </c>
      <c r="D202" s="22">
        <f>Базовый!U194</f>
        <v>17490</v>
      </c>
      <c r="E202" s="22">
        <f>B202/C202*D202</f>
        <v>16.142131979695431</v>
      </c>
      <c r="F202" s="170"/>
    </row>
    <row r="203" spans="1:6" s="54" customFormat="1" hidden="1" outlineLevel="3" x14ac:dyDescent="0.35">
      <c r="A203" s="48" t="str">
        <f>Базовый!A195</f>
        <v>Ноутбук</v>
      </c>
      <c r="B203" s="19">
        <f>Базовый!C195</f>
        <v>4.6146746654360873E-3</v>
      </c>
      <c r="C203" s="22">
        <f>Базовый!T195</f>
        <v>5</v>
      </c>
      <c r="D203" s="22">
        <f>Базовый!U195</f>
        <v>26273</v>
      </c>
      <c r="E203" s="22">
        <f>B203/C203*D203</f>
        <v>24.248269497000464</v>
      </c>
      <c r="F203" s="170"/>
    </row>
    <row r="204" spans="1:6" s="54" customFormat="1" hidden="1" outlineLevel="3" x14ac:dyDescent="0.35">
      <c r="A204" s="48" t="str">
        <f>Базовый!A196</f>
        <v>Системный блок</v>
      </c>
      <c r="B204" s="19">
        <f>Базовый!C196</f>
        <v>4.6146746654360873E-3</v>
      </c>
      <c r="C204" s="22">
        <f>Базовый!T196</f>
        <v>5</v>
      </c>
      <c r="D204" s="22">
        <f>Базовый!U196</f>
        <v>37786.666666666664</v>
      </c>
      <c r="E204" s="22">
        <f>B204/C204*D204</f>
        <v>34.874634671588986</v>
      </c>
      <c r="F204" s="170"/>
    </row>
    <row r="205" spans="1:6" ht="30" customHeight="1" x14ac:dyDescent="0.35">
      <c r="A205" s="164" t="s">
        <v>22</v>
      </c>
      <c r="B205" s="164"/>
      <c r="C205" s="164"/>
      <c r="D205" s="164"/>
      <c r="E205" s="23">
        <f>E206+E214+E230+E233+E236+E238+E241</f>
        <v>12675.406535011853</v>
      </c>
      <c r="F205" s="170"/>
    </row>
    <row r="206" spans="1:6" ht="30" customHeight="1" outlineLevel="1" collapsed="1" x14ac:dyDescent="0.35">
      <c r="A206" s="164" t="s">
        <v>25</v>
      </c>
      <c r="B206" s="164"/>
      <c r="C206" s="164"/>
      <c r="D206" s="164"/>
      <c r="E206" s="22">
        <f>SUM(E207:E213)</f>
        <v>10945.284403032158</v>
      </c>
      <c r="F206" s="170"/>
    </row>
    <row r="207" spans="1:6" hidden="1" outlineLevel="2" x14ac:dyDescent="0.35">
      <c r="A207" s="48" t="str">
        <f>Базовый!A199</f>
        <v>Теплоэнергия (город)</v>
      </c>
      <c r="B207" s="19">
        <f>Базовый!C199</f>
        <v>2.8283574470733908</v>
      </c>
      <c r="C207" s="22">
        <f>Базовый!T199</f>
        <v>1</v>
      </c>
      <c r="D207" s="22">
        <f>Базовый!U199</f>
        <v>3101.7649999999999</v>
      </c>
      <c r="E207" s="22">
        <f t="shared" ref="E207:E213" si="2">B207/C207*D207</f>
        <v>8772.9001368215959</v>
      </c>
      <c r="F207" s="170"/>
    </row>
    <row r="208" spans="1:6" hidden="1" outlineLevel="2" x14ac:dyDescent="0.35">
      <c r="A208" s="48" t="str">
        <f>Базовый!A200</f>
        <v>Теплоэнергия в горячей воде</v>
      </c>
      <c r="B208" s="19">
        <f>Базовый!C200</f>
        <v>0.15612409213123213</v>
      </c>
      <c r="C208" s="22">
        <f>Базовый!T200</f>
        <v>1</v>
      </c>
      <c r="D208" s="22">
        <f>Базовый!U200</f>
        <v>3101.7649999999999</v>
      </c>
      <c r="E208" s="22">
        <f t="shared" si="2"/>
        <v>484.26024462943121</v>
      </c>
      <c r="F208" s="170"/>
    </row>
    <row r="209" spans="1:6" hidden="1" outlineLevel="2" x14ac:dyDescent="0.35">
      <c r="A209" s="48" t="str">
        <f>Базовый!A201</f>
        <v>Теплоноситель</v>
      </c>
      <c r="B209" s="19">
        <f>Базовый!C201</f>
        <v>2.3661380504500134</v>
      </c>
      <c r="C209" s="22">
        <f>Базовый!T201</f>
        <v>1</v>
      </c>
      <c r="D209" s="22">
        <f>Базовый!U201</f>
        <v>19.37</v>
      </c>
      <c r="E209" s="22">
        <f t="shared" si="2"/>
        <v>45.832094037216763</v>
      </c>
      <c r="F209" s="170"/>
    </row>
    <row r="210" spans="1:6" hidden="1" outlineLevel="2" x14ac:dyDescent="0.35">
      <c r="A210" s="48" t="str">
        <f>Базовый!A202</f>
        <v>Электроэнергия</v>
      </c>
      <c r="B210" s="19">
        <f>Базовый!C202</f>
        <v>229.20523552563728</v>
      </c>
      <c r="C210" s="22">
        <f>Базовый!T202</f>
        <v>1</v>
      </c>
      <c r="D210" s="22">
        <f>Базовый!U202</f>
        <v>5.18</v>
      </c>
      <c r="E210" s="22">
        <f t="shared" si="2"/>
        <v>1187.2831200228011</v>
      </c>
      <c r="F210" s="170"/>
    </row>
    <row r="211" spans="1:6" hidden="1" outlineLevel="2" x14ac:dyDescent="0.35">
      <c r="A211" s="48" t="str">
        <f>Базовый!A203</f>
        <v>Холодное водоснабжение</v>
      </c>
      <c r="B211" s="19">
        <f>Базовый!C203</f>
        <v>9.9994760348931244</v>
      </c>
      <c r="C211" s="22">
        <f>Базовый!T203</f>
        <v>1</v>
      </c>
      <c r="D211" s="22">
        <f>Базовый!U203</f>
        <v>19.03</v>
      </c>
      <c r="E211" s="22">
        <f t="shared" si="2"/>
        <v>190.29002894401617</v>
      </c>
      <c r="F211" s="170"/>
    </row>
    <row r="212" spans="1:6" hidden="1" outlineLevel="2" x14ac:dyDescent="0.35">
      <c r="A212" s="48" t="str">
        <f>Базовый!A204</f>
        <v>Водоотведение</v>
      </c>
      <c r="B212" s="19">
        <f>Базовый!C204</f>
        <v>11.380734758842362</v>
      </c>
      <c r="C212" s="22">
        <f>Базовый!T204</f>
        <v>1</v>
      </c>
      <c r="D212" s="22">
        <f>Базовый!U204</f>
        <v>22.03</v>
      </c>
      <c r="E212" s="22">
        <f t="shared" si="2"/>
        <v>250.71758673729724</v>
      </c>
      <c r="F212" s="170"/>
    </row>
    <row r="213" spans="1:6" hidden="1" outlineLevel="2" x14ac:dyDescent="0.35">
      <c r="A213" s="48" t="str">
        <f>Базовый!A205</f>
        <v>Сбросы загрязнений</v>
      </c>
      <c r="B213" s="19">
        <f>Базовый!C205</f>
        <v>7.107203979593355</v>
      </c>
      <c r="C213" s="22">
        <f>Базовый!T205</f>
        <v>1</v>
      </c>
      <c r="D213" s="22">
        <f>Базовый!U205</f>
        <v>1.97</v>
      </c>
      <c r="E213" s="22">
        <f t="shared" si="2"/>
        <v>14.00119183979891</v>
      </c>
      <c r="F213" s="170"/>
    </row>
    <row r="214" spans="1:6" ht="30" customHeight="1" outlineLevel="1" collapsed="1" x14ac:dyDescent="0.35">
      <c r="A214" s="164" t="s">
        <v>36</v>
      </c>
      <c r="B214" s="164"/>
      <c r="C214" s="164"/>
      <c r="D214" s="164"/>
      <c r="E214" s="22">
        <f>SUM(E215:E229)</f>
        <v>1595.3767081987387</v>
      </c>
      <c r="F214" s="170"/>
    </row>
    <row r="215" spans="1:6" hidden="1" outlineLevel="2" x14ac:dyDescent="0.35">
      <c r="A215" s="48" t="str">
        <f>Базовый!A207</f>
        <v>Дератизация</v>
      </c>
      <c r="B215" s="19">
        <f>Базовый!C207</f>
        <v>1.1075219197046609</v>
      </c>
      <c r="C215" s="22">
        <f>Базовый!T207</f>
        <v>1</v>
      </c>
      <c r="D215" s="22">
        <f>Базовый!U207</f>
        <v>1.6500000000000001</v>
      </c>
      <c r="E215" s="22">
        <f t="shared" ref="E215:E229" si="3">B215/C215*D215</f>
        <v>1.8274111675126905</v>
      </c>
      <c r="F215" s="170"/>
    </row>
    <row r="216" spans="1:6" hidden="1" outlineLevel="2" x14ac:dyDescent="0.35">
      <c r="A216" s="48" t="str">
        <f>Базовый!A208</f>
        <v>Дезинсекция</v>
      </c>
      <c r="B216" s="19">
        <f>Базовый!C208</f>
        <v>1.1075219197046609</v>
      </c>
      <c r="C216" s="22">
        <f>Базовый!T208</f>
        <v>1</v>
      </c>
      <c r="D216" s="22">
        <f>Базовый!U208</f>
        <v>3.64</v>
      </c>
      <c r="E216" s="22">
        <f t="shared" si="3"/>
        <v>4.0313797877249655</v>
      </c>
      <c r="F216" s="170"/>
    </row>
    <row r="217" spans="1:6" hidden="1" outlineLevel="2" x14ac:dyDescent="0.35">
      <c r="A217" s="48" t="str">
        <f>Базовый!A209</f>
        <v>Дезинфекция</v>
      </c>
      <c r="B217" s="19">
        <f>Базовый!C209</f>
        <v>0.50761421319796962</v>
      </c>
      <c r="C217" s="22">
        <f>Базовый!T209</f>
        <v>1</v>
      </c>
      <c r="D217" s="22">
        <f>Базовый!U209</f>
        <v>23.352599999999999</v>
      </c>
      <c r="E217" s="22">
        <f t="shared" si="3"/>
        <v>11.854111675126905</v>
      </c>
      <c r="F217" s="170"/>
    </row>
    <row r="218" spans="1:6" hidden="1" outlineLevel="2" x14ac:dyDescent="0.35">
      <c r="A218" s="48" t="str">
        <f>Базовый!A210</f>
        <v>ТО КТС</v>
      </c>
      <c r="B218" s="19">
        <f>Базовый!C210</f>
        <v>4.6146746654360873E-3</v>
      </c>
      <c r="C218" s="22">
        <f>Базовый!T210</f>
        <v>1</v>
      </c>
      <c r="D218" s="22">
        <f>Базовый!U210</f>
        <v>3619.44</v>
      </c>
      <c r="E218" s="22">
        <f t="shared" si="3"/>
        <v>16.702538071065991</v>
      </c>
      <c r="F218" s="170"/>
    </row>
    <row r="219" spans="1:6" hidden="1" outlineLevel="2" x14ac:dyDescent="0.35">
      <c r="A219" s="48" t="str">
        <f>Базовый!A211</f>
        <v>Охрана КТС</v>
      </c>
      <c r="B219" s="19">
        <f>Базовый!C211</f>
        <v>40.424550069220125</v>
      </c>
      <c r="C219" s="22">
        <f>Базовый!T211</f>
        <v>1</v>
      </c>
      <c r="D219" s="22">
        <f>Базовый!U211</f>
        <v>4.7366666666666672</v>
      </c>
      <c r="E219" s="22">
        <f t="shared" si="3"/>
        <v>191.47761882787267</v>
      </c>
      <c r="F219" s="170"/>
    </row>
    <row r="220" spans="1:6" hidden="1" outlineLevel="2" x14ac:dyDescent="0.35">
      <c r="A220" s="48" t="str">
        <f>Базовый!A212</f>
        <v>Пожарная охрана</v>
      </c>
      <c r="B220" s="19">
        <f>Базовый!C212</f>
        <v>40.424550069220125</v>
      </c>
      <c r="C220" s="22">
        <f>Базовый!T212</f>
        <v>1</v>
      </c>
      <c r="D220" s="22">
        <f>Базовый!U212</f>
        <v>5.1466666666666674</v>
      </c>
      <c r="E220" s="22">
        <f t="shared" si="3"/>
        <v>208.05168435625293</v>
      </c>
      <c r="F220" s="170"/>
    </row>
    <row r="221" spans="1:6" hidden="1" outlineLevel="2" x14ac:dyDescent="0.35">
      <c r="A221" s="48" t="str">
        <f>Базовый!A213</f>
        <v>Охрана при помощи ОС</v>
      </c>
      <c r="B221" s="19">
        <f>Базовый!C213</f>
        <v>80.849100138440249</v>
      </c>
      <c r="C221" s="22">
        <f>Базовый!T213</f>
        <v>1</v>
      </c>
      <c r="D221" s="22">
        <f>Базовый!U213</f>
        <v>4.7366666666666672</v>
      </c>
      <c r="E221" s="22">
        <f t="shared" si="3"/>
        <v>382.95523765574535</v>
      </c>
      <c r="F221" s="170"/>
    </row>
    <row r="222" spans="1:6" ht="26" hidden="1" outlineLevel="2" x14ac:dyDescent="0.35">
      <c r="A222" s="48" t="str">
        <f>Базовый!A214</f>
        <v>ТО автоматизированного теплового пункта</v>
      </c>
      <c r="B222" s="19">
        <f>Базовый!C214</f>
        <v>4.6146746654360873E-3</v>
      </c>
      <c r="C222" s="22">
        <f>Базовый!T214</f>
        <v>1</v>
      </c>
      <c r="D222" s="22">
        <f>Базовый!U214</f>
        <v>17631.633333333335</v>
      </c>
      <c r="E222" s="22">
        <f t="shared" si="3"/>
        <v>81.364251653591779</v>
      </c>
      <c r="F222" s="170"/>
    </row>
    <row r="223" spans="1:6" ht="26" hidden="1" outlineLevel="2" x14ac:dyDescent="0.35">
      <c r="A223" s="48" t="str">
        <f>Базовый!A215</f>
        <v>ТО приборов учета тепловой энергии</v>
      </c>
      <c r="B223" s="19">
        <f>Базовый!C215</f>
        <v>4.6146746654360873E-3</v>
      </c>
      <c r="C223" s="22">
        <f>Базовый!T215</f>
        <v>1</v>
      </c>
      <c r="D223" s="22">
        <f>Базовый!U215</f>
        <v>19521.88</v>
      </c>
      <c r="E223" s="22">
        <f t="shared" si="3"/>
        <v>90.087125057683451</v>
      </c>
      <c r="F223" s="170"/>
    </row>
    <row r="224" spans="1:6" hidden="1" outlineLevel="2" x14ac:dyDescent="0.35">
      <c r="A224" s="48" t="str">
        <f>Базовый!A216</f>
        <v>Вывоз ТБО</v>
      </c>
      <c r="B224" s="19">
        <f>Базовый!C216</f>
        <v>0.66109829257037378</v>
      </c>
      <c r="C224" s="22">
        <f>Базовый!T216</f>
        <v>1</v>
      </c>
      <c r="D224" s="22">
        <f>Базовый!U216</f>
        <v>651</v>
      </c>
      <c r="E224" s="22">
        <f t="shared" si="3"/>
        <v>430.37498846331334</v>
      </c>
      <c r="F224" s="170"/>
    </row>
    <row r="225" spans="1:6" hidden="1" outlineLevel="2" x14ac:dyDescent="0.35">
      <c r="A225" s="48" t="str">
        <f>Базовый!A217</f>
        <v>ТО пожарной сигнализации</v>
      </c>
      <c r="B225" s="19">
        <f>Базовый!C217</f>
        <v>4.6146746654360873E-3</v>
      </c>
      <c r="C225" s="22">
        <f>Базовый!T217</f>
        <v>1</v>
      </c>
      <c r="D225" s="22">
        <f>Базовый!U217</f>
        <v>27379.039999999997</v>
      </c>
      <c r="E225" s="22">
        <f t="shared" si="3"/>
        <v>126.34536225196123</v>
      </c>
      <c r="F225" s="170"/>
    </row>
    <row r="226" spans="1:6" ht="26" hidden="1" outlineLevel="2" x14ac:dyDescent="0.35">
      <c r="A226" s="48" t="str">
        <f>Базовый!A218</f>
        <v>Обработка чердачных перекрытий</v>
      </c>
      <c r="B226" s="19">
        <f>Базовый!C218</f>
        <v>0</v>
      </c>
      <c r="C226" s="22">
        <f>Базовый!T218</f>
        <v>1</v>
      </c>
      <c r="D226" s="22">
        <f>Базовый!U218</f>
        <v>38</v>
      </c>
      <c r="E226" s="22">
        <f t="shared" si="3"/>
        <v>0</v>
      </c>
      <c r="F226" s="170"/>
    </row>
    <row r="227" spans="1:6" hidden="1" outlineLevel="2" x14ac:dyDescent="0.35">
      <c r="A227" s="48" t="str">
        <f>Базовый!A219</f>
        <v>Прочистка канализации</v>
      </c>
      <c r="B227" s="19">
        <f>Базовый!C219</f>
        <v>0</v>
      </c>
      <c r="C227" s="22">
        <f>Базовый!T219</f>
        <v>1</v>
      </c>
      <c r="D227" s="22">
        <f>Базовый!U219</f>
        <v>10987</v>
      </c>
      <c r="E227" s="22">
        <f t="shared" si="3"/>
        <v>0</v>
      </c>
      <c r="F227" s="170"/>
    </row>
    <row r="228" spans="1:6" ht="26" hidden="1" outlineLevel="2" x14ac:dyDescent="0.35">
      <c r="A228" s="48" t="str">
        <f>Базовый!A220</f>
        <v>Проверка качества огнезащитной пропитки</v>
      </c>
      <c r="B228" s="19">
        <f>Базовый!C220</f>
        <v>9.2293493308721747E-3</v>
      </c>
      <c r="C228" s="22">
        <f>Базовый!T220</f>
        <v>1</v>
      </c>
      <c r="D228" s="22">
        <f>Базовый!U220</f>
        <v>5450.5466666666662</v>
      </c>
      <c r="E228" s="22">
        <f t="shared" si="3"/>
        <v>50.30499923088756</v>
      </c>
      <c r="F228" s="170"/>
    </row>
    <row r="229" spans="1:6" ht="26" hidden="1" outlineLevel="2" x14ac:dyDescent="0.35">
      <c r="A229" s="48" t="str">
        <f>Базовый!A221</f>
        <v>Замеры сопротивления изоляции</v>
      </c>
      <c r="B229" s="19">
        <f>Базовый!C221</f>
        <v>0</v>
      </c>
      <c r="C229" s="22">
        <f>Базовый!T221</f>
        <v>1</v>
      </c>
      <c r="D229" s="22">
        <f>Базовый!U221</f>
        <v>8966.6666666666661</v>
      </c>
      <c r="E229" s="22">
        <f t="shared" si="3"/>
        <v>0</v>
      </c>
      <c r="F229" s="170"/>
    </row>
    <row r="230" spans="1:6" ht="30" customHeight="1" outlineLevel="1" collapsed="1" x14ac:dyDescent="0.35">
      <c r="A230" s="164" t="s">
        <v>42</v>
      </c>
      <c r="B230" s="164"/>
      <c r="C230" s="164"/>
      <c r="D230" s="164"/>
      <c r="E230" s="22">
        <f>SUM(E231:E232)</f>
        <v>5.6914320873711741</v>
      </c>
      <c r="F230" s="170"/>
    </row>
    <row r="231" spans="1:6" hidden="1" outlineLevel="2" x14ac:dyDescent="0.35">
      <c r="A231" s="48" t="str">
        <f>Базовый!A223</f>
        <v>Ремонт МФУ</v>
      </c>
      <c r="B231" s="19">
        <f>Базовый!C223</f>
        <v>4.6146746654360873E-3</v>
      </c>
      <c r="C231" s="22">
        <f>Базовый!T223</f>
        <v>1</v>
      </c>
      <c r="D231" s="22">
        <f>Базовый!U223</f>
        <v>1233.3333333333333</v>
      </c>
      <c r="E231" s="22">
        <f>B231/C231*D231</f>
        <v>5.6914320873711741</v>
      </c>
      <c r="F231" s="170"/>
    </row>
    <row r="232" spans="1:6" ht="26" hidden="1" outlineLevel="2" x14ac:dyDescent="0.35">
      <c r="A232" s="48" t="str">
        <f>Базовый!A224</f>
        <v>Огнезащитная обработка веранд</v>
      </c>
      <c r="B232" s="19">
        <f>Базовый!C224</f>
        <v>0</v>
      </c>
      <c r="C232" s="22">
        <f>Базовый!T224</f>
        <v>1</v>
      </c>
      <c r="D232" s="22">
        <f>Базовый!U224</f>
        <v>43.333333333333336</v>
      </c>
      <c r="E232" s="22">
        <f>B232/C232*D232</f>
        <v>0</v>
      </c>
      <c r="F232" s="170"/>
    </row>
    <row r="233" spans="1:6" ht="30" customHeight="1" outlineLevel="1" collapsed="1" x14ac:dyDescent="0.35">
      <c r="A233" s="164" t="s">
        <v>44</v>
      </c>
      <c r="B233" s="164"/>
      <c r="C233" s="164"/>
      <c r="D233" s="164"/>
      <c r="E233" s="22">
        <f>SUM(E234:E235)</f>
        <v>129.0539916935856</v>
      </c>
      <c r="F233" s="170"/>
    </row>
    <row r="234" spans="1:6" ht="26" hidden="1" outlineLevel="2" x14ac:dyDescent="0.35">
      <c r="A234" s="48" t="str">
        <f>Базовый!A226</f>
        <v>Ростелеком внутризоновая связь</v>
      </c>
      <c r="B234" s="19">
        <f>Базовый!C226</f>
        <v>4.6146746654360873E-3</v>
      </c>
      <c r="C234" s="22">
        <f>Базовый!T226</f>
        <v>1</v>
      </c>
      <c r="D234" s="22">
        <f>Базовый!U226</f>
        <v>10974</v>
      </c>
      <c r="E234" s="22">
        <f>B234/C234*D234</f>
        <v>50.641439778495624</v>
      </c>
      <c r="F234" s="170"/>
    </row>
    <row r="235" spans="1:6" hidden="1" outlineLevel="2" x14ac:dyDescent="0.35">
      <c r="A235" s="48" t="str">
        <f>Базовый!A227</f>
        <v>Ростелеком интернет</v>
      </c>
      <c r="B235" s="19">
        <f>Базовый!C227</f>
        <v>4.6146746654360873E-3</v>
      </c>
      <c r="C235" s="22">
        <f>Базовый!T227</f>
        <v>1</v>
      </c>
      <c r="D235" s="22">
        <f>Базовый!U227</f>
        <v>16992</v>
      </c>
      <c r="E235" s="22">
        <f>B235/C235*D235</f>
        <v>78.412551915089992</v>
      </c>
      <c r="F235" s="170"/>
    </row>
    <row r="236" spans="1:6" ht="30" customHeight="1" outlineLevel="1" collapsed="1" x14ac:dyDescent="0.35">
      <c r="A236" s="164" t="s">
        <v>49</v>
      </c>
      <c r="B236" s="164"/>
      <c r="C236" s="164"/>
      <c r="D236" s="164"/>
      <c r="E236" s="22">
        <v>0</v>
      </c>
      <c r="F236" s="170"/>
    </row>
    <row r="237" spans="1:6" hidden="1" outlineLevel="2" x14ac:dyDescent="0.35">
      <c r="A237" s="48"/>
      <c r="B237" s="48"/>
      <c r="C237" s="48"/>
      <c r="D237" s="48"/>
      <c r="E237" s="48"/>
      <c r="F237" s="170"/>
    </row>
    <row r="238" spans="1:6" ht="30" customHeight="1" outlineLevel="1" collapsed="1" x14ac:dyDescent="0.35">
      <c r="A238" s="164" t="s">
        <v>65</v>
      </c>
      <c r="B238" s="164"/>
      <c r="C238" s="164"/>
      <c r="D238" s="164"/>
      <c r="E238" s="22">
        <f>SUM(E239:E240)</f>
        <v>0</v>
      </c>
      <c r="F238" s="170"/>
    </row>
    <row r="239" spans="1:6" hidden="1" outlineLevel="2" x14ac:dyDescent="0.35">
      <c r="A239" s="55"/>
      <c r="B239" s="60"/>
      <c r="C239" s="52"/>
      <c r="D239" s="52"/>
      <c r="E239" s="52"/>
      <c r="F239" s="170"/>
    </row>
    <row r="240" spans="1:6" hidden="1" outlineLevel="2" x14ac:dyDescent="0.35">
      <c r="A240" s="55"/>
      <c r="B240" s="60"/>
      <c r="C240" s="52"/>
      <c r="D240" s="52"/>
      <c r="E240" s="52"/>
      <c r="F240" s="170"/>
    </row>
    <row r="241" spans="1:6" ht="16.5" customHeight="1" outlineLevel="1" collapsed="1" x14ac:dyDescent="0.35">
      <c r="A241" s="164" t="s">
        <v>82</v>
      </c>
      <c r="B241" s="164"/>
      <c r="C241" s="164"/>
      <c r="D241" s="164"/>
      <c r="E241" s="22">
        <f>SUM(E242:E274)</f>
        <v>0</v>
      </c>
      <c r="F241" s="170"/>
    </row>
    <row r="242" spans="1:6" hidden="1" outlineLevel="2" x14ac:dyDescent="0.35">
      <c r="A242" s="55"/>
      <c r="B242" s="60"/>
      <c r="C242" s="52"/>
      <c r="D242" s="52"/>
      <c r="E242" s="52"/>
      <c r="F242" s="170"/>
    </row>
    <row r="243" spans="1:6" hidden="1" outlineLevel="2" x14ac:dyDescent="0.35">
      <c r="A243" s="55"/>
      <c r="B243" s="60"/>
      <c r="C243" s="52"/>
      <c r="D243" s="52"/>
      <c r="E243" s="52"/>
      <c r="F243" s="170"/>
    </row>
    <row r="244" spans="1:6" hidden="1" outlineLevel="2" x14ac:dyDescent="0.35">
      <c r="A244" s="55"/>
      <c r="B244" s="60"/>
      <c r="C244" s="52"/>
      <c r="D244" s="52"/>
      <c r="E244" s="52"/>
      <c r="F244" s="170"/>
    </row>
    <row r="245" spans="1:6" hidden="1" outlineLevel="2" x14ac:dyDescent="0.35">
      <c r="A245" s="48" t="str">
        <f>Базовый!A237</f>
        <v>Проверка пожарных кранов</v>
      </c>
      <c r="B245" s="19">
        <f>Базовый!C237</f>
        <v>0</v>
      </c>
      <c r="C245" s="22">
        <f>Базовый!T237</f>
        <v>1</v>
      </c>
      <c r="D245" s="22">
        <f>Базовый!U237</f>
        <v>910</v>
      </c>
      <c r="E245" s="22">
        <f t="shared" ref="E245:E274" si="4">B245/C245*D245</f>
        <v>0</v>
      </c>
      <c r="F245" s="170"/>
    </row>
    <row r="246" spans="1:6" hidden="1" outlineLevel="2" x14ac:dyDescent="0.35">
      <c r="A246" s="48" t="str">
        <f>Базовый!A238</f>
        <v>Испытание пожарного рукава</v>
      </c>
      <c r="B246" s="19">
        <f>Базовый!C238</f>
        <v>0</v>
      </c>
      <c r="C246" s="22">
        <f>Базовый!T238</f>
        <v>1</v>
      </c>
      <c r="D246" s="22">
        <f>Базовый!U238</f>
        <v>633.33333333333337</v>
      </c>
      <c r="E246" s="22">
        <f t="shared" si="4"/>
        <v>0</v>
      </c>
      <c r="F246" s="170"/>
    </row>
    <row r="247" spans="1:6" hidden="1" outlineLevel="2" x14ac:dyDescent="0.35">
      <c r="A247" s="48" t="str">
        <f>Базовый!A239</f>
        <v>Испытание пожарного крана</v>
      </c>
      <c r="B247" s="19">
        <f>Базовый!C239</f>
        <v>0</v>
      </c>
      <c r="C247" s="22">
        <f>Базовый!T239</f>
        <v>1</v>
      </c>
      <c r="D247" s="22">
        <f>Базовый!U239</f>
        <v>950</v>
      </c>
      <c r="E247" s="22">
        <f t="shared" si="4"/>
        <v>0</v>
      </c>
      <c r="F247" s="170"/>
    </row>
    <row r="248" spans="1:6" ht="26" hidden="1" outlineLevel="2" x14ac:dyDescent="0.35">
      <c r="A248" s="48" t="str">
        <f>Базовый!A240</f>
        <v>Перемотка рукава на другое ребро</v>
      </c>
      <c r="B248" s="19">
        <f>Базовый!C240</f>
        <v>0</v>
      </c>
      <c r="C248" s="22">
        <f>Базовый!T240</f>
        <v>1</v>
      </c>
      <c r="D248" s="22">
        <f>Базовый!U240</f>
        <v>400</v>
      </c>
      <c r="E248" s="22">
        <f t="shared" si="4"/>
        <v>0</v>
      </c>
      <c r="F248" s="170"/>
    </row>
    <row r="249" spans="1:6" hidden="1" outlineLevel="2" x14ac:dyDescent="0.35">
      <c r="A249" s="48" t="str">
        <f>Базовый!A241</f>
        <v>Огнетушители</v>
      </c>
      <c r="B249" s="19">
        <f>Базовый!C241</f>
        <v>0</v>
      </c>
      <c r="C249" s="22">
        <f>Базовый!T241</f>
        <v>1</v>
      </c>
      <c r="D249" s="22">
        <f>Базовый!U241</f>
        <v>1089.3333333333333</v>
      </c>
      <c r="E249" s="22">
        <f t="shared" si="4"/>
        <v>0</v>
      </c>
      <c r="F249" s="170"/>
    </row>
    <row r="250" spans="1:6" ht="26" hidden="1" outlineLevel="2" x14ac:dyDescent="0.35">
      <c r="A250" s="48" t="str">
        <f>Базовый!A242</f>
        <v>Поверка и ТО весы настольные циферблатные</v>
      </c>
      <c r="B250" s="19">
        <f>Базовый!C242</f>
        <v>0</v>
      </c>
      <c r="C250" s="22">
        <f>Базовый!T242</f>
        <v>1</v>
      </c>
      <c r="D250" s="22">
        <f>Базовый!U242</f>
        <v>1209.6400000000001</v>
      </c>
      <c r="E250" s="22">
        <f t="shared" si="4"/>
        <v>0</v>
      </c>
      <c r="F250" s="170"/>
    </row>
    <row r="251" spans="1:6" ht="26" hidden="1" outlineLevel="2" x14ac:dyDescent="0.35">
      <c r="A251" s="48" t="str">
        <f>Базовый!A243</f>
        <v>Поверка и ТО весы электронные торговые</v>
      </c>
      <c r="B251" s="19">
        <f>Базовый!C243</f>
        <v>0</v>
      </c>
      <c r="C251" s="22">
        <f>Базовый!T243</f>
        <v>1</v>
      </c>
      <c r="D251" s="22">
        <f>Базовый!U243</f>
        <v>1186.0933333333332</v>
      </c>
      <c r="E251" s="22">
        <f t="shared" si="4"/>
        <v>0</v>
      </c>
      <c r="F251" s="170"/>
    </row>
    <row r="252" spans="1:6" ht="26" hidden="1" outlineLevel="2" x14ac:dyDescent="0.35">
      <c r="A252" s="48" t="str">
        <f>Базовый!A244</f>
        <v>Поверка и ТО весы медицинские</v>
      </c>
      <c r="B252" s="19">
        <f>Базовый!C244</f>
        <v>0</v>
      </c>
      <c r="C252" s="22">
        <f>Базовый!T244</f>
        <v>1</v>
      </c>
      <c r="D252" s="22">
        <f>Базовый!U244</f>
        <v>944.91</v>
      </c>
      <c r="E252" s="22">
        <f t="shared" si="4"/>
        <v>0</v>
      </c>
      <c r="F252" s="170"/>
    </row>
    <row r="253" spans="1:6" ht="39" hidden="1" outlineLevel="2" x14ac:dyDescent="0.35">
      <c r="A253" s="48" t="str">
        <f>Базовый!A245</f>
        <v>Поверка и ТО весы напольные медицинские электронные ВМЭН 150</v>
      </c>
      <c r="B253" s="19">
        <f>Базовый!C245</f>
        <v>0</v>
      </c>
      <c r="C253" s="22">
        <f>Базовый!T245</f>
        <v>1</v>
      </c>
      <c r="D253" s="22">
        <f>Базовый!U245</f>
        <v>1157.73</v>
      </c>
      <c r="E253" s="22">
        <f t="shared" si="4"/>
        <v>0</v>
      </c>
      <c r="F253" s="170"/>
    </row>
    <row r="254" spans="1:6" ht="52" hidden="1" outlineLevel="2" x14ac:dyDescent="0.35">
      <c r="A254" s="48" t="str">
        <f>Базовый!A246</f>
        <v>Поверка и ТО весы электронные длястатистического взвешивания</v>
      </c>
      <c r="B254" s="19">
        <f>Базовый!C246</f>
        <v>0</v>
      </c>
      <c r="C254" s="22">
        <f>Базовый!T246</f>
        <v>1</v>
      </c>
      <c r="D254" s="22">
        <f>Базовый!U246</f>
        <v>1157.9666666666667</v>
      </c>
      <c r="E254" s="22">
        <f t="shared" si="4"/>
        <v>0</v>
      </c>
      <c r="F254" s="170"/>
    </row>
    <row r="255" spans="1:6" ht="39" hidden="1" outlineLevel="2" x14ac:dyDescent="0.35">
      <c r="A255" s="48" t="str">
        <f>Базовый!A247</f>
        <v>Поверка и ТО весы механические для статистического взвешивания</v>
      </c>
      <c r="B255" s="19">
        <f>Базовый!C247</f>
        <v>0</v>
      </c>
      <c r="C255" s="22">
        <f>Базовый!T247</f>
        <v>1</v>
      </c>
      <c r="D255" s="22">
        <f>Базовый!U247</f>
        <v>1017</v>
      </c>
      <c r="E255" s="22">
        <f t="shared" si="4"/>
        <v>0</v>
      </c>
      <c r="F255" s="170"/>
    </row>
    <row r="256" spans="1:6" ht="26" hidden="1" outlineLevel="2" x14ac:dyDescent="0.35">
      <c r="A256" s="48" t="str">
        <f>Базовый!A248</f>
        <v>Поверка и ТО гири общего назначения</v>
      </c>
      <c r="B256" s="19">
        <f>Базовый!C248</f>
        <v>0</v>
      </c>
      <c r="C256" s="22">
        <f>Базовый!T248</f>
        <v>1</v>
      </c>
      <c r="D256" s="22">
        <f>Базовый!U248</f>
        <v>66.47</v>
      </c>
      <c r="E256" s="22">
        <f t="shared" si="4"/>
        <v>0</v>
      </c>
      <c r="F256" s="170"/>
    </row>
    <row r="257" spans="1:6" ht="39" hidden="1" outlineLevel="2" x14ac:dyDescent="0.35">
      <c r="A257" s="48" t="str">
        <f>Базовый!A249</f>
        <v>Поверка динамометры медицинские кистевые механические</v>
      </c>
      <c r="B257" s="19">
        <f>Базовый!C249</f>
        <v>0</v>
      </c>
      <c r="C257" s="22">
        <f>Базовый!T249</f>
        <v>1</v>
      </c>
      <c r="D257" s="22">
        <f>Базовый!U249</f>
        <v>356</v>
      </c>
      <c r="E257" s="22">
        <f t="shared" si="4"/>
        <v>0</v>
      </c>
      <c r="F257" s="170"/>
    </row>
    <row r="258" spans="1:6" ht="26" hidden="1" outlineLevel="2" x14ac:dyDescent="0.35">
      <c r="A258" s="48" t="str">
        <f>Базовый!A250</f>
        <v>Метрологическая аттестация узлов учета</v>
      </c>
      <c r="B258" s="19">
        <f>Базовый!C250</f>
        <v>0</v>
      </c>
      <c r="C258" s="22">
        <f>Базовый!T250</f>
        <v>1</v>
      </c>
      <c r="D258" s="22">
        <f>Базовый!U250</f>
        <v>17500</v>
      </c>
      <c r="E258" s="22">
        <f t="shared" si="4"/>
        <v>0</v>
      </c>
      <c r="F258" s="170"/>
    </row>
    <row r="259" spans="1:6" hidden="1" outlineLevel="2" x14ac:dyDescent="0.35">
      <c r="A259" s="48" t="str">
        <f>Базовый!A251</f>
        <v>Ткань на половые тряпки</v>
      </c>
      <c r="B259" s="19">
        <f>Базовый!C251</f>
        <v>0</v>
      </c>
      <c r="C259" s="22">
        <f>Базовый!T251</f>
        <v>1</v>
      </c>
      <c r="D259" s="22">
        <f>Базовый!U251</f>
        <v>34.67</v>
      </c>
      <c r="E259" s="22">
        <f t="shared" si="4"/>
        <v>0</v>
      </c>
      <c r="F259" s="170"/>
    </row>
    <row r="260" spans="1:6" hidden="1" outlineLevel="2" x14ac:dyDescent="0.35">
      <c r="A260" s="48" t="str">
        <f>Базовый!A252</f>
        <v>Рукавицы ватные</v>
      </c>
      <c r="B260" s="19">
        <f>Базовый!C252</f>
        <v>0</v>
      </c>
      <c r="C260" s="22">
        <f>Базовый!T252</f>
        <v>1</v>
      </c>
      <c r="D260" s="22">
        <f>Базовый!U252</f>
        <v>153.33333333333334</v>
      </c>
      <c r="E260" s="22">
        <f t="shared" si="4"/>
        <v>0</v>
      </c>
      <c r="F260" s="170"/>
    </row>
    <row r="261" spans="1:6" hidden="1" outlineLevel="2" x14ac:dyDescent="0.35">
      <c r="A261" s="48" t="str">
        <f>Базовый!A253</f>
        <v>Перчатки обливные</v>
      </c>
      <c r="B261" s="19">
        <f>Базовый!C253</f>
        <v>0</v>
      </c>
      <c r="C261" s="22">
        <f>Базовый!T253</f>
        <v>1</v>
      </c>
      <c r="D261" s="22">
        <f>Базовый!U253</f>
        <v>80</v>
      </c>
      <c r="E261" s="22">
        <f t="shared" si="4"/>
        <v>0</v>
      </c>
      <c r="F261" s="170"/>
    </row>
    <row r="262" spans="1:6" hidden="1" outlineLevel="2" x14ac:dyDescent="0.35">
      <c r="A262" s="48" t="str">
        <f>Базовый!A254</f>
        <v>Ведро пластик</v>
      </c>
      <c r="B262" s="19">
        <f>Базовый!C254</f>
        <v>0</v>
      </c>
      <c r="C262" s="22">
        <f>Базовый!T254</f>
        <v>5</v>
      </c>
      <c r="D262" s="22">
        <f>Базовый!U254</f>
        <v>183.33333333333334</v>
      </c>
      <c r="E262" s="22">
        <f t="shared" si="4"/>
        <v>0</v>
      </c>
      <c r="F262" s="170"/>
    </row>
    <row r="263" spans="1:6" hidden="1" outlineLevel="2" x14ac:dyDescent="0.35">
      <c r="A263" s="48" t="str">
        <f>Базовый!A255</f>
        <v>Перчатки хозяйственные</v>
      </c>
      <c r="B263" s="19">
        <f>Базовый!C255</f>
        <v>0</v>
      </c>
      <c r="C263" s="22">
        <f>Базовый!T255</f>
        <v>1</v>
      </c>
      <c r="D263" s="22">
        <f>Базовый!U255</f>
        <v>76</v>
      </c>
      <c r="E263" s="22">
        <f t="shared" si="4"/>
        <v>0</v>
      </c>
      <c r="F263" s="170"/>
    </row>
    <row r="264" spans="1:6" hidden="1" outlineLevel="2" x14ac:dyDescent="0.35">
      <c r="A264" s="48" t="str">
        <f>Базовый!A256</f>
        <v>Лопата</v>
      </c>
      <c r="B264" s="19">
        <f>Базовый!C256</f>
        <v>0</v>
      </c>
      <c r="C264" s="22">
        <f>Базовый!T256</f>
        <v>5</v>
      </c>
      <c r="D264" s="22">
        <f>Базовый!U256</f>
        <v>305</v>
      </c>
      <c r="E264" s="22">
        <f t="shared" si="4"/>
        <v>0</v>
      </c>
      <c r="F264" s="170"/>
    </row>
    <row r="265" spans="1:6" hidden="1" outlineLevel="2" x14ac:dyDescent="0.35">
      <c r="A265" s="48" t="str">
        <f>Базовый!A257</f>
        <v>Метла</v>
      </c>
      <c r="B265" s="19">
        <f>Базовый!C257</f>
        <v>0</v>
      </c>
      <c r="C265" s="22">
        <f>Базовый!T257</f>
        <v>1</v>
      </c>
      <c r="D265" s="22">
        <f>Базовый!U257</f>
        <v>139.66666666666666</v>
      </c>
      <c r="E265" s="22">
        <f t="shared" si="4"/>
        <v>0</v>
      </c>
      <c r="F265" s="170"/>
    </row>
    <row r="266" spans="1:6" hidden="1" outlineLevel="2" x14ac:dyDescent="0.35">
      <c r="A266" s="48" t="str">
        <f>Базовый!A258</f>
        <v>Движок для снега</v>
      </c>
      <c r="B266" s="19">
        <f>Базовый!C258</f>
        <v>0</v>
      </c>
      <c r="C266" s="22">
        <f>Базовый!T258</f>
        <v>5</v>
      </c>
      <c r="D266" s="22">
        <f>Базовый!U258</f>
        <v>834.66666666666663</v>
      </c>
      <c r="E266" s="22">
        <f t="shared" si="4"/>
        <v>0</v>
      </c>
      <c r="F266" s="170"/>
    </row>
    <row r="267" spans="1:6" hidden="1" outlineLevel="2" x14ac:dyDescent="0.35">
      <c r="A267" s="48" t="str">
        <f>Базовый!A259</f>
        <v>Веник</v>
      </c>
      <c r="B267" s="19">
        <f>Базовый!C259</f>
        <v>0</v>
      </c>
      <c r="C267" s="22">
        <f>Базовый!T259</f>
        <v>1</v>
      </c>
      <c r="D267" s="22">
        <f>Базовый!U259</f>
        <v>98.13</v>
      </c>
      <c r="E267" s="22">
        <f t="shared" si="4"/>
        <v>0</v>
      </c>
      <c r="F267" s="170"/>
    </row>
    <row r="268" spans="1:6" hidden="1" outlineLevel="2" x14ac:dyDescent="0.35">
      <c r="A268" s="48" t="str">
        <f>Базовый!A260</f>
        <v>Скребок для льда</v>
      </c>
      <c r="B268" s="19">
        <f>Базовый!C260</f>
        <v>0</v>
      </c>
      <c r="C268" s="22">
        <f>Базовый!T260</f>
        <v>5</v>
      </c>
      <c r="D268" s="22">
        <f>Базовый!U260</f>
        <v>975.5</v>
      </c>
      <c r="E268" s="22">
        <f t="shared" si="4"/>
        <v>0</v>
      </c>
      <c r="F268" s="170"/>
    </row>
    <row r="269" spans="1:6" hidden="1" outlineLevel="2" x14ac:dyDescent="0.35">
      <c r="A269" s="48" t="str">
        <f>Базовый!A261</f>
        <v>Грабли</v>
      </c>
      <c r="B269" s="19">
        <f>Базовый!C261</f>
        <v>0</v>
      </c>
      <c r="C269" s="22">
        <f>Базовый!T261</f>
        <v>5</v>
      </c>
      <c r="D269" s="22">
        <f>Базовый!U261</f>
        <v>152.69666666666669</v>
      </c>
      <c r="E269" s="22">
        <f t="shared" si="4"/>
        <v>0</v>
      </c>
      <c r="F269" s="170"/>
    </row>
    <row r="270" spans="1:6" hidden="1" outlineLevel="2" x14ac:dyDescent="0.35">
      <c r="A270" s="48" t="str">
        <f>Базовый!A262</f>
        <v>Тачка садовая</v>
      </c>
      <c r="B270" s="19">
        <f>Базовый!C262</f>
        <v>0</v>
      </c>
      <c r="C270" s="22">
        <f>Базовый!T262</f>
        <v>5</v>
      </c>
      <c r="D270" s="22">
        <f>Базовый!U262</f>
        <v>2326.3333333333335</v>
      </c>
      <c r="E270" s="22">
        <f t="shared" si="4"/>
        <v>0</v>
      </c>
      <c r="F270" s="170"/>
    </row>
    <row r="271" spans="1:6" hidden="1" outlineLevel="2" x14ac:dyDescent="0.35">
      <c r="A271" s="48" t="str">
        <f>Базовый!A263</f>
        <v>Ерш унитазный</v>
      </c>
      <c r="B271" s="19">
        <f>Базовый!C263</f>
        <v>0</v>
      </c>
      <c r="C271" s="22">
        <f>Базовый!T263</f>
        <v>5</v>
      </c>
      <c r="D271" s="22">
        <f>Базовый!U263</f>
        <v>49.666666666666664</v>
      </c>
      <c r="E271" s="22">
        <f t="shared" si="4"/>
        <v>0</v>
      </c>
      <c r="F271" s="170"/>
    </row>
    <row r="272" spans="1:6" hidden="1" outlineLevel="2" x14ac:dyDescent="0.35">
      <c r="A272" s="48" t="str">
        <f>Базовый!A264</f>
        <v>Швабра деревянная в сборе</v>
      </c>
      <c r="B272" s="19">
        <f>Базовый!C264</f>
        <v>0</v>
      </c>
      <c r="C272" s="22">
        <f>Базовый!T264</f>
        <v>5</v>
      </c>
      <c r="D272" s="22">
        <f>Базовый!U264</f>
        <v>93.666666666666671</v>
      </c>
      <c r="E272" s="22">
        <f t="shared" si="4"/>
        <v>0</v>
      </c>
      <c r="F272" s="170"/>
    </row>
    <row r="273" spans="1:6" ht="26" hidden="1" outlineLevel="2" x14ac:dyDescent="0.35">
      <c r="A273" s="48" t="str">
        <f>Базовый!A265</f>
        <v>Ведро эмалированное 12л с крышкой</v>
      </c>
      <c r="B273" s="19">
        <f>Базовый!C265</f>
        <v>0</v>
      </c>
      <c r="C273" s="22">
        <f>Базовый!T265</f>
        <v>5</v>
      </c>
      <c r="D273" s="22">
        <f>Базовый!U265</f>
        <v>869.66666666666663</v>
      </c>
      <c r="E273" s="22">
        <f t="shared" si="4"/>
        <v>0</v>
      </c>
      <c r="F273" s="170"/>
    </row>
    <row r="274" spans="1:6" hidden="1" outlineLevel="2" x14ac:dyDescent="0.35">
      <c r="A274" s="48" t="str">
        <f>Базовый!A266</f>
        <v>Ведро 10л</v>
      </c>
      <c r="B274" s="19">
        <f>Базовый!C266</f>
        <v>0</v>
      </c>
      <c r="C274" s="22">
        <f>Базовый!T266</f>
        <v>5</v>
      </c>
      <c r="D274" s="22">
        <f>Базовый!U266</f>
        <v>153.29999999999998</v>
      </c>
      <c r="E274" s="22">
        <f t="shared" si="4"/>
        <v>0</v>
      </c>
      <c r="F274" s="170"/>
    </row>
    <row r="275" spans="1:6" x14ac:dyDescent="0.35">
      <c r="A275" s="165" t="s">
        <v>382</v>
      </c>
      <c r="B275" s="165"/>
      <c r="C275" s="165"/>
      <c r="D275" s="165"/>
      <c r="E275" s="23">
        <f>E11+E205</f>
        <v>17069.963248942426</v>
      </c>
      <c r="F275" s="171"/>
    </row>
  </sheetData>
  <autoFilter ref="A8:F8"/>
  <mergeCells count="18">
    <mergeCell ref="A4:F4"/>
    <mergeCell ref="A5:F5"/>
    <mergeCell ref="A9:F9"/>
    <mergeCell ref="A10:F10"/>
    <mergeCell ref="A238:D238"/>
    <mergeCell ref="A233:D233"/>
    <mergeCell ref="A107:D107"/>
    <mergeCell ref="A11:D11"/>
    <mergeCell ref="F11:F275"/>
    <mergeCell ref="A12:D12"/>
    <mergeCell ref="A16:D16"/>
    <mergeCell ref="A275:D275"/>
    <mergeCell ref="A241:D241"/>
    <mergeCell ref="A230:D230"/>
    <mergeCell ref="A205:D205"/>
    <mergeCell ref="A206:D206"/>
    <mergeCell ref="A214:D214"/>
    <mergeCell ref="A236:D236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85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14" customWidth="1"/>
    <col min="2" max="2" width="28.81640625" style="14" customWidth="1"/>
    <col min="3" max="4" width="30.7265625" style="14" customWidth="1"/>
    <col min="5" max="16384" width="8.81640625" style="14"/>
  </cols>
  <sheetData>
    <row r="1" spans="1:4" ht="14.5" customHeight="1" x14ac:dyDescent="0.3">
      <c r="D1" s="143" t="s">
        <v>416</v>
      </c>
    </row>
    <row r="2" spans="1:4" ht="59.5" customHeight="1" x14ac:dyDescent="0.3">
      <c r="D2" s="144" t="s">
        <v>515</v>
      </c>
    </row>
    <row r="4" spans="1:4" x14ac:dyDescent="0.3">
      <c r="A4" s="168" t="s">
        <v>350</v>
      </c>
      <c r="B4" s="168"/>
      <c r="C4" s="168"/>
      <c r="D4" s="168"/>
    </row>
    <row r="5" spans="1:4" x14ac:dyDescent="0.3">
      <c r="A5" s="168" t="s">
        <v>351</v>
      </c>
      <c r="B5" s="168"/>
      <c r="C5" s="168"/>
      <c r="D5" s="168"/>
    </row>
    <row r="6" spans="1:4" x14ac:dyDescent="0.3">
      <c r="A6" s="168" t="s">
        <v>352</v>
      </c>
      <c r="B6" s="168"/>
      <c r="C6" s="168"/>
      <c r="D6" s="168"/>
    </row>
    <row r="7" spans="1:4" x14ac:dyDescent="0.3">
      <c r="A7" s="168" t="s">
        <v>353</v>
      </c>
      <c r="B7" s="168"/>
      <c r="C7" s="168"/>
      <c r="D7" s="168"/>
    </row>
    <row r="8" spans="1:4" x14ac:dyDescent="0.3">
      <c r="A8" s="8"/>
    </row>
    <row r="9" spans="1:4" ht="16.5" customHeight="1" x14ac:dyDescent="0.3">
      <c r="A9" s="16" t="s">
        <v>354</v>
      </c>
      <c r="B9" s="16" t="s">
        <v>355</v>
      </c>
      <c r="C9" s="16" t="s">
        <v>356</v>
      </c>
      <c r="D9" s="16" t="s">
        <v>357</v>
      </c>
    </row>
    <row r="10" spans="1:4" x14ac:dyDescent="0.3">
      <c r="A10" s="16">
        <v>1</v>
      </c>
      <c r="B10" s="16">
        <v>2</v>
      </c>
      <c r="C10" s="16">
        <v>3</v>
      </c>
      <c r="D10" s="16">
        <v>4</v>
      </c>
    </row>
    <row r="11" spans="1:4" x14ac:dyDescent="0.3">
      <c r="A11" s="166" t="s">
        <v>358</v>
      </c>
      <c r="B11" s="166"/>
      <c r="C11" s="166"/>
      <c r="D11" s="166"/>
    </row>
    <row r="12" spans="1:4" x14ac:dyDescent="0.3">
      <c r="A12" s="165" t="s">
        <v>415</v>
      </c>
      <c r="B12" s="165"/>
      <c r="C12" s="165"/>
      <c r="D12" s="165"/>
    </row>
    <row r="13" spans="1:4" x14ac:dyDescent="0.3">
      <c r="A13" s="166" t="s">
        <v>359</v>
      </c>
      <c r="B13" s="166"/>
      <c r="C13" s="166"/>
      <c r="D13" s="166"/>
    </row>
    <row r="14" spans="1:4" ht="44.25" customHeight="1" x14ac:dyDescent="0.3">
      <c r="A14" s="167" t="s">
        <v>505</v>
      </c>
      <c r="B14" s="167"/>
      <c r="C14" s="167"/>
      <c r="D14" s="167"/>
    </row>
    <row r="15" spans="1:4" x14ac:dyDescent="0.3">
      <c r="A15" s="164" t="s">
        <v>360</v>
      </c>
      <c r="B15" s="164"/>
      <c r="C15" s="164"/>
      <c r="D15" s="164"/>
    </row>
    <row r="16" spans="1:4" outlineLevel="1" x14ac:dyDescent="0.3">
      <c r="A16" s="164" t="s">
        <v>361</v>
      </c>
      <c r="B16" s="164"/>
      <c r="C16" s="164"/>
      <c r="D16" s="164"/>
    </row>
    <row r="17" spans="1:4" ht="12.75" customHeight="1" outlineLevel="2" x14ac:dyDescent="0.3">
      <c r="A17" s="48" t="str">
        <f>Базовый!A5</f>
        <v>Педагогический персонал (соц. поддержка)</v>
      </c>
      <c r="B17" s="16" t="str">
        <f>Базовый!B5</f>
        <v>шт.ед.</v>
      </c>
      <c r="C17" s="19">
        <f>Базовый!C5</f>
        <v>0.12150438394093216</v>
      </c>
      <c r="D17" s="169" t="s">
        <v>414</v>
      </c>
    </row>
    <row r="18" spans="1:4" hidden="1" outlineLevel="2" x14ac:dyDescent="0.3">
      <c r="A18" s="59"/>
      <c r="B18" s="16"/>
      <c r="C18" s="19"/>
      <c r="D18" s="170"/>
    </row>
    <row r="19" spans="1:4" hidden="1" outlineLevel="2" x14ac:dyDescent="0.3">
      <c r="A19" s="59"/>
      <c r="B19" s="16"/>
      <c r="C19" s="19"/>
      <c r="D19" s="171"/>
    </row>
    <row r="20" spans="1:4" outlineLevel="1" collapsed="1" x14ac:dyDescent="0.3">
      <c r="A20" s="164" t="s">
        <v>362</v>
      </c>
      <c r="B20" s="164"/>
      <c r="C20" s="164"/>
      <c r="D20" s="164"/>
    </row>
    <row r="21" spans="1:4" hidden="1" outlineLevel="2" x14ac:dyDescent="0.3">
      <c r="A21" s="59"/>
      <c r="B21" s="16"/>
      <c r="C21" s="19"/>
      <c r="D21" s="169" t="s">
        <v>414</v>
      </c>
    </row>
    <row r="22" spans="1:4" hidden="1" outlineLevel="3" x14ac:dyDescent="0.3">
      <c r="A22" s="48"/>
      <c r="B22" s="16"/>
      <c r="C22" s="19"/>
      <c r="D22" s="170"/>
    </row>
    <row r="23" spans="1:4" hidden="1" outlineLevel="2" x14ac:dyDescent="0.3">
      <c r="A23" s="59"/>
      <c r="B23" s="16"/>
      <c r="C23" s="19"/>
      <c r="D23" s="170"/>
    </row>
    <row r="24" spans="1:4" hidden="1" outlineLevel="3" x14ac:dyDescent="0.3">
      <c r="A24" s="48"/>
      <c r="B24" s="16"/>
      <c r="C24" s="19"/>
      <c r="D24" s="170"/>
    </row>
    <row r="25" spans="1:4" hidden="1" outlineLevel="3" x14ac:dyDescent="0.3">
      <c r="A25" s="48"/>
      <c r="B25" s="16"/>
      <c r="C25" s="19"/>
      <c r="D25" s="170"/>
    </row>
    <row r="26" spans="1:4" hidden="1" outlineLevel="3" x14ac:dyDescent="0.3">
      <c r="A26" s="48"/>
      <c r="B26" s="16"/>
      <c r="C26" s="19"/>
      <c r="D26" s="170"/>
    </row>
    <row r="27" spans="1:4" hidden="1" outlineLevel="3" x14ac:dyDescent="0.3">
      <c r="A27" s="48"/>
      <c r="B27" s="16"/>
      <c r="C27" s="19"/>
      <c r="D27" s="170"/>
    </row>
    <row r="28" spans="1:4" hidden="1" outlineLevel="3" x14ac:dyDescent="0.3">
      <c r="A28" s="48"/>
      <c r="B28" s="16"/>
      <c r="C28" s="19"/>
      <c r="D28" s="170"/>
    </row>
    <row r="29" spans="1:4" hidden="1" outlineLevel="3" x14ac:dyDescent="0.3">
      <c r="A29" s="48"/>
      <c r="B29" s="16"/>
      <c r="C29" s="19"/>
      <c r="D29" s="170"/>
    </row>
    <row r="30" spans="1:4" hidden="1" outlineLevel="3" x14ac:dyDescent="0.3">
      <c r="A30" s="48"/>
      <c r="B30" s="16"/>
      <c r="C30" s="19"/>
      <c r="D30" s="170"/>
    </row>
    <row r="31" spans="1:4" hidden="1" outlineLevel="2" x14ac:dyDescent="0.3">
      <c r="A31" s="59"/>
      <c r="B31" s="16"/>
      <c r="C31" s="19"/>
      <c r="D31" s="170"/>
    </row>
    <row r="32" spans="1:4" hidden="1" outlineLevel="3" x14ac:dyDescent="0.3">
      <c r="A32" s="48"/>
      <c r="B32" s="16"/>
      <c r="C32" s="19"/>
      <c r="D32" s="170"/>
    </row>
    <row r="33" spans="1:4" hidden="1" outlineLevel="3" x14ac:dyDescent="0.3">
      <c r="A33" s="48"/>
      <c r="B33" s="16"/>
      <c r="C33" s="19"/>
      <c r="D33" s="170"/>
    </row>
    <row r="34" spans="1:4" hidden="1" outlineLevel="3" x14ac:dyDescent="0.3">
      <c r="A34" s="48"/>
      <c r="B34" s="16"/>
      <c r="C34" s="19"/>
      <c r="D34" s="170"/>
    </row>
    <row r="35" spans="1:4" hidden="1" outlineLevel="3" x14ac:dyDescent="0.3">
      <c r="A35" s="48"/>
      <c r="B35" s="16"/>
      <c r="C35" s="19"/>
      <c r="D35" s="170"/>
    </row>
    <row r="36" spans="1:4" hidden="1" outlineLevel="3" x14ac:dyDescent="0.3">
      <c r="A36" s="48"/>
      <c r="B36" s="16"/>
      <c r="C36" s="19"/>
      <c r="D36" s="170"/>
    </row>
    <row r="37" spans="1:4" hidden="1" outlineLevel="3" x14ac:dyDescent="0.3">
      <c r="A37" s="48"/>
      <c r="B37" s="16"/>
      <c r="C37" s="19"/>
      <c r="D37" s="170"/>
    </row>
    <row r="38" spans="1:4" hidden="1" outlineLevel="3" x14ac:dyDescent="0.3">
      <c r="A38" s="48"/>
      <c r="B38" s="16"/>
      <c r="C38" s="19"/>
      <c r="D38" s="170"/>
    </row>
    <row r="39" spans="1:4" hidden="1" outlineLevel="3" x14ac:dyDescent="0.3">
      <c r="A39" s="48"/>
      <c r="B39" s="16"/>
      <c r="C39" s="19"/>
      <c r="D39" s="170"/>
    </row>
    <row r="40" spans="1:4" hidden="1" outlineLevel="3" x14ac:dyDescent="0.3">
      <c r="A40" s="48"/>
      <c r="B40" s="16"/>
      <c r="C40" s="19"/>
      <c r="D40" s="170"/>
    </row>
    <row r="41" spans="1:4" hidden="1" outlineLevel="3" x14ac:dyDescent="0.3">
      <c r="A41" s="48"/>
      <c r="B41" s="16"/>
      <c r="C41" s="19"/>
      <c r="D41" s="170"/>
    </row>
    <row r="42" spans="1:4" hidden="1" outlineLevel="3" x14ac:dyDescent="0.3">
      <c r="A42" s="48"/>
      <c r="B42" s="16"/>
      <c r="C42" s="19"/>
      <c r="D42" s="170"/>
    </row>
    <row r="43" spans="1:4" hidden="1" outlineLevel="3" x14ac:dyDescent="0.3">
      <c r="A43" s="48"/>
      <c r="B43" s="16"/>
      <c r="C43" s="19"/>
      <c r="D43" s="170"/>
    </row>
    <row r="44" spans="1:4" hidden="1" outlineLevel="3" x14ac:dyDescent="0.3">
      <c r="A44" s="48"/>
      <c r="B44" s="16"/>
      <c r="C44" s="19"/>
      <c r="D44" s="170"/>
    </row>
    <row r="45" spans="1:4" hidden="1" outlineLevel="3" x14ac:dyDescent="0.3">
      <c r="A45" s="48"/>
      <c r="B45" s="16"/>
      <c r="C45" s="19"/>
      <c r="D45" s="170"/>
    </row>
    <row r="46" spans="1:4" hidden="1" outlineLevel="3" x14ac:dyDescent="0.3">
      <c r="A46" s="48"/>
      <c r="B46" s="16"/>
      <c r="C46" s="19"/>
      <c r="D46" s="170"/>
    </row>
    <row r="47" spans="1:4" hidden="1" outlineLevel="3" x14ac:dyDescent="0.3">
      <c r="A47" s="48"/>
      <c r="B47" s="16"/>
      <c r="C47" s="19"/>
      <c r="D47" s="170"/>
    </row>
    <row r="48" spans="1:4" hidden="1" outlineLevel="3" x14ac:dyDescent="0.3">
      <c r="A48" s="48"/>
      <c r="B48" s="16"/>
      <c r="C48" s="19"/>
      <c r="D48" s="170"/>
    </row>
    <row r="49" spans="1:4" hidden="1" outlineLevel="3" x14ac:dyDescent="0.3">
      <c r="A49" s="48"/>
      <c r="B49" s="16"/>
      <c r="C49" s="19"/>
      <c r="D49" s="170"/>
    </row>
    <row r="50" spans="1:4" hidden="1" outlineLevel="2" x14ac:dyDescent="0.3">
      <c r="A50" s="59"/>
      <c r="B50" s="16"/>
      <c r="C50" s="19"/>
      <c r="D50" s="170"/>
    </row>
    <row r="51" spans="1:4" hidden="1" outlineLevel="3" x14ac:dyDescent="0.3">
      <c r="A51" s="48"/>
      <c r="B51" s="16"/>
      <c r="C51" s="19"/>
      <c r="D51" s="170"/>
    </row>
    <row r="52" spans="1:4" hidden="1" outlineLevel="3" x14ac:dyDescent="0.3">
      <c r="A52" s="48"/>
      <c r="B52" s="16"/>
      <c r="C52" s="19"/>
      <c r="D52" s="170"/>
    </row>
    <row r="53" spans="1:4" hidden="1" outlineLevel="3" x14ac:dyDescent="0.3">
      <c r="A53" s="48"/>
      <c r="B53" s="16"/>
      <c r="C53" s="19"/>
      <c r="D53" s="170"/>
    </row>
    <row r="54" spans="1:4" hidden="1" outlineLevel="3" x14ac:dyDescent="0.3">
      <c r="A54" s="48"/>
      <c r="B54" s="16"/>
      <c r="C54" s="19"/>
      <c r="D54" s="170"/>
    </row>
    <row r="55" spans="1:4" hidden="1" outlineLevel="3" x14ac:dyDescent="0.3">
      <c r="A55" s="48"/>
      <c r="B55" s="16"/>
      <c r="C55" s="19"/>
      <c r="D55" s="170"/>
    </row>
    <row r="56" spans="1:4" hidden="1" outlineLevel="3" x14ac:dyDescent="0.3">
      <c r="A56" s="48"/>
      <c r="B56" s="16"/>
      <c r="C56" s="19"/>
      <c r="D56" s="170"/>
    </row>
    <row r="57" spans="1:4" hidden="1" outlineLevel="3" x14ac:dyDescent="0.3">
      <c r="A57" s="48"/>
      <c r="B57" s="16"/>
      <c r="C57" s="19"/>
      <c r="D57" s="170"/>
    </row>
    <row r="58" spans="1:4" hidden="1" outlineLevel="3" x14ac:dyDescent="0.3">
      <c r="A58" s="48"/>
      <c r="B58" s="16"/>
      <c r="C58" s="19"/>
      <c r="D58" s="170"/>
    </row>
    <row r="59" spans="1:4" hidden="1" outlineLevel="3" x14ac:dyDescent="0.3">
      <c r="A59" s="48"/>
      <c r="B59" s="16"/>
      <c r="C59" s="19"/>
      <c r="D59" s="170"/>
    </row>
    <row r="60" spans="1:4" hidden="1" outlineLevel="3" x14ac:dyDescent="0.3">
      <c r="A60" s="48"/>
      <c r="B60" s="16"/>
      <c r="C60" s="19"/>
      <c r="D60" s="170"/>
    </row>
    <row r="61" spans="1:4" hidden="1" outlineLevel="3" x14ac:dyDescent="0.3">
      <c r="A61" s="48"/>
      <c r="B61" s="16"/>
      <c r="C61" s="19"/>
      <c r="D61" s="170"/>
    </row>
    <row r="62" spans="1:4" hidden="1" outlineLevel="3" x14ac:dyDescent="0.3">
      <c r="A62" s="48"/>
      <c r="B62" s="16"/>
      <c r="C62" s="19"/>
      <c r="D62" s="170"/>
    </row>
    <row r="63" spans="1:4" hidden="1" outlineLevel="3" x14ac:dyDescent="0.3">
      <c r="A63" s="48"/>
      <c r="B63" s="16"/>
      <c r="C63" s="19"/>
      <c r="D63" s="170"/>
    </row>
    <row r="64" spans="1:4" hidden="1" outlineLevel="3" x14ac:dyDescent="0.3">
      <c r="A64" s="48"/>
      <c r="B64" s="16"/>
      <c r="C64" s="19"/>
      <c r="D64" s="170"/>
    </row>
    <row r="65" spans="1:4" hidden="1" outlineLevel="3" x14ac:dyDescent="0.3">
      <c r="A65" s="48"/>
      <c r="B65" s="16"/>
      <c r="C65" s="19"/>
      <c r="D65" s="170"/>
    </row>
    <row r="66" spans="1:4" hidden="1" outlineLevel="3" x14ac:dyDescent="0.3">
      <c r="A66" s="48"/>
      <c r="B66" s="16"/>
      <c r="C66" s="19"/>
      <c r="D66" s="170"/>
    </row>
    <row r="67" spans="1:4" hidden="1" outlineLevel="3" x14ac:dyDescent="0.3">
      <c r="A67" s="48"/>
      <c r="B67" s="16"/>
      <c r="C67" s="19"/>
      <c r="D67" s="170"/>
    </row>
    <row r="68" spans="1:4" hidden="1" outlineLevel="3" x14ac:dyDescent="0.3">
      <c r="A68" s="48"/>
      <c r="B68" s="16"/>
      <c r="C68" s="19"/>
      <c r="D68" s="170"/>
    </row>
    <row r="69" spans="1:4" hidden="1" outlineLevel="3" x14ac:dyDescent="0.3">
      <c r="A69" s="48"/>
      <c r="B69" s="16"/>
      <c r="C69" s="19"/>
      <c r="D69" s="170"/>
    </row>
    <row r="70" spans="1:4" hidden="1" outlineLevel="3" x14ac:dyDescent="0.3">
      <c r="A70" s="48"/>
      <c r="B70" s="16"/>
      <c r="C70" s="19"/>
      <c r="D70" s="170"/>
    </row>
    <row r="71" spans="1:4" hidden="1" outlineLevel="3" x14ac:dyDescent="0.3">
      <c r="A71" s="48"/>
      <c r="B71" s="16"/>
      <c r="C71" s="19"/>
      <c r="D71" s="170"/>
    </row>
    <row r="72" spans="1:4" hidden="1" outlineLevel="3" x14ac:dyDescent="0.3">
      <c r="A72" s="48"/>
      <c r="B72" s="16"/>
      <c r="C72" s="19"/>
      <c r="D72" s="170"/>
    </row>
    <row r="73" spans="1:4" hidden="1" outlineLevel="3" x14ac:dyDescent="0.3">
      <c r="A73" s="48"/>
      <c r="B73" s="16"/>
      <c r="C73" s="19"/>
      <c r="D73" s="170"/>
    </row>
    <row r="74" spans="1:4" hidden="1" outlineLevel="3" x14ac:dyDescent="0.3">
      <c r="A74" s="48"/>
      <c r="B74" s="16"/>
      <c r="C74" s="19"/>
      <c r="D74" s="170"/>
    </row>
    <row r="75" spans="1:4" hidden="1" outlineLevel="3" x14ac:dyDescent="0.3">
      <c r="A75" s="48"/>
      <c r="B75" s="16"/>
      <c r="C75" s="19"/>
      <c r="D75" s="170"/>
    </row>
    <row r="76" spans="1:4" hidden="1" outlineLevel="3" x14ac:dyDescent="0.3">
      <c r="A76" s="48"/>
      <c r="B76" s="16"/>
      <c r="C76" s="19"/>
      <c r="D76" s="170"/>
    </row>
    <row r="77" spans="1:4" hidden="1" outlineLevel="3" x14ac:dyDescent="0.3">
      <c r="A77" s="48"/>
      <c r="B77" s="16"/>
      <c r="C77" s="19"/>
      <c r="D77" s="170"/>
    </row>
    <row r="78" spans="1:4" hidden="1" outlineLevel="3" x14ac:dyDescent="0.3">
      <c r="A78" s="48"/>
      <c r="B78" s="16"/>
      <c r="C78" s="19"/>
      <c r="D78" s="170"/>
    </row>
    <row r="79" spans="1:4" hidden="1" outlineLevel="3" x14ac:dyDescent="0.3">
      <c r="A79" s="48"/>
      <c r="B79" s="16"/>
      <c r="C79" s="19"/>
      <c r="D79" s="170"/>
    </row>
    <row r="80" spans="1:4" hidden="1" outlineLevel="3" x14ac:dyDescent="0.3">
      <c r="A80" s="48"/>
      <c r="B80" s="16"/>
      <c r="C80" s="19"/>
      <c r="D80" s="170"/>
    </row>
    <row r="81" spans="1:4" hidden="1" outlineLevel="2" x14ac:dyDescent="0.3">
      <c r="A81" s="59"/>
      <c r="B81" s="16"/>
      <c r="C81" s="19"/>
      <c r="D81" s="170"/>
    </row>
    <row r="82" spans="1:4" hidden="1" outlineLevel="3" x14ac:dyDescent="0.3">
      <c r="A82" s="48"/>
      <c r="B82" s="16"/>
      <c r="C82" s="19"/>
      <c r="D82" s="170"/>
    </row>
    <row r="83" spans="1:4" hidden="1" outlineLevel="3" x14ac:dyDescent="0.3">
      <c r="A83" s="48"/>
      <c r="B83" s="16"/>
      <c r="C83" s="19"/>
      <c r="D83" s="170"/>
    </row>
    <row r="84" spans="1:4" hidden="1" outlineLevel="3" x14ac:dyDescent="0.3">
      <c r="A84" s="48"/>
      <c r="B84" s="16"/>
      <c r="C84" s="19"/>
      <c r="D84" s="170"/>
    </row>
    <row r="85" spans="1:4" hidden="1" outlineLevel="3" x14ac:dyDescent="0.3">
      <c r="A85" s="48"/>
      <c r="B85" s="16"/>
      <c r="C85" s="19"/>
      <c r="D85" s="170"/>
    </row>
    <row r="86" spans="1:4" hidden="1" outlineLevel="3" x14ac:dyDescent="0.3">
      <c r="A86" s="48"/>
      <c r="B86" s="16"/>
      <c r="C86" s="19"/>
      <c r="D86" s="170"/>
    </row>
    <row r="87" spans="1:4" hidden="1" outlineLevel="3" x14ac:dyDescent="0.3">
      <c r="A87" s="48"/>
      <c r="B87" s="16"/>
      <c r="C87" s="19"/>
      <c r="D87" s="170"/>
    </row>
    <row r="88" spans="1:4" hidden="1" outlineLevel="2" x14ac:dyDescent="0.3">
      <c r="A88" s="59"/>
      <c r="B88" s="16"/>
      <c r="C88" s="19"/>
      <c r="D88" s="170"/>
    </row>
    <row r="89" spans="1:4" hidden="1" outlineLevel="3" x14ac:dyDescent="0.3">
      <c r="A89" s="48"/>
      <c r="B89" s="16"/>
      <c r="C89" s="19"/>
      <c r="D89" s="170"/>
    </row>
    <row r="90" spans="1:4" hidden="1" outlineLevel="3" x14ac:dyDescent="0.3">
      <c r="A90" s="48"/>
      <c r="B90" s="16"/>
      <c r="C90" s="19"/>
      <c r="D90" s="170"/>
    </row>
    <row r="91" spans="1:4" hidden="1" outlineLevel="3" x14ac:dyDescent="0.3">
      <c r="A91" s="48"/>
      <c r="B91" s="16"/>
      <c r="C91" s="19"/>
      <c r="D91" s="170"/>
    </row>
    <row r="92" spans="1:4" hidden="1" outlineLevel="3" x14ac:dyDescent="0.3">
      <c r="A92" s="48"/>
      <c r="B92" s="16"/>
      <c r="C92" s="19"/>
      <c r="D92" s="170"/>
    </row>
    <row r="93" spans="1:4" outlineLevel="2" x14ac:dyDescent="0.3">
      <c r="A93" s="48" t="str">
        <f>Базовый!A81</f>
        <v>Подписка</v>
      </c>
      <c r="B93" s="16" t="str">
        <f>Базовый!B81</f>
        <v>х</v>
      </c>
      <c r="C93" s="19" t="str">
        <f>Базовый!C81</f>
        <v>х</v>
      </c>
      <c r="D93" s="170"/>
    </row>
    <row r="94" spans="1:4" outlineLevel="3" x14ac:dyDescent="0.3">
      <c r="A94" s="48" t="str">
        <f>Базовый!A82</f>
        <v>Журнал: Дошкольная педагогика</v>
      </c>
      <c r="B94" s="16" t="str">
        <f>Базовый!B82</f>
        <v>компл.</v>
      </c>
      <c r="C94" s="19">
        <f>Базовый!C82</f>
        <v>4.7169811320754715E-3</v>
      </c>
      <c r="D94" s="170"/>
    </row>
    <row r="95" spans="1:4" outlineLevel="3" x14ac:dyDescent="0.3">
      <c r="A95" s="48" t="str">
        <f>Базовый!A83</f>
        <v>Журнал: Дошкольное воспитание</v>
      </c>
      <c r="B95" s="16" t="str">
        <f>Базовый!B83</f>
        <v>компл.</v>
      </c>
      <c r="C95" s="19">
        <f>Базовый!C83</f>
        <v>4.7169811320754715E-3</v>
      </c>
      <c r="D95" s="170"/>
    </row>
    <row r="96" spans="1:4" outlineLevel="3" x14ac:dyDescent="0.3">
      <c r="A96" s="48" t="str">
        <f>Базовый!A84</f>
        <v>Журнал: Инструктор по физкультуре</v>
      </c>
      <c r="B96" s="16" t="str">
        <f>Базовый!B84</f>
        <v>компл.</v>
      </c>
      <c r="C96" s="19">
        <f>Базовый!C84</f>
        <v>4.7169811320754715E-3</v>
      </c>
      <c r="D96" s="170"/>
    </row>
    <row r="97" spans="1:4" outlineLevel="3" x14ac:dyDescent="0.3">
      <c r="A97" s="48" t="str">
        <f>Базовый!A85</f>
        <v>Журнал: Логопед</v>
      </c>
      <c r="B97" s="16" t="str">
        <f>Базовый!B85</f>
        <v>компл.</v>
      </c>
      <c r="C97" s="19">
        <f>Базовый!C85</f>
        <v>4.7169811320754715E-3</v>
      </c>
      <c r="D97" s="170"/>
    </row>
    <row r="98" spans="1:4" outlineLevel="3" x14ac:dyDescent="0.3">
      <c r="A98" s="48" t="str">
        <f>Базовый!A86</f>
        <v>Журнал: Медработник ДОУ</v>
      </c>
      <c r="B98" s="16" t="str">
        <f>Базовый!B86</f>
        <v>компл.</v>
      </c>
      <c r="C98" s="19">
        <f>Базовый!C86</f>
        <v>4.7169811320754715E-3</v>
      </c>
      <c r="D98" s="170"/>
    </row>
    <row r="99" spans="1:4" outlineLevel="3" x14ac:dyDescent="0.3">
      <c r="A99" s="48" t="str">
        <f>Базовый!A87</f>
        <v>Журнал: Детский сад. Теория</v>
      </c>
      <c r="B99" s="16" t="str">
        <f>Базовый!B87</f>
        <v>компл.</v>
      </c>
      <c r="C99" s="19">
        <f>Базовый!C87</f>
        <v>4.7169811320754715E-3</v>
      </c>
      <c r="D99" s="170"/>
    </row>
    <row r="100" spans="1:4" ht="26" outlineLevel="3" x14ac:dyDescent="0.3">
      <c r="A100" s="48" t="str">
        <f>Базовый!A88</f>
        <v>Журнал: Детский сад будущего-галерея творческих проекто</v>
      </c>
      <c r="B100" s="16" t="str">
        <f>Базовый!B88</f>
        <v>компл.</v>
      </c>
      <c r="C100" s="19">
        <f>Базовый!C88</f>
        <v>4.7169811320754715E-3</v>
      </c>
      <c r="D100" s="170"/>
    </row>
    <row r="101" spans="1:4" ht="26" outlineLevel="3" x14ac:dyDescent="0.3">
      <c r="A101" s="48" t="str">
        <f>Базовый!A89</f>
        <v>Приложение к журналу: Дошкольная педагогика</v>
      </c>
      <c r="B101" s="16" t="str">
        <f>Базовый!B89</f>
        <v>компл.</v>
      </c>
      <c r="C101" s="19">
        <f>Базовый!C89</f>
        <v>4.7169811320754715E-3</v>
      </c>
      <c r="D101" s="170"/>
    </row>
    <row r="102" spans="1:4" ht="39" outlineLevel="3" x14ac:dyDescent="0.3">
      <c r="A102" s="48" t="str">
        <f>Базовый!A90</f>
        <v>Управление дошкольным образовательным учреждением с приложением</v>
      </c>
      <c r="B102" s="16" t="str">
        <f>Базовый!B90</f>
        <v>компл.</v>
      </c>
      <c r="C102" s="19">
        <f>Базовый!C90</f>
        <v>4.7169811320754715E-3</v>
      </c>
      <c r="D102" s="170"/>
    </row>
    <row r="103" spans="1:4" outlineLevel="3" x14ac:dyDescent="0.3">
      <c r="A103" s="48" t="str">
        <f>Базовый!A91</f>
        <v>Справочник музыкального работника</v>
      </c>
      <c r="B103" s="16" t="str">
        <f>Базовый!B91</f>
        <v>компл.</v>
      </c>
      <c r="C103" s="19">
        <f>Базовый!C91</f>
        <v>4.7169811320754715E-3</v>
      </c>
      <c r="D103" s="170"/>
    </row>
    <row r="104" spans="1:4" outlineLevel="3" x14ac:dyDescent="0.3">
      <c r="A104" s="48" t="str">
        <f>Базовый!A92</f>
        <v>Справочник: Педагога-психолога</v>
      </c>
      <c r="B104" s="16" t="str">
        <f>Базовый!B92</f>
        <v>компл.</v>
      </c>
      <c r="C104" s="19">
        <f>Базовый!C92</f>
        <v>4.7169811320754715E-3</v>
      </c>
      <c r="D104" s="170"/>
    </row>
    <row r="105" spans="1:4" ht="26" outlineLevel="3" x14ac:dyDescent="0.3">
      <c r="A105" s="48" t="str">
        <f>Базовый!A93</f>
        <v>Справочник руководителя дошкольного учреждения</v>
      </c>
      <c r="B105" s="16" t="str">
        <f>Базовый!B93</f>
        <v>компл.</v>
      </c>
      <c r="C105" s="19">
        <f>Базовый!C93</f>
        <v>4.7169811320754715E-3</v>
      </c>
      <c r="D105" s="170"/>
    </row>
    <row r="106" spans="1:4" ht="26" outlineLevel="3" x14ac:dyDescent="0.3">
      <c r="A106" s="48" t="str">
        <f>Базовый!A94</f>
        <v>Справочник старшего воспитателя дошкольного учреждения</v>
      </c>
      <c r="B106" s="16" t="str">
        <f>Базовый!B94</f>
        <v>компл.</v>
      </c>
      <c r="C106" s="19">
        <f>Базовый!C94</f>
        <v>4.7169811320754715E-3</v>
      </c>
      <c r="D106" s="170"/>
    </row>
    <row r="107" spans="1:4" ht="26" outlineLevel="3" x14ac:dyDescent="0.3">
      <c r="A107" s="48" t="str">
        <f>Базовый!A95</f>
        <v>Журнал: Воспитатель дошкольного образовательного учреждения</v>
      </c>
      <c r="B107" s="16" t="str">
        <f>Базовый!B95</f>
        <v>компл.</v>
      </c>
      <c r="C107" s="19">
        <f>Базовый!C95</f>
        <v>4.7169811320754715E-3</v>
      </c>
      <c r="D107" s="170"/>
    </row>
    <row r="108" spans="1:4" hidden="1" outlineLevel="2" x14ac:dyDescent="0.3">
      <c r="A108" s="59"/>
      <c r="B108" s="16"/>
      <c r="C108" s="19"/>
      <c r="D108" s="170"/>
    </row>
    <row r="109" spans="1:4" hidden="1" outlineLevel="3" x14ac:dyDescent="0.3">
      <c r="A109" s="48"/>
      <c r="B109" s="16"/>
      <c r="C109" s="19"/>
      <c r="D109" s="170"/>
    </row>
    <row r="110" spans="1:4" hidden="1" outlineLevel="3" x14ac:dyDescent="0.3">
      <c r="A110" s="48"/>
      <c r="B110" s="16"/>
      <c r="C110" s="19"/>
      <c r="D110" s="171"/>
    </row>
    <row r="111" spans="1:4" outlineLevel="1" x14ac:dyDescent="0.3">
      <c r="A111" s="164" t="s">
        <v>363</v>
      </c>
      <c r="B111" s="164"/>
      <c r="C111" s="164"/>
      <c r="D111" s="164"/>
    </row>
    <row r="112" spans="1:4" outlineLevel="2" x14ac:dyDescent="0.3">
      <c r="A112" s="48" t="str">
        <f>Базовый!A100</f>
        <v>Услуги сторонних организаций</v>
      </c>
      <c r="B112" s="16" t="str">
        <f>Базовый!B100</f>
        <v>х</v>
      </c>
      <c r="C112" s="19" t="str">
        <f>Базовый!C100</f>
        <v>х</v>
      </c>
      <c r="D112" s="169" t="s">
        <v>414</v>
      </c>
    </row>
    <row r="113" spans="1:4" outlineLevel="3" x14ac:dyDescent="0.3">
      <c r="A113" s="48" t="str">
        <f>Базовый!A101</f>
        <v>Мед.осмотр</v>
      </c>
      <c r="B113" s="16" t="str">
        <f>Базовый!B101</f>
        <v>усл.ед.</v>
      </c>
      <c r="C113" s="19">
        <f>Базовый!C101</f>
        <v>0.29059829059829062</v>
      </c>
      <c r="D113" s="170"/>
    </row>
    <row r="114" spans="1:4" ht="26" outlineLevel="3" x14ac:dyDescent="0.3">
      <c r="A114" s="48" t="str">
        <f>Базовый!A102</f>
        <v>Медицинский осмотр при трудоутройстве</v>
      </c>
      <c r="B114" s="16" t="str">
        <f>Базовый!B102</f>
        <v>усл.ед.</v>
      </c>
      <c r="C114" s="19">
        <f>Базовый!C102</f>
        <v>3.4188034188034191E-2</v>
      </c>
      <c r="D114" s="170"/>
    </row>
    <row r="115" spans="1:4" ht="26" outlineLevel="3" x14ac:dyDescent="0.3">
      <c r="A115" s="48" t="str">
        <f>Базовый!A103</f>
        <v>Гигиеническая аттестация сотрудников</v>
      </c>
      <c r="B115" s="16" t="str">
        <f>Базовый!B103</f>
        <v>усл.ед.</v>
      </c>
      <c r="C115" s="19">
        <f>Базовый!C103</f>
        <v>0.10256410256410256</v>
      </c>
      <c r="D115" s="170"/>
    </row>
    <row r="116" spans="1:4" outlineLevel="3" x14ac:dyDescent="0.3">
      <c r="A116" s="48" t="str">
        <f>Базовый!A104</f>
        <v>Камерная обработка</v>
      </c>
      <c r="B116" s="16" t="str">
        <f>Базовый!B104</f>
        <v>кг.</v>
      </c>
      <c r="C116" s="19">
        <f>Базовый!C104</f>
        <v>3.3502538071065993</v>
      </c>
      <c r="D116" s="170"/>
    </row>
    <row r="117" spans="1:4" outlineLevel="3" x14ac:dyDescent="0.3">
      <c r="A117" s="48" t="str">
        <f>Базовый!A105</f>
        <v>Курсы по ПБ</v>
      </c>
      <c r="B117" s="16" t="str">
        <f>Базовый!B105</f>
        <v>усл.ед.</v>
      </c>
      <c r="C117" s="19">
        <f>Базовый!C105</f>
        <v>1.7094017094017096E-2</v>
      </c>
      <c r="D117" s="170"/>
    </row>
    <row r="118" spans="1:4" outlineLevel="3" x14ac:dyDescent="0.3">
      <c r="A118" s="48" t="str">
        <f>Базовый!A106</f>
        <v>Обучение 44-ФЗ</v>
      </c>
      <c r="B118" s="16" t="str">
        <f>Базовый!B106</f>
        <v>усл.ед.</v>
      </c>
      <c r="C118" s="19">
        <f>Базовый!C106</f>
        <v>1.1111111111111112E-2</v>
      </c>
      <c r="D118" s="170"/>
    </row>
    <row r="119" spans="1:4" outlineLevel="3" x14ac:dyDescent="0.3">
      <c r="A119" s="48" t="str">
        <f>Базовый!A107</f>
        <v>Обучение на курсах по охране труда</v>
      </c>
      <c r="B119" s="16" t="str">
        <f>Базовый!B107</f>
        <v>усл.ед.</v>
      </c>
      <c r="C119" s="19">
        <f>Базовый!C107</f>
        <v>2.2222222222222223E-2</v>
      </c>
      <c r="D119" s="170"/>
    </row>
    <row r="120" spans="1:4" ht="26" outlineLevel="3" x14ac:dyDescent="0.3">
      <c r="A120" s="48" t="str">
        <f>Базовый!A108</f>
        <v>Курсы (пожарно-технический минимум)</v>
      </c>
      <c r="B120" s="16" t="str">
        <f>Базовый!B108</f>
        <v>усл.ед.</v>
      </c>
      <c r="C120" s="19">
        <f>Базовый!C108</f>
        <v>1.1111111111111112E-2</v>
      </c>
      <c r="D120" s="170"/>
    </row>
    <row r="121" spans="1:4" ht="26" outlineLevel="3" x14ac:dyDescent="0.3">
      <c r="A121" s="48" t="str">
        <f>Базовый!A109</f>
        <v>Курсы  (тепловые энергоустановки и тс)</v>
      </c>
      <c r="B121" s="16" t="str">
        <f>Базовый!B109</f>
        <v>усл.ед.</v>
      </c>
      <c r="C121" s="19">
        <f>Базовый!C109</f>
        <v>1.7094017094017096E-2</v>
      </c>
      <c r="D121" s="170"/>
    </row>
    <row r="122" spans="1:4" outlineLevel="3" x14ac:dyDescent="0.3">
      <c r="A122" s="48" t="str">
        <f>Базовый!A110</f>
        <v>Хостинг сайта</v>
      </c>
      <c r="B122" s="16" t="str">
        <f>Базовый!B110</f>
        <v>усл.ед.</v>
      </c>
      <c r="C122" s="19">
        <f>Базовый!C110</f>
        <v>8.5470085470085479E-3</v>
      </c>
      <c r="D122" s="170"/>
    </row>
    <row r="123" spans="1:4" outlineLevel="2" x14ac:dyDescent="0.3">
      <c r="A123" s="48" t="str">
        <f>Базовый!A111</f>
        <v>Канцелярские товары</v>
      </c>
      <c r="B123" s="16" t="str">
        <f>Базовый!B111</f>
        <v>х</v>
      </c>
      <c r="C123" s="19" t="str">
        <f>Базовый!C111</f>
        <v>х</v>
      </c>
      <c r="D123" s="170"/>
    </row>
    <row r="124" spans="1:4" outlineLevel="3" x14ac:dyDescent="0.3">
      <c r="A124" s="48" t="str">
        <f>Базовый!A112</f>
        <v>Папка-регистратор</v>
      </c>
      <c r="B124" s="16" t="str">
        <f>Базовый!B112</f>
        <v>шт.</v>
      </c>
      <c r="C124" s="19">
        <f>Базовый!C112</f>
        <v>0.18867924528301888</v>
      </c>
      <c r="D124" s="170"/>
    </row>
    <row r="125" spans="1:4" outlineLevel="3" x14ac:dyDescent="0.3">
      <c r="A125" s="48" t="str">
        <f>Базовый!A113</f>
        <v>Папка скоросшиватель Дело</v>
      </c>
      <c r="B125" s="16" t="str">
        <f>Базовый!B113</f>
        <v>шт.</v>
      </c>
      <c r="C125" s="19">
        <f>Базовый!C113</f>
        <v>0.42452830188679247</v>
      </c>
      <c r="D125" s="170"/>
    </row>
    <row r="126" spans="1:4" outlineLevel="3" x14ac:dyDescent="0.3">
      <c r="A126" s="48" t="str">
        <f>Базовый!A114</f>
        <v>Накопитель архивный</v>
      </c>
      <c r="B126" s="16" t="str">
        <f>Базовый!B114</f>
        <v>шт.</v>
      </c>
      <c r="C126" s="19">
        <f>Базовый!C114</f>
        <v>0.18867924528301888</v>
      </c>
      <c r="D126" s="170"/>
    </row>
    <row r="127" spans="1:4" outlineLevel="3" x14ac:dyDescent="0.3">
      <c r="A127" s="48" t="str">
        <f>Базовый!A115</f>
        <v>Бумага А4</v>
      </c>
      <c r="B127" s="16" t="str">
        <f>Базовый!B115</f>
        <v>уп.</v>
      </c>
      <c r="C127" s="19">
        <f>Базовый!C115</f>
        <v>0.18867924528301888</v>
      </c>
      <c r="D127" s="170"/>
    </row>
    <row r="128" spans="1:4" outlineLevel="3" x14ac:dyDescent="0.3">
      <c r="A128" s="48" t="str">
        <f>Базовый!A116</f>
        <v>Файлы А4</v>
      </c>
      <c r="B128" s="16" t="str">
        <f>Базовый!B116</f>
        <v>шт.</v>
      </c>
      <c r="C128" s="19">
        <f>Базовый!C116</f>
        <v>4.716981132075472</v>
      </c>
      <c r="D128" s="170"/>
    </row>
    <row r="129" spans="1:4" outlineLevel="3" x14ac:dyDescent="0.3">
      <c r="A129" s="48" t="str">
        <f>Базовый!A117</f>
        <v>Карандаши ч/гр.</v>
      </c>
      <c r="B129" s="16" t="str">
        <f>Базовый!B117</f>
        <v>шт.</v>
      </c>
      <c r="C129" s="19">
        <f>Базовый!C117</f>
        <v>9.6153846153846159E-2</v>
      </c>
      <c r="D129" s="170"/>
    </row>
    <row r="130" spans="1:4" outlineLevel="3" x14ac:dyDescent="0.3">
      <c r="A130" s="48" t="str">
        <f>Базовый!A118</f>
        <v>Закладки самоклеящ.</v>
      </c>
      <c r="B130" s="16" t="str">
        <f>Базовый!B118</f>
        <v>шт.</v>
      </c>
      <c r="C130" s="19">
        <f>Базовый!C118</f>
        <v>9.6153846153846159E-2</v>
      </c>
      <c r="D130" s="170"/>
    </row>
    <row r="131" spans="1:4" outlineLevel="3" x14ac:dyDescent="0.3">
      <c r="A131" s="48" t="str">
        <f>Базовый!A119</f>
        <v>Линейка</v>
      </c>
      <c r="B131" s="16" t="str">
        <f>Базовый!B119</f>
        <v>шт.</v>
      </c>
      <c r="C131" s="19">
        <f>Базовый!C119</f>
        <v>9.6153846153846159E-2</v>
      </c>
      <c r="D131" s="170"/>
    </row>
    <row r="132" spans="1:4" outlineLevel="3" x14ac:dyDescent="0.3">
      <c r="A132" s="48" t="str">
        <f>Базовый!A120</f>
        <v xml:space="preserve">Ножницы </v>
      </c>
      <c r="B132" s="16" t="str">
        <f>Базовый!B120</f>
        <v>шт.</v>
      </c>
      <c r="C132" s="19">
        <f>Базовый!C120</f>
        <v>0.28846153846153844</v>
      </c>
      <c r="D132" s="170"/>
    </row>
    <row r="133" spans="1:4" outlineLevel="3" x14ac:dyDescent="0.3">
      <c r="A133" s="48" t="str">
        <f>Базовый!A121</f>
        <v>Ластик</v>
      </c>
      <c r="B133" s="16" t="str">
        <f>Базовый!B121</f>
        <v>шт.</v>
      </c>
      <c r="C133" s="19">
        <f>Базовый!C121</f>
        <v>0.28846153846153844</v>
      </c>
      <c r="D133" s="170"/>
    </row>
    <row r="134" spans="1:4" outlineLevel="3" x14ac:dyDescent="0.3">
      <c r="A134" s="48" t="str">
        <f>Базовый!A122</f>
        <v>Ручка</v>
      </c>
      <c r="B134" s="16" t="str">
        <f>Базовый!B122</f>
        <v>шт.</v>
      </c>
      <c r="C134" s="19">
        <f>Базовый!C122</f>
        <v>0.28846153846153844</v>
      </c>
      <c r="D134" s="170"/>
    </row>
    <row r="135" spans="1:4" outlineLevel="3" x14ac:dyDescent="0.3">
      <c r="A135" s="48" t="str">
        <f>Базовый!A123</f>
        <v>Скобы для степлера</v>
      </c>
      <c r="B135" s="16" t="str">
        <f>Базовый!B123</f>
        <v>шт.</v>
      </c>
      <c r="C135" s="19">
        <f>Базовый!C123</f>
        <v>9.6153846153846159E-2</v>
      </c>
      <c r="D135" s="170"/>
    </row>
    <row r="136" spans="1:4" outlineLevel="3" x14ac:dyDescent="0.3">
      <c r="A136" s="48" t="str">
        <f>Базовый!A124</f>
        <v>Скоросшиватель</v>
      </c>
      <c r="B136" s="16" t="str">
        <f>Базовый!B124</f>
        <v>шт.</v>
      </c>
      <c r="C136" s="19">
        <f>Базовый!C124</f>
        <v>9.6153846153846159E-2</v>
      </c>
      <c r="D136" s="170"/>
    </row>
    <row r="137" spans="1:4" outlineLevel="3" x14ac:dyDescent="0.3">
      <c r="A137" s="48" t="str">
        <f>Базовый!A125</f>
        <v>Скрепки</v>
      </c>
      <c r="B137" s="16" t="str">
        <f>Базовый!B125</f>
        <v>шт.</v>
      </c>
      <c r="C137" s="19">
        <f>Базовый!C125</f>
        <v>0.19230769230769232</v>
      </c>
      <c r="D137" s="170"/>
    </row>
    <row r="138" spans="1:4" outlineLevel="3" x14ac:dyDescent="0.3">
      <c r="A138" s="48" t="str">
        <f>Базовый!A126</f>
        <v>Степлер</v>
      </c>
      <c r="B138" s="16" t="str">
        <f>Базовый!B126</f>
        <v>шт.</v>
      </c>
      <c r="C138" s="19">
        <f>Базовый!C126</f>
        <v>0.19230769230769232</v>
      </c>
      <c r="D138" s="170"/>
    </row>
    <row r="139" spans="1:4" outlineLevel="3" x14ac:dyDescent="0.3">
      <c r="A139" s="48" t="str">
        <f>Базовый!A127</f>
        <v>Тетрадь</v>
      </c>
      <c r="B139" s="16" t="str">
        <f>Базовый!B127</f>
        <v>шт.</v>
      </c>
      <c r="C139" s="19">
        <f>Базовый!C127</f>
        <v>0.48076923076923078</v>
      </c>
      <c r="D139" s="170"/>
    </row>
    <row r="140" spans="1:4" outlineLevel="3" x14ac:dyDescent="0.3">
      <c r="A140" s="48" t="str">
        <f>Базовый!A128</f>
        <v>Точилка</v>
      </c>
      <c r="B140" s="16" t="str">
        <f>Базовый!B128</f>
        <v>шт.</v>
      </c>
      <c r="C140" s="19">
        <f>Базовый!C128</f>
        <v>0.19230769230769232</v>
      </c>
      <c r="D140" s="170"/>
    </row>
    <row r="141" spans="1:4" outlineLevel="3" x14ac:dyDescent="0.3">
      <c r="A141" s="48" t="str">
        <f>Базовый!A129</f>
        <v>Скрепки</v>
      </c>
      <c r="B141" s="16" t="str">
        <f>Базовый!B129</f>
        <v>уп.</v>
      </c>
      <c r="C141" s="19">
        <f>Базовый!C129</f>
        <v>5.7692307692307696E-2</v>
      </c>
      <c r="D141" s="170"/>
    </row>
    <row r="142" spans="1:4" outlineLevel="3" x14ac:dyDescent="0.3">
      <c r="A142" s="48" t="str">
        <f>Базовый!A130</f>
        <v>Корректор</v>
      </c>
      <c r="B142" s="16" t="str">
        <f>Базовый!B130</f>
        <v>шт.</v>
      </c>
      <c r="C142" s="19">
        <f>Базовый!C130</f>
        <v>4.807692307692308E-2</v>
      </c>
      <c r="D142" s="170"/>
    </row>
    <row r="143" spans="1:4" outlineLevel="3" x14ac:dyDescent="0.3">
      <c r="A143" s="48" t="str">
        <f>Базовый!A131</f>
        <v>Зажимы для бумаги больш.</v>
      </c>
      <c r="B143" s="16" t="str">
        <f>Базовый!B131</f>
        <v>уп.</v>
      </c>
      <c r="C143" s="19">
        <f>Базовый!C131</f>
        <v>0.11538461538461539</v>
      </c>
      <c r="D143" s="170"/>
    </row>
    <row r="144" spans="1:4" outlineLevel="3" x14ac:dyDescent="0.3">
      <c r="A144" s="48" t="str">
        <f>Базовый!A132</f>
        <v>Зажимы для бумаги мал.</v>
      </c>
      <c r="B144" s="16" t="str">
        <f>Базовый!B132</f>
        <v>уп.</v>
      </c>
      <c r="C144" s="19">
        <f>Базовый!C132</f>
        <v>5.7692307692307696E-2</v>
      </c>
      <c r="D144" s="170"/>
    </row>
    <row r="145" spans="1:4" hidden="1" outlineLevel="2" x14ac:dyDescent="0.3">
      <c r="A145" s="59"/>
      <c r="B145" s="16"/>
      <c r="C145" s="19"/>
      <c r="D145" s="170"/>
    </row>
    <row r="146" spans="1:4" hidden="1" outlineLevel="3" x14ac:dyDescent="0.3">
      <c r="A146" s="48"/>
      <c r="B146" s="16"/>
      <c r="C146" s="19"/>
      <c r="D146" s="170"/>
    </row>
    <row r="147" spans="1:4" hidden="1" outlineLevel="3" x14ac:dyDescent="0.3">
      <c r="A147" s="48"/>
      <c r="B147" s="16"/>
      <c r="C147" s="19"/>
      <c r="D147" s="170"/>
    </row>
    <row r="148" spans="1:4" hidden="1" outlineLevel="3" x14ac:dyDescent="0.3">
      <c r="A148" s="48"/>
      <c r="B148" s="16"/>
      <c r="C148" s="19"/>
      <c r="D148" s="170"/>
    </row>
    <row r="149" spans="1:4" hidden="1" outlineLevel="3" x14ac:dyDescent="0.3">
      <c r="A149" s="48"/>
      <c r="B149" s="16"/>
      <c r="C149" s="19"/>
      <c r="D149" s="170"/>
    </row>
    <row r="150" spans="1:4" hidden="1" outlineLevel="3" x14ac:dyDescent="0.3">
      <c r="A150" s="48"/>
      <c r="B150" s="16"/>
      <c r="C150" s="19"/>
      <c r="D150" s="170"/>
    </row>
    <row r="151" spans="1:4" hidden="1" outlineLevel="3" x14ac:dyDescent="0.3">
      <c r="A151" s="48"/>
      <c r="B151" s="16"/>
      <c r="C151" s="19"/>
      <c r="D151" s="170"/>
    </row>
    <row r="152" spans="1:4" hidden="1" outlineLevel="3" x14ac:dyDescent="0.3">
      <c r="A152" s="48"/>
      <c r="B152" s="16"/>
      <c r="C152" s="19"/>
      <c r="D152" s="170"/>
    </row>
    <row r="153" spans="1:4" hidden="1" outlineLevel="3" x14ac:dyDescent="0.3">
      <c r="A153" s="48"/>
      <c r="B153" s="16"/>
      <c r="C153" s="19"/>
      <c r="D153" s="170"/>
    </row>
    <row r="154" spans="1:4" hidden="1" outlineLevel="3" x14ac:dyDescent="0.3">
      <c r="A154" s="48"/>
      <c r="B154" s="16"/>
      <c r="C154" s="19"/>
      <c r="D154" s="170"/>
    </row>
    <row r="155" spans="1:4" hidden="1" outlineLevel="3" x14ac:dyDescent="0.3">
      <c r="A155" s="48"/>
      <c r="B155" s="16"/>
      <c r="C155" s="19"/>
      <c r="D155" s="170"/>
    </row>
    <row r="156" spans="1:4" hidden="1" outlineLevel="3" x14ac:dyDescent="0.3">
      <c r="A156" s="48"/>
      <c r="B156" s="16"/>
      <c r="C156" s="19"/>
      <c r="D156" s="170"/>
    </row>
    <row r="157" spans="1:4" hidden="1" outlineLevel="3" x14ac:dyDescent="0.3">
      <c r="A157" s="48"/>
      <c r="B157" s="16"/>
      <c r="C157" s="19"/>
      <c r="D157" s="170"/>
    </row>
    <row r="158" spans="1:4" hidden="1" outlineLevel="3" x14ac:dyDescent="0.3">
      <c r="A158" s="48"/>
      <c r="B158" s="16"/>
      <c r="C158" s="19"/>
      <c r="D158" s="170"/>
    </row>
    <row r="159" spans="1:4" hidden="1" outlineLevel="3" x14ac:dyDescent="0.3">
      <c r="A159" s="48"/>
      <c r="B159" s="16"/>
      <c r="C159" s="19"/>
      <c r="D159" s="170"/>
    </row>
    <row r="160" spans="1:4" hidden="1" outlineLevel="3" x14ac:dyDescent="0.3">
      <c r="A160" s="48"/>
      <c r="B160" s="16"/>
      <c r="C160" s="19"/>
      <c r="D160" s="170"/>
    </row>
    <row r="161" spans="1:4" hidden="1" outlineLevel="3" x14ac:dyDescent="0.3">
      <c r="A161" s="48"/>
      <c r="B161" s="16"/>
      <c r="C161" s="19"/>
      <c r="D161" s="170"/>
    </row>
    <row r="162" spans="1:4" hidden="1" outlineLevel="3" x14ac:dyDescent="0.3">
      <c r="A162" s="48"/>
      <c r="B162" s="16"/>
      <c r="C162" s="19"/>
      <c r="D162" s="170"/>
    </row>
    <row r="163" spans="1:4" hidden="1" outlineLevel="3" x14ac:dyDescent="0.3">
      <c r="A163" s="48"/>
      <c r="B163" s="16"/>
      <c r="C163" s="19"/>
      <c r="D163" s="170"/>
    </row>
    <row r="164" spans="1:4" hidden="1" outlineLevel="3" x14ac:dyDescent="0.3">
      <c r="A164" s="48"/>
      <c r="B164" s="16"/>
      <c r="C164" s="19"/>
      <c r="D164" s="170"/>
    </row>
    <row r="165" spans="1:4" hidden="1" outlineLevel="3" x14ac:dyDescent="0.3">
      <c r="A165" s="48"/>
      <c r="B165" s="16"/>
      <c r="C165" s="19"/>
      <c r="D165" s="170"/>
    </row>
    <row r="166" spans="1:4" hidden="1" outlineLevel="3" x14ac:dyDescent="0.3">
      <c r="A166" s="48"/>
      <c r="B166" s="16"/>
      <c r="C166" s="19"/>
      <c r="D166" s="170"/>
    </row>
    <row r="167" spans="1:4" hidden="1" outlineLevel="3" x14ac:dyDescent="0.3">
      <c r="A167" s="48"/>
      <c r="B167" s="16"/>
      <c r="C167" s="19"/>
      <c r="D167" s="170"/>
    </row>
    <row r="168" spans="1:4" hidden="1" outlineLevel="3" x14ac:dyDescent="0.3">
      <c r="A168" s="48"/>
      <c r="B168" s="16"/>
      <c r="C168" s="19"/>
      <c r="D168" s="170"/>
    </row>
    <row r="169" spans="1:4" hidden="1" outlineLevel="3" x14ac:dyDescent="0.3">
      <c r="A169" s="48"/>
      <c r="B169" s="16"/>
      <c r="C169" s="19"/>
      <c r="D169" s="170"/>
    </row>
    <row r="170" spans="1:4" hidden="1" outlineLevel="3" x14ac:dyDescent="0.3">
      <c r="A170" s="48"/>
      <c r="B170" s="16"/>
      <c r="C170" s="19"/>
      <c r="D170" s="170"/>
    </row>
    <row r="171" spans="1:4" hidden="1" outlineLevel="3" x14ac:dyDescent="0.3">
      <c r="A171" s="48"/>
      <c r="B171" s="16"/>
      <c r="C171" s="19"/>
      <c r="D171" s="170"/>
    </row>
    <row r="172" spans="1:4" hidden="1" outlineLevel="3" x14ac:dyDescent="0.3">
      <c r="A172" s="48"/>
      <c r="B172" s="16"/>
      <c r="C172" s="19"/>
      <c r="D172" s="170"/>
    </row>
    <row r="173" spans="1:4" hidden="1" outlineLevel="3" x14ac:dyDescent="0.3">
      <c r="A173" s="48"/>
      <c r="B173" s="16"/>
      <c r="C173" s="19"/>
      <c r="D173" s="170"/>
    </row>
    <row r="174" spans="1:4" hidden="1" outlineLevel="3" x14ac:dyDescent="0.3">
      <c r="A174" s="48"/>
      <c r="B174" s="16"/>
      <c r="C174" s="19"/>
      <c r="D174" s="170"/>
    </row>
    <row r="175" spans="1:4" hidden="1" outlineLevel="3" x14ac:dyDescent="0.3">
      <c r="A175" s="48"/>
      <c r="B175" s="16"/>
      <c r="C175" s="19"/>
      <c r="D175" s="170"/>
    </row>
    <row r="176" spans="1:4" hidden="1" outlineLevel="3" x14ac:dyDescent="0.3">
      <c r="A176" s="48"/>
      <c r="B176" s="16"/>
      <c r="C176" s="19"/>
      <c r="D176" s="170"/>
    </row>
    <row r="177" spans="1:4" hidden="1" outlineLevel="3" x14ac:dyDescent="0.3">
      <c r="A177" s="48"/>
      <c r="B177" s="16"/>
      <c r="C177" s="19"/>
      <c r="D177" s="170"/>
    </row>
    <row r="178" spans="1:4" hidden="1" outlineLevel="3" x14ac:dyDescent="0.3">
      <c r="A178" s="48"/>
      <c r="B178" s="16"/>
      <c r="C178" s="19"/>
      <c r="D178" s="170"/>
    </row>
    <row r="179" spans="1:4" hidden="1" outlineLevel="3" x14ac:dyDescent="0.3">
      <c r="A179" s="48"/>
      <c r="B179" s="16"/>
      <c r="C179" s="19"/>
      <c r="D179" s="170"/>
    </row>
    <row r="180" spans="1:4" hidden="1" outlineLevel="3" x14ac:dyDescent="0.3">
      <c r="A180" s="48"/>
      <c r="B180" s="16"/>
      <c r="C180" s="19"/>
      <c r="D180" s="170"/>
    </row>
    <row r="181" spans="1:4" hidden="1" outlineLevel="3" x14ac:dyDescent="0.3">
      <c r="A181" s="48"/>
      <c r="B181" s="16"/>
      <c r="C181" s="19"/>
      <c r="D181" s="170"/>
    </row>
    <row r="182" spans="1:4" hidden="1" outlineLevel="3" x14ac:dyDescent="0.3">
      <c r="A182" s="48"/>
      <c r="B182" s="16"/>
      <c r="C182" s="19"/>
      <c r="D182" s="170"/>
    </row>
    <row r="183" spans="1:4" hidden="1" outlineLevel="3" x14ac:dyDescent="0.3">
      <c r="A183" s="48"/>
      <c r="B183" s="16"/>
      <c r="C183" s="19"/>
      <c r="D183" s="170"/>
    </row>
    <row r="184" spans="1:4" hidden="1" outlineLevel="3" x14ac:dyDescent="0.3">
      <c r="A184" s="48"/>
      <c r="B184" s="16"/>
      <c r="C184" s="19"/>
      <c r="D184" s="170"/>
    </row>
    <row r="185" spans="1:4" hidden="1" outlineLevel="2" x14ac:dyDescent="0.3">
      <c r="A185" s="59"/>
      <c r="B185" s="16"/>
      <c r="C185" s="19"/>
      <c r="D185" s="170"/>
    </row>
    <row r="186" spans="1:4" hidden="1" outlineLevel="3" x14ac:dyDescent="0.3">
      <c r="A186" s="48"/>
      <c r="B186" s="16"/>
      <c r="C186" s="19"/>
      <c r="D186" s="170"/>
    </row>
    <row r="187" spans="1:4" hidden="1" outlineLevel="3" x14ac:dyDescent="0.3">
      <c r="A187" s="48"/>
      <c r="B187" s="16"/>
      <c r="C187" s="19"/>
      <c r="D187" s="170"/>
    </row>
    <row r="188" spans="1:4" hidden="1" outlineLevel="3" x14ac:dyDescent="0.3">
      <c r="A188" s="48"/>
      <c r="B188" s="16"/>
      <c r="C188" s="19"/>
      <c r="D188" s="170"/>
    </row>
    <row r="189" spans="1:4" hidden="1" outlineLevel="3" x14ac:dyDescent="0.3">
      <c r="A189" s="48"/>
      <c r="B189" s="16"/>
      <c r="C189" s="19"/>
      <c r="D189" s="170"/>
    </row>
    <row r="190" spans="1:4" hidden="1" outlineLevel="3" x14ac:dyDescent="0.3">
      <c r="A190" s="48"/>
      <c r="B190" s="16"/>
      <c r="C190" s="19"/>
      <c r="D190" s="170"/>
    </row>
    <row r="191" spans="1:4" hidden="1" outlineLevel="3" x14ac:dyDescent="0.3">
      <c r="A191" s="48"/>
      <c r="B191" s="16"/>
      <c r="C191" s="19"/>
      <c r="D191" s="170"/>
    </row>
    <row r="192" spans="1:4" hidden="1" outlineLevel="3" x14ac:dyDescent="0.3">
      <c r="A192" s="48"/>
      <c r="B192" s="16"/>
      <c r="C192" s="19"/>
      <c r="D192" s="170"/>
    </row>
    <row r="193" spans="1:4" hidden="1" outlineLevel="3" x14ac:dyDescent="0.3">
      <c r="A193" s="48"/>
      <c r="B193" s="16"/>
      <c r="C193" s="19"/>
      <c r="D193" s="170"/>
    </row>
    <row r="194" spans="1:4" hidden="1" outlineLevel="3" x14ac:dyDescent="0.3">
      <c r="A194" s="48"/>
      <c r="B194" s="16"/>
      <c r="C194" s="19"/>
      <c r="D194" s="170"/>
    </row>
    <row r="195" spans="1:4" hidden="1" outlineLevel="3" x14ac:dyDescent="0.3">
      <c r="A195" s="48"/>
      <c r="B195" s="16"/>
      <c r="C195" s="19"/>
      <c r="D195" s="170"/>
    </row>
    <row r="196" spans="1:4" hidden="1" outlineLevel="3" x14ac:dyDescent="0.3">
      <c r="A196" s="48"/>
      <c r="B196" s="16"/>
      <c r="C196" s="19"/>
      <c r="D196" s="170"/>
    </row>
    <row r="197" spans="1:4" hidden="1" outlineLevel="3" x14ac:dyDescent="0.3">
      <c r="A197" s="48"/>
      <c r="B197" s="16"/>
      <c r="C197" s="19"/>
      <c r="D197" s="170"/>
    </row>
    <row r="198" spans="1:4" hidden="1" outlineLevel="3" x14ac:dyDescent="0.3">
      <c r="A198" s="48"/>
      <c r="B198" s="16"/>
      <c r="C198" s="19"/>
      <c r="D198" s="170"/>
    </row>
    <row r="199" spans="1:4" hidden="1" outlineLevel="3" x14ac:dyDescent="0.3">
      <c r="A199" s="48"/>
      <c r="B199" s="16"/>
      <c r="C199" s="19"/>
      <c r="D199" s="170"/>
    </row>
    <row r="200" spans="1:4" hidden="1" outlineLevel="3" x14ac:dyDescent="0.3">
      <c r="A200" s="48"/>
      <c r="B200" s="16"/>
      <c r="C200" s="19"/>
      <c r="D200" s="170"/>
    </row>
    <row r="201" spans="1:4" hidden="1" outlineLevel="2" x14ac:dyDescent="0.3">
      <c r="A201" s="59"/>
      <c r="B201" s="16"/>
      <c r="C201" s="19"/>
      <c r="D201" s="170"/>
    </row>
    <row r="202" spans="1:4" hidden="1" outlineLevel="3" x14ac:dyDescent="0.3">
      <c r="A202" s="48"/>
      <c r="B202" s="16"/>
      <c r="C202" s="19"/>
      <c r="D202" s="170"/>
    </row>
    <row r="203" spans="1:4" hidden="1" outlineLevel="3" x14ac:dyDescent="0.3">
      <c r="A203" s="48"/>
      <c r="B203" s="16"/>
      <c r="C203" s="19"/>
      <c r="D203" s="170"/>
    </row>
    <row r="204" spans="1:4" hidden="1" outlineLevel="3" x14ac:dyDescent="0.3">
      <c r="A204" s="48"/>
      <c r="B204" s="16"/>
      <c r="C204" s="19"/>
      <c r="D204" s="170"/>
    </row>
    <row r="205" spans="1:4" outlineLevel="2" x14ac:dyDescent="0.3">
      <c r="A205" s="48" t="str">
        <f>Базовый!A193</f>
        <v>Компьютерное оборудование</v>
      </c>
      <c r="B205" s="16" t="str">
        <f>Базовый!B193</f>
        <v>х</v>
      </c>
      <c r="C205" s="19" t="str">
        <f>Базовый!C193</f>
        <v>х</v>
      </c>
      <c r="D205" s="170"/>
    </row>
    <row r="206" spans="1:4" outlineLevel="3" x14ac:dyDescent="0.3">
      <c r="A206" s="48" t="str">
        <f>Базовый!A194</f>
        <v>Лазерный МФУ</v>
      </c>
      <c r="B206" s="16" t="str">
        <f>Базовый!B194</f>
        <v>шт.</v>
      </c>
      <c r="C206" s="19">
        <f>Базовый!C194</f>
        <v>4.6146746654360873E-3</v>
      </c>
      <c r="D206" s="170"/>
    </row>
    <row r="207" spans="1:4" outlineLevel="3" x14ac:dyDescent="0.3">
      <c r="A207" s="48" t="str">
        <f>Базовый!A195</f>
        <v>Ноутбук</v>
      </c>
      <c r="B207" s="16" t="str">
        <f>Базовый!B195</f>
        <v>шт.</v>
      </c>
      <c r="C207" s="19">
        <f>Базовый!C195</f>
        <v>4.6146746654360873E-3</v>
      </c>
      <c r="D207" s="170"/>
    </row>
    <row r="208" spans="1:4" outlineLevel="3" x14ac:dyDescent="0.3">
      <c r="A208" s="48" t="str">
        <f>Базовый!A196</f>
        <v>Системный блок</v>
      </c>
      <c r="B208" s="16" t="str">
        <f>Базовый!B196</f>
        <v>шт.</v>
      </c>
      <c r="C208" s="19">
        <f>Базовый!C196</f>
        <v>4.6146746654360873E-3</v>
      </c>
      <c r="D208" s="170"/>
    </row>
    <row r="209" spans="1:4" x14ac:dyDescent="0.3">
      <c r="A209" s="172" t="s">
        <v>364</v>
      </c>
      <c r="B209" s="172"/>
      <c r="C209" s="172"/>
      <c r="D209" s="172"/>
    </row>
    <row r="210" spans="1:4" outlineLevel="1" x14ac:dyDescent="0.3">
      <c r="A210" s="172" t="s">
        <v>365</v>
      </c>
      <c r="B210" s="172"/>
      <c r="C210" s="172"/>
      <c r="D210" s="172"/>
    </row>
    <row r="211" spans="1:4" outlineLevel="2" x14ac:dyDescent="0.3">
      <c r="A211" s="48" t="str">
        <f>Базовый!A199</f>
        <v>Теплоэнергия (город)</v>
      </c>
      <c r="B211" s="16" t="str">
        <f>Базовый!B199</f>
        <v>Гкал</v>
      </c>
      <c r="C211" s="19">
        <f>Базовый!C199</f>
        <v>2.8283574470733908</v>
      </c>
      <c r="D211" s="169" t="s">
        <v>414</v>
      </c>
    </row>
    <row r="212" spans="1:4" outlineLevel="2" x14ac:dyDescent="0.3">
      <c r="A212" s="48" t="str">
        <f>Базовый!A200</f>
        <v>Теплоэнергия в горячей воде</v>
      </c>
      <c r="B212" s="16" t="str">
        <f>Базовый!B200</f>
        <v>Гкал</v>
      </c>
      <c r="C212" s="19">
        <f>Базовый!C200</f>
        <v>0.15612409213123213</v>
      </c>
      <c r="D212" s="170"/>
    </row>
    <row r="213" spans="1:4" outlineLevel="2" x14ac:dyDescent="0.3">
      <c r="A213" s="48" t="str">
        <f>Базовый!A201</f>
        <v>Теплоноситель</v>
      </c>
      <c r="B213" s="16" t="str">
        <f>Базовый!B201</f>
        <v>м3</v>
      </c>
      <c r="C213" s="19">
        <f>Базовый!C201</f>
        <v>2.3661380504500134</v>
      </c>
      <c r="D213" s="170"/>
    </row>
    <row r="214" spans="1:4" outlineLevel="2" x14ac:dyDescent="0.3">
      <c r="A214" s="48" t="str">
        <f>Базовый!A202</f>
        <v>Электроэнергия</v>
      </c>
      <c r="B214" s="16" t="str">
        <f>Базовый!B202</f>
        <v>Квт*ч</v>
      </c>
      <c r="C214" s="19">
        <f>Базовый!C202</f>
        <v>229.20523552563728</v>
      </c>
      <c r="D214" s="170"/>
    </row>
    <row r="215" spans="1:4" outlineLevel="2" x14ac:dyDescent="0.3">
      <c r="A215" s="48" t="str">
        <f>Базовый!A203</f>
        <v>Холодное водоснабжение</v>
      </c>
      <c r="B215" s="16" t="str">
        <f>Базовый!B203</f>
        <v>м3</v>
      </c>
      <c r="C215" s="19">
        <f>Базовый!C203</f>
        <v>9.9994760348931244</v>
      </c>
      <c r="D215" s="170"/>
    </row>
    <row r="216" spans="1:4" outlineLevel="2" x14ac:dyDescent="0.3">
      <c r="A216" s="48" t="str">
        <f>Базовый!A204</f>
        <v>Водоотведение</v>
      </c>
      <c r="B216" s="16" t="str">
        <f>Базовый!B204</f>
        <v>м3</v>
      </c>
      <c r="C216" s="19">
        <f>Базовый!C204</f>
        <v>11.380734758842362</v>
      </c>
      <c r="D216" s="170"/>
    </row>
    <row r="217" spans="1:4" outlineLevel="2" x14ac:dyDescent="0.3">
      <c r="A217" s="48" t="str">
        <f>Базовый!A205</f>
        <v>Сбросы загрязнений</v>
      </c>
      <c r="B217" s="16" t="str">
        <f>Базовый!B205</f>
        <v>м3</v>
      </c>
      <c r="C217" s="19">
        <f>Базовый!C205</f>
        <v>7.107203979593355</v>
      </c>
      <c r="D217" s="171"/>
    </row>
    <row r="218" spans="1:4" outlineLevel="1" x14ac:dyDescent="0.3">
      <c r="A218" s="172" t="s">
        <v>366</v>
      </c>
      <c r="B218" s="172"/>
      <c r="C218" s="172"/>
      <c r="D218" s="172"/>
    </row>
    <row r="219" spans="1:4" outlineLevel="2" x14ac:dyDescent="0.3">
      <c r="A219" s="48" t="str">
        <f>Базовый!A207</f>
        <v>Дератизация</v>
      </c>
      <c r="B219" s="16" t="str">
        <f>Базовый!B207</f>
        <v>м2</v>
      </c>
      <c r="C219" s="19">
        <f>Базовый!C207</f>
        <v>1.1075219197046609</v>
      </c>
      <c r="D219" s="169" t="s">
        <v>414</v>
      </c>
    </row>
    <row r="220" spans="1:4" outlineLevel="2" x14ac:dyDescent="0.3">
      <c r="A220" s="48" t="str">
        <f>Базовый!A208</f>
        <v>Дезинсекция</v>
      </c>
      <c r="B220" s="16" t="str">
        <f>Базовый!B208</f>
        <v>м2</v>
      </c>
      <c r="C220" s="19">
        <f>Базовый!C208</f>
        <v>1.1075219197046609</v>
      </c>
      <c r="D220" s="170"/>
    </row>
    <row r="221" spans="1:4" outlineLevel="2" x14ac:dyDescent="0.3">
      <c r="A221" s="48" t="str">
        <f>Базовый!A209</f>
        <v>Дезинфекция</v>
      </c>
      <c r="B221" s="16" t="str">
        <f>Базовый!B209</f>
        <v>м2</v>
      </c>
      <c r="C221" s="19">
        <f>Базовый!C209</f>
        <v>0.50761421319796962</v>
      </c>
      <c r="D221" s="170"/>
    </row>
    <row r="222" spans="1:4" outlineLevel="2" x14ac:dyDescent="0.3">
      <c r="A222" s="48" t="str">
        <f>Базовый!A210</f>
        <v>ТО КТС</v>
      </c>
      <c r="B222" s="16" t="str">
        <f>Базовый!B210</f>
        <v>усл. ед.</v>
      </c>
      <c r="C222" s="19">
        <f>Базовый!C210</f>
        <v>4.6146746654360873E-3</v>
      </c>
      <c r="D222" s="170"/>
    </row>
    <row r="223" spans="1:4" outlineLevel="2" x14ac:dyDescent="0.3">
      <c r="A223" s="48" t="str">
        <f>Базовый!A211</f>
        <v>Охрана КТС</v>
      </c>
      <c r="B223" s="16" t="str">
        <f>Базовый!B211</f>
        <v>усл. ед.</v>
      </c>
      <c r="C223" s="19">
        <f>Базовый!C211</f>
        <v>40.424550069220125</v>
      </c>
      <c r="D223" s="170"/>
    </row>
    <row r="224" spans="1:4" outlineLevel="2" x14ac:dyDescent="0.3">
      <c r="A224" s="48" t="str">
        <f>Базовый!A212</f>
        <v>Пожарная охрана</v>
      </c>
      <c r="B224" s="16" t="str">
        <f>Базовый!B212</f>
        <v>усл. ед.</v>
      </c>
      <c r="C224" s="19">
        <f>Базовый!C212</f>
        <v>40.424550069220125</v>
      </c>
      <c r="D224" s="170"/>
    </row>
    <row r="225" spans="1:4" outlineLevel="2" x14ac:dyDescent="0.3">
      <c r="A225" s="48" t="str">
        <f>Базовый!A213</f>
        <v>Охрана при помощи ОС</v>
      </c>
      <c r="B225" s="16" t="str">
        <f>Базовый!B213</f>
        <v>усл. ед.</v>
      </c>
      <c r="C225" s="19">
        <f>Базовый!C213</f>
        <v>80.849100138440249</v>
      </c>
      <c r="D225" s="170"/>
    </row>
    <row r="226" spans="1:4" ht="26" outlineLevel="2" x14ac:dyDescent="0.3">
      <c r="A226" s="48" t="str">
        <f>Базовый!A214</f>
        <v>ТО автоматизированного теплового пункта</v>
      </c>
      <c r="B226" s="16" t="str">
        <f>Базовый!B214</f>
        <v>усл. ед.</v>
      </c>
      <c r="C226" s="19">
        <f>Базовый!C214</f>
        <v>4.6146746654360873E-3</v>
      </c>
      <c r="D226" s="170"/>
    </row>
    <row r="227" spans="1:4" outlineLevel="2" x14ac:dyDescent="0.3">
      <c r="A227" s="48" t="str">
        <f>Базовый!A215</f>
        <v>ТО приборов учета тепловой энергии</v>
      </c>
      <c r="B227" s="16" t="str">
        <f>Базовый!B215</f>
        <v>усл. ед.</v>
      </c>
      <c r="C227" s="19">
        <f>Базовый!C215</f>
        <v>4.6146746654360873E-3</v>
      </c>
      <c r="D227" s="170"/>
    </row>
    <row r="228" spans="1:4" outlineLevel="2" x14ac:dyDescent="0.3">
      <c r="A228" s="48" t="str">
        <f>Базовый!A216</f>
        <v>Вывоз ТБО</v>
      </c>
      <c r="B228" s="16" t="str">
        <f>Базовый!B216</f>
        <v>м3</v>
      </c>
      <c r="C228" s="19">
        <f>Базовый!C216</f>
        <v>0.66109829257037378</v>
      </c>
      <c r="D228" s="170"/>
    </row>
    <row r="229" spans="1:4" outlineLevel="2" x14ac:dyDescent="0.3">
      <c r="A229" s="48" t="str">
        <f>Базовый!A217</f>
        <v>ТО пожарной сигнализации</v>
      </c>
      <c r="B229" s="16" t="str">
        <f>Базовый!B217</f>
        <v>усл. ед.</v>
      </c>
      <c r="C229" s="19">
        <f>Базовый!C217</f>
        <v>4.6146746654360873E-3</v>
      </c>
      <c r="D229" s="170"/>
    </row>
    <row r="230" spans="1:4" outlineLevel="2" x14ac:dyDescent="0.3">
      <c r="A230" s="48" t="str">
        <f>Базовый!A218</f>
        <v>Обработка чердачных перекрытий</v>
      </c>
      <c r="B230" s="16" t="str">
        <f>Базовый!B218</f>
        <v>м2</v>
      </c>
      <c r="C230" s="19">
        <f>Базовый!C218</f>
        <v>0</v>
      </c>
      <c r="D230" s="170"/>
    </row>
    <row r="231" spans="1:4" outlineLevel="2" x14ac:dyDescent="0.3">
      <c r="A231" s="48" t="str">
        <f>Базовый!A219</f>
        <v>Прочистка канализации</v>
      </c>
      <c r="B231" s="16" t="str">
        <f>Базовый!B219</f>
        <v>усл. ед.</v>
      </c>
      <c r="C231" s="19">
        <f>Базовый!C219</f>
        <v>0</v>
      </c>
      <c r="D231" s="170"/>
    </row>
    <row r="232" spans="1:4" ht="26" outlineLevel="2" x14ac:dyDescent="0.3">
      <c r="A232" s="48" t="str">
        <f>Базовый!A220</f>
        <v>Проверка качества огнезащитной пропитки</v>
      </c>
      <c r="B232" s="16" t="str">
        <f>Базовый!B220</f>
        <v>усл. ед.</v>
      </c>
      <c r="C232" s="19">
        <f>Базовый!C220</f>
        <v>9.2293493308721747E-3</v>
      </c>
      <c r="D232" s="170"/>
    </row>
    <row r="233" spans="1:4" outlineLevel="2" x14ac:dyDescent="0.3">
      <c r="A233" s="48" t="str">
        <f>Базовый!A221</f>
        <v>Замеры сопротивления изоляции</v>
      </c>
      <c r="B233" s="16" t="str">
        <f>Базовый!B221</f>
        <v>усл. ед.</v>
      </c>
      <c r="C233" s="19">
        <f>Базовый!C221</f>
        <v>0</v>
      </c>
      <c r="D233" s="170"/>
    </row>
    <row r="234" spans="1:4" outlineLevel="1" x14ac:dyDescent="0.3">
      <c r="A234" s="172" t="s">
        <v>367</v>
      </c>
      <c r="B234" s="172"/>
      <c r="C234" s="172"/>
      <c r="D234" s="172"/>
    </row>
    <row r="235" spans="1:4" outlineLevel="2" x14ac:dyDescent="0.3">
      <c r="A235" s="48" t="str">
        <f>Базовый!A223</f>
        <v>Ремонт МФУ</v>
      </c>
      <c r="B235" s="16" t="str">
        <f>Базовый!B223</f>
        <v>шт.</v>
      </c>
      <c r="C235" s="19">
        <f>Базовый!C223</f>
        <v>4.6146746654360873E-3</v>
      </c>
      <c r="D235" s="169" t="s">
        <v>414</v>
      </c>
    </row>
    <row r="236" spans="1:4" outlineLevel="2" x14ac:dyDescent="0.3">
      <c r="A236" s="48" t="str">
        <f>Базовый!A224</f>
        <v>Огнезащитная обработка веранд</v>
      </c>
      <c r="B236" s="16" t="str">
        <f>Базовый!B224</f>
        <v>м2</v>
      </c>
      <c r="C236" s="19">
        <f>Базовый!C224</f>
        <v>0</v>
      </c>
      <c r="D236" s="171"/>
    </row>
    <row r="237" spans="1:4" outlineLevel="1" x14ac:dyDescent="0.3">
      <c r="A237" s="172" t="s">
        <v>368</v>
      </c>
      <c r="B237" s="172"/>
      <c r="C237" s="172"/>
      <c r="D237" s="172"/>
    </row>
    <row r="238" spans="1:4" outlineLevel="2" x14ac:dyDescent="0.3">
      <c r="A238" s="48" t="str">
        <f>Базовый!A226</f>
        <v>Ростелеком внутризоновая связь</v>
      </c>
      <c r="B238" s="16" t="str">
        <f>Базовый!B226</f>
        <v>усл. ед.</v>
      </c>
      <c r="C238" s="19">
        <f>Базовый!C226</f>
        <v>4.6146746654360873E-3</v>
      </c>
      <c r="D238" s="169" t="s">
        <v>414</v>
      </c>
    </row>
    <row r="239" spans="1:4" outlineLevel="2" x14ac:dyDescent="0.3">
      <c r="A239" s="48" t="str">
        <f>Базовый!A227</f>
        <v>Ростелеком интернет</v>
      </c>
      <c r="B239" s="16" t="str">
        <f>Базовый!B227</f>
        <v>усл. ед.</v>
      </c>
      <c r="C239" s="19">
        <f>Базовый!C227</f>
        <v>4.6146746654360873E-3</v>
      </c>
      <c r="D239" s="171"/>
    </row>
    <row r="240" spans="1:4" outlineLevel="1" collapsed="1" x14ac:dyDescent="0.3">
      <c r="A240" s="172" t="s">
        <v>369</v>
      </c>
      <c r="B240" s="172"/>
      <c r="C240" s="172"/>
      <c r="D240" s="172"/>
    </row>
    <row r="241" spans="1:4" ht="26" hidden="1" outlineLevel="2" x14ac:dyDescent="0.3">
      <c r="A241" s="48"/>
      <c r="B241" s="48"/>
      <c r="C241" s="48"/>
      <c r="D241" s="48" t="s">
        <v>414</v>
      </c>
    </row>
    <row r="242" spans="1:4" outlineLevel="1" x14ac:dyDescent="0.3">
      <c r="A242" s="172" t="s">
        <v>370</v>
      </c>
      <c r="B242" s="172"/>
      <c r="C242" s="172"/>
      <c r="D242" s="172"/>
    </row>
    <row r="243" spans="1:4" outlineLevel="2" x14ac:dyDescent="0.3">
      <c r="A243" s="55"/>
      <c r="B243" s="16"/>
      <c r="C243" s="19"/>
      <c r="D243" s="48"/>
    </row>
    <row r="244" spans="1:4" outlineLevel="2" x14ac:dyDescent="0.3">
      <c r="A244" s="55"/>
      <c r="B244" s="16"/>
      <c r="C244" s="19"/>
      <c r="D244" s="48"/>
    </row>
    <row r="245" spans="1:4" outlineLevel="1" x14ac:dyDescent="0.3">
      <c r="A245" s="172" t="s">
        <v>371</v>
      </c>
      <c r="B245" s="172"/>
      <c r="C245" s="172"/>
      <c r="D245" s="172"/>
    </row>
    <row r="246" spans="1:4" outlineLevel="2" x14ac:dyDescent="0.3">
      <c r="A246" s="55"/>
      <c r="B246" s="16"/>
      <c r="C246" s="19"/>
      <c r="D246" s="169" t="s">
        <v>414</v>
      </c>
    </row>
    <row r="247" spans="1:4" outlineLevel="2" x14ac:dyDescent="0.3">
      <c r="A247" s="55"/>
      <c r="B247" s="16"/>
      <c r="C247" s="19"/>
      <c r="D247" s="170"/>
    </row>
    <row r="248" spans="1:4" outlineLevel="2" x14ac:dyDescent="0.3">
      <c r="A248" s="55"/>
      <c r="B248" s="16"/>
      <c r="C248" s="19"/>
      <c r="D248" s="170"/>
    </row>
    <row r="249" spans="1:4" outlineLevel="2" x14ac:dyDescent="0.3">
      <c r="A249" s="48" t="str">
        <f>Базовый!A237</f>
        <v>Проверка пожарных кранов</v>
      </c>
      <c r="B249" s="16" t="str">
        <f>Базовый!B237</f>
        <v>усл</v>
      </c>
      <c r="C249" s="19">
        <f>Базовый!C237</f>
        <v>0</v>
      </c>
      <c r="D249" s="170"/>
    </row>
    <row r="250" spans="1:4" outlineLevel="2" x14ac:dyDescent="0.3">
      <c r="A250" s="48" t="str">
        <f>Базовый!A238</f>
        <v>Испытание пожарного рукава</v>
      </c>
      <c r="B250" s="16" t="str">
        <f>Базовый!B238</f>
        <v>шт.</v>
      </c>
      <c r="C250" s="19">
        <f>Базовый!C238</f>
        <v>0</v>
      </c>
      <c r="D250" s="170"/>
    </row>
    <row r="251" spans="1:4" outlineLevel="2" x14ac:dyDescent="0.3">
      <c r="A251" s="48" t="str">
        <f>Базовый!A239</f>
        <v>Испытание пожарного крана</v>
      </c>
      <c r="B251" s="16" t="str">
        <f>Базовый!B239</f>
        <v>шт.</v>
      </c>
      <c r="C251" s="19">
        <f>Базовый!C239</f>
        <v>0</v>
      </c>
      <c r="D251" s="170"/>
    </row>
    <row r="252" spans="1:4" outlineLevel="2" x14ac:dyDescent="0.3">
      <c r="A252" s="48" t="str">
        <f>Базовый!A240</f>
        <v>Перемотка рукава на другое ребро</v>
      </c>
      <c r="B252" s="16" t="str">
        <f>Базовый!B240</f>
        <v>шт.</v>
      </c>
      <c r="C252" s="19">
        <f>Базовый!C240</f>
        <v>0</v>
      </c>
      <c r="D252" s="170"/>
    </row>
    <row r="253" spans="1:4" outlineLevel="2" x14ac:dyDescent="0.3">
      <c r="A253" s="48" t="str">
        <f>Базовый!A241</f>
        <v>Огнетушители</v>
      </c>
      <c r="B253" s="16" t="str">
        <f>Базовый!B241</f>
        <v>шт.</v>
      </c>
      <c r="C253" s="19">
        <f>Базовый!C241</f>
        <v>0</v>
      </c>
      <c r="D253" s="170"/>
    </row>
    <row r="254" spans="1:4" ht="26" outlineLevel="2" x14ac:dyDescent="0.3">
      <c r="A254" s="48" t="str">
        <f>Базовый!A242</f>
        <v>Поверка и ТО весы настольные циферблатные</v>
      </c>
      <c r="B254" s="16" t="str">
        <f>Базовый!B242</f>
        <v>шт.</v>
      </c>
      <c r="C254" s="19">
        <f>Базовый!C242</f>
        <v>0</v>
      </c>
      <c r="D254" s="170"/>
    </row>
    <row r="255" spans="1:4" ht="26" outlineLevel="2" x14ac:dyDescent="0.3">
      <c r="A255" s="48" t="str">
        <f>Базовый!A243</f>
        <v>Поверка и ТО весы электронные торговые</v>
      </c>
      <c r="B255" s="16" t="str">
        <f>Базовый!B243</f>
        <v>шт.</v>
      </c>
      <c r="C255" s="19">
        <f>Базовый!C243</f>
        <v>0</v>
      </c>
      <c r="D255" s="170"/>
    </row>
    <row r="256" spans="1:4" outlineLevel="2" x14ac:dyDescent="0.3">
      <c r="A256" s="48" t="str">
        <f>Базовый!A244</f>
        <v>Поверка и ТО весы медицинские</v>
      </c>
      <c r="B256" s="16" t="str">
        <f>Базовый!B244</f>
        <v>шт.</v>
      </c>
      <c r="C256" s="19">
        <f>Базовый!C244</f>
        <v>0</v>
      </c>
      <c r="D256" s="170"/>
    </row>
    <row r="257" spans="1:4" ht="39" outlineLevel="2" x14ac:dyDescent="0.3">
      <c r="A257" s="48" t="str">
        <f>Базовый!A245</f>
        <v>Поверка и ТО весы напольные медицинские электронные ВМЭН 150</v>
      </c>
      <c r="B257" s="16" t="str">
        <f>Базовый!B245</f>
        <v>шт.</v>
      </c>
      <c r="C257" s="19">
        <f>Базовый!C245</f>
        <v>0</v>
      </c>
      <c r="D257" s="170"/>
    </row>
    <row r="258" spans="1:4" ht="26" outlineLevel="2" x14ac:dyDescent="0.3">
      <c r="A258" s="48" t="str">
        <f>Базовый!A246</f>
        <v>Поверка и ТО весы электронные длястатистического взвешивания</v>
      </c>
      <c r="B258" s="16" t="str">
        <f>Базовый!B246</f>
        <v>шт.</v>
      </c>
      <c r="C258" s="19">
        <f>Базовый!C246</f>
        <v>0</v>
      </c>
      <c r="D258" s="170"/>
    </row>
    <row r="259" spans="1:4" ht="26" outlineLevel="2" x14ac:dyDescent="0.3">
      <c r="A259" s="48" t="str">
        <f>Базовый!A247</f>
        <v>Поверка и ТО весы механические для статистического взвешивания</v>
      </c>
      <c r="B259" s="16" t="str">
        <f>Базовый!B247</f>
        <v>шт.</v>
      </c>
      <c r="C259" s="19">
        <f>Базовый!C247</f>
        <v>0</v>
      </c>
      <c r="D259" s="170"/>
    </row>
    <row r="260" spans="1:4" ht="26" outlineLevel="2" x14ac:dyDescent="0.3">
      <c r="A260" s="48" t="str">
        <f>Базовый!A248</f>
        <v>Поверка и ТО гири общего назначения</v>
      </c>
      <c r="B260" s="16" t="str">
        <f>Базовый!B248</f>
        <v>шт.</v>
      </c>
      <c r="C260" s="19">
        <f>Базовый!C248</f>
        <v>0</v>
      </c>
      <c r="D260" s="170"/>
    </row>
    <row r="261" spans="1:4" ht="26" outlineLevel="2" x14ac:dyDescent="0.3">
      <c r="A261" s="48" t="str">
        <f>Базовый!A249</f>
        <v>Поверка динамометры медицинские кистевые механические</v>
      </c>
      <c r="B261" s="16" t="str">
        <f>Базовый!B249</f>
        <v>шт.</v>
      </c>
      <c r="C261" s="19">
        <f>Базовый!C249</f>
        <v>0</v>
      </c>
      <c r="D261" s="170"/>
    </row>
    <row r="262" spans="1:4" ht="26" outlineLevel="2" x14ac:dyDescent="0.3">
      <c r="A262" s="48" t="str">
        <f>Базовый!A250</f>
        <v>Метрологическая аттестация узлов учета</v>
      </c>
      <c r="B262" s="16" t="str">
        <f>Базовый!B250</f>
        <v>усл. ед.</v>
      </c>
      <c r="C262" s="19">
        <f>Базовый!C250</f>
        <v>0</v>
      </c>
      <c r="D262" s="170"/>
    </row>
    <row r="263" spans="1:4" outlineLevel="2" x14ac:dyDescent="0.3">
      <c r="A263" s="48" t="str">
        <f>Базовый!A251</f>
        <v>Ткань на половые тряпки</v>
      </c>
      <c r="B263" s="16" t="str">
        <f>Базовый!B251</f>
        <v>м</v>
      </c>
      <c r="C263" s="19">
        <f>Базовый!C251</f>
        <v>0</v>
      </c>
      <c r="D263" s="170"/>
    </row>
    <row r="264" spans="1:4" outlineLevel="2" x14ac:dyDescent="0.3">
      <c r="A264" s="48" t="str">
        <f>Базовый!A252</f>
        <v>Рукавицы ватные</v>
      </c>
      <c r="B264" s="16" t="str">
        <f>Базовый!B252</f>
        <v>пар.</v>
      </c>
      <c r="C264" s="19">
        <f>Базовый!C252</f>
        <v>0</v>
      </c>
      <c r="D264" s="170"/>
    </row>
    <row r="265" spans="1:4" outlineLevel="2" x14ac:dyDescent="0.3">
      <c r="A265" s="48" t="str">
        <f>Базовый!A253</f>
        <v>Перчатки обливные</v>
      </c>
      <c r="B265" s="16" t="str">
        <f>Базовый!B253</f>
        <v>пар.</v>
      </c>
      <c r="C265" s="19">
        <f>Базовый!C253</f>
        <v>0</v>
      </c>
      <c r="D265" s="170"/>
    </row>
    <row r="266" spans="1:4" outlineLevel="2" x14ac:dyDescent="0.3">
      <c r="A266" s="48" t="str">
        <f>Базовый!A254</f>
        <v>Ведро пластик</v>
      </c>
      <c r="B266" s="16" t="str">
        <f>Базовый!B254</f>
        <v>шт.</v>
      </c>
      <c r="C266" s="19">
        <f>Базовый!C254</f>
        <v>0</v>
      </c>
      <c r="D266" s="170"/>
    </row>
    <row r="267" spans="1:4" outlineLevel="2" x14ac:dyDescent="0.3">
      <c r="A267" s="48" t="str">
        <f>Базовый!A255</f>
        <v>Перчатки хозяйственные</v>
      </c>
      <c r="B267" s="16" t="str">
        <f>Базовый!B255</f>
        <v>пар.</v>
      </c>
      <c r="C267" s="19">
        <f>Базовый!C255</f>
        <v>0</v>
      </c>
      <c r="D267" s="170"/>
    </row>
    <row r="268" spans="1:4" outlineLevel="2" x14ac:dyDescent="0.3">
      <c r="A268" s="48" t="str">
        <f>Базовый!A256</f>
        <v>Лопата</v>
      </c>
      <c r="B268" s="16" t="str">
        <f>Базовый!B256</f>
        <v>шт.</v>
      </c>
      <c r="C268" s="19">
        <f>Базовый!C256</f>
        <v>0</v>
      </c>
      <c r="D268" s="170"/>
    </row>
    <row r="269" spans="1:4" outlineLevel="2" x14ac:dyDescent="0.3">
      <c r="A269" s="48" t="str">
        <f>Базовый!A257</f>
        <v>Метла</v>
      </c>
      <c r="B269" s="16" t="str">
        <f>Базовый!B257</f>
        <v>шт.</v>
      </c>
      <c r="C269" s="19">
        <f>Базовый!C257</f>
        <v>0</v>
      </c>
      <c r="D269" s="170"/>
    </row>
    <row r="270" spans="1:4" outlineLevel="2" x14ac:dyDescent="0.3">
      <c r="A270" s="48" t="str">
        <f>Базовый!A258</f>
        <v>Движок для снега</v>
      </c>
      <c r="B270" s="16" t="str">
        <f>Базовый!B258</f>
        <v>шт.</v>
      </c>
      <c r="C270" s="19">
        <f>Базовый!C258</f>
        <v>0</v>
      </c>
      <c r="D270" s="170"/>
    </row>
    <row r="271" spans="1:4" outlineLevel="2" x14ac:dyDescent="0.3">
      <c r="A271" s="48" t="str">
        <f>Базовый!A259</f>
        <v>Веник</v>
      </c>
      <c r="B271" s="16" t="str">
        <f>Базовый!B259</f>
        <v>шт.</v>
      </c>
      <c r="C271" s="19">
        <f>Базовый!C259</f>
        <v>0</v>
      </c>
      <c r="D271" s="170"/>
    </row>
    <row r="272" spans="1:4" outlineLevel="2" x14ac:dyDescent="0.3">
      <c r="A272" s="48" t="str">
        <f>Базовый!A260</f>
        <v>Скребок для льда</v>
      </c>
      <c r="B272" s="16" t="str">
        <f>Базовый!B260</f>
        <v>шт.</v>
      </c>
      <c r="C272" s="19">
        <f>Базовый!C260</f>
        <v>0</v>
      </c>
      <c r="D272" s="170"/>
    </row>
    <row r="273" spans="1:4" outlineLevel="2" x14ac:dyDescent="0.3">
      <c r="A273" s="48" t="str">
        <f>Базовый!A261</f>
        <v>Грабли</v>
      </c>
      <c r="B273" s="16" t="str">
        <f>Базовый!B261</f>
        <v>шт.</v>
      </c>
      <c r="C273" s="19">
        <f>Базовый!C261</f>
        <v>0</v>
      </c>
      <c r="D273" s="170"/>
    </row>
    <row r="274" spans="1:4" outlineLevel="2" x14ac:dyDescent="0.3">
      <c r="A274" s="48" t="str">
        <f>Базовый!A262</f>
        <v>Тачка садовая</v>
      </c>
      <c r="B274" s="16" t="str">
        <f>Базовый!B262</f>
        <v>шт.</v>
      </c>
      <c r="C274" s="19">
        <f>Базовый!C262</f>
        <v>0</v>
      </c>
      <c r="D274" s="170"/>
    </row>
    <row r="275" spans="1:4" outlineLevel="2" x14ac:dyDescent="0.3">
      <c r="A275" s="48" t="str">
        <f>Базовый!A263</f>
        <v>Ерш унитазный</v>
      </c>
      <c r="B275" s="16" t="str">
        <f>Базовый!B263</f>
        <v>шт.</v>
      </c>
      <c r="C275" s="19">
        <f>Базовый!C263</f>
        <v>0</v>
      </c>
      <c r="D275" s="170"/>
    </row>
    <row r="276" spans="1:4" outlineLevel="2" x14ac:dyDescent="0.3">
      <c r="A276" s="48" t="str">
        <f>Базовый!A264</f>
        <v>Швабра деревянная в сборе</v>
      </c>
      <c r="B276" s="16" t="str">
        <f>Базовый!B264</f>
        <v>шт.</v>
      </c>
      <c r="C276" s="19">
        <f>Базовый!C264</f>
        <v>0</v>
      </c>
      <c r="D276" s="170"/>
    </row>
    <row r="277" spans="1:4" outlineLevel="2" x14ac:dyDescent="0.3">
      <c r="A277" s="48" t="str">
        <f>Базовый!A265</f>
        <v>Ведро эмалированное 12л с крышкой</v>
      </c>
      <c r="B277" s="16" t="str">
        <f>Базовый!B265</f>
        <v>шт.</v>
      </c>
      <c r="C277" s="19">
        <f>Базовый!C265</f>
        <v>0</v>
      </c>
      <c r="D277" s="170"/>
    </row>
    <row r="278" spans="1:4" outlineLevel="2" x14ac:dyDescent="0.3">
      <c r="A278" s="48" t="str">
        <f>Базовый!A266</f>
        <v>Ведро 10л</v>
      </c>
      <c r="B278" s="16" t="str">
        <f>Базовый!B266</f>
        <v>шт.</v>
      </c>
      <c r="C278" s="19">
        <f>Базовый!C266</f>
        <v>0</v>
      </c>
      <c r="D278" s="170"/>
    </row>
    <row r="279" spans="1:4" x14ac:dyDescent="0.3">
      <c r="A279" s="8"/>
    </row>
    <row r="280" spans="1:4" ht="37.5" customHeight="1" x14ac:dyDescent="0.3">
      <c r="A280" s="8" t="s">
        <v>372</v>
      </c>
      <c r="B280" s="56"/>
      <c r="C280" s="56"/>
    </row>
    <row r="281" spans="1:4" ht="17.25" customHeight="1" x14ac:dyDescent="0.3">
      <c r="A281" s="173" t="s">
        <v>373</v>
      </c>
      <c r="B281" s="173"/>
      <c r="C281" s="173"/>
      <c r="D281" s="173"/>
    </row>
    <row r="282" spans="1:4" ht="44.25" customHeight="1" x14ac:dyDescent="0.3">
      <c r="A282" s="173" t="s">
        <v>374</v>
      </c>
      <c r="B282" s="173"/>
      <c r="C282" s="173"/>
      <c r="D282" s="173"/>
    </row>
    <row r="283" spans="1:4" ht="42.75" customHeight="1" x14ac:dyDescent="0.3">
      <c r="A283" s="173" t="s">
        <v>374</v>
      </c>
      <c r="B283" s="173"/>
      <c r="C283" s="173"/>
      <c r="D283" s="173"/>
    </row>
    <row r="284" spans="1:4" ht="19.899999999999999" customHeight="1" x14ac:dyDescent="0.3">
      <c r="A284" s="173" t="s">
        <v>375</v>
      </c>
      <c r="B284" s="173"/>
      <c r="C284" s="173"/>
      <c r="D284" s="173"/>
    </row>
    <row r="285" spans="1:4" ht="36.65" customHeight="1" x14ac:dyDescent="0.3">
      <c r="A285" s="173" t="s">
        <v>376</v>
      </c>
      <c r="B285" s="173"/>
      <c r="C285" s="173"/>
      <c r="D285" s="173"/>
    </row>
  </sheetData>
  <autoFilter ref="A10:D242">
    <filterColumn colId="0">
      <customFilters>
        <customFilter operator="notEqual" val=" "/>
      </customFilters>
    </filterColumn>
  </autoFilter>
  <mergeCells count="33">
    <mergeCell ref="A284:D284"/>
    <mergeCell ref="A285:D285"/>
    <mergeCell ref="A240:D240"/>
    <mergeCell ref="A242:D242"/>
    <mergeCell ref="A245:D245"/>
    <mergeCell ref="D246:D278"/>
    <mergeCell ref="A281:D281"/>
    <mergeCell ref="A282:D282"/>
    <mergeCell ref="A283:D283"/>
    <mergeCell ref="A16:D16"/>
    <mergeCell ref="A20:D20"/>
    <mergeCell ref="D17:D19"/>
    <mergeCell ref="A13:D13"/>
    <mergeCell ref="A12:D12"/>
    <mergeCell ref="A14:D14"/>
    <mergeCell ref="A15:D15"/>
    <mergeCell ref="D238:D239"/>
    <mergeCell ref="D21:D110"/>
    <mergeCell ref="A111:D111"/>
    <mergeCell ref="D112:D208"/>
    <mergeCell ref="A209:D209"/>
    <mergeCell ref="A210:D210"/>
    <mergeCell ref="A218:D218"/>
    <mergeCell ref="D235:D236"/>
    <mergeCell ref="A237:D237"/>
    <mergeCell ref="D219:D233"/>
    <mergeCell ref="D211:D217"/>
    <mergeCell ref="A234:D234"/>
    <mergeCell ref="A4:D4"/>
    <mergeCell ref="A5:D5"/>
    <mergeCell ref="A6:D6"/>
    <mergeCell ref="A7:D7"/>
    <mergeCell ref="A11:D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75"/>
  <sheetViews>
    <sheetView view="pageBreakPreview" zoomScale="85" zoomScaleNormal="100" zoomScaleSheetLayoutView="85" workbookViewId="0">
      <pane ySplit="8" topLeftCell="A9" activePane="bottomLeft" state="frozen"/>
      <selection activeCell="D246" sqref="D246:D278"/>
      <selection pane="bottomLeft" activeCell="E214" sqref="E214"/>
    </sheetView>
  </sheetViews>
  <sheetFormatPr defaultColWidth="9.1796875" defaultRowHeight="13" outlineLevelRow="3" x14ac:dyDescent="0.35"/>
  <cols>
    <col min="1" max="6" width="25.7265625" style="34" customWidth="1"/>
    <col min="7" max="16384" width="9.1796875" style="34"/>
  </cols>
  <sheetData>
    <row r="1" spans="1:6" x14ac:dyDescent="0.35">
      <c r="A1" s="49"/>
      <c r="F1" s="50" t="s">
        <v>377</v>
      </c>
    </row>
    <row r="2" spans="1:6" ht="14.5" customHeight="1" x14ac:dyDescent="0.35">
      <c r="A2" s="49"/>
      <c r="F2" s="15" t="s">
        <v>378</v>
      </c>
    </row>
    <row r="3" spans="1:6" x14ac:dyDescent="0.35">
      <c r="A3" s="51"/>
    </row>
    <row r="4" spans="1:6" x14ac:dyDescent="0.35">
      <c r="A4" s="174" t="s">
        <v>379</v>
      </c>
      <c r="B4" s="174"/>
      <c r="C4" s="174"/>
      <c r="D4" s="174"/>
      <c r="E4" s="174"/>
      <c r="F4" s="174"/>
    </row>
    <row r="5" spans="1:6" x14ac:dyDescent="0.35">
      <c r="A5" s="174" t="s">
        <v>380</v>
      </c>
      <c r="B5" s="174"/>
      <c r="C5" s="174"/>
      <c r="D5" s="174"/>
      <c r="E5" s="174"/>
      <c r="F5" s="174"/>
    </row>
    <row r="6" spans="1:6" x14ac:dyDescent="0.35">
      <c r="A6" s="51"/>
    </row>
    <row r="7" spans="1:6" ht="26" x14ac:dyDescent="0.35">
      <c r="A7" s="16" t="s">
        <v>0</v>
      </c>
      <c r="B7" s="16" t="s">
        <v>255</v>
      </c>
      <c r="C7" s="16" t="s">
        <v>257</v>
      </c>
      <c r="D7" s="16" t="s">
        <v>258</v>
      </c>
      <c r="E7" s="16" t="s">
        <v>259</v>
      </c>
      <c r="F7" s="16" t="s">
        <v>381</v>
      </c>
    </row>
    <row r="8" spans="1:6" x14ac:dyDescent="0.3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</row>
    <row r="9" spans="1:6" ht="19.5" customHeight="1" x14ac:dyDescent="0.35">
      <c r="A9" s="164" t="s">
        <v>429</v>
      </c>
      <c r="B9" s="164"/>
      <c r="C9" s="164"/>
      <c r="D9" s="164"/>
      <c r="E9" s="164"/>
      <c r="F9" s="164"/>
    </row>
    <row r="10" spans="1:6" ht="18" customHeight="1" x14ac:dyDescent="0.35">
      <c r="A10" s="175" t="s">
        <v>507</v>
      </c>
      <c r="B10" s="175"/>
      <c r="C10" s="175"/>
      <c r="D10" s="175"/>
      <c r="E10" s="175"/>
      <c r="F10" s="175"/>
    </row>
    <row r="11" spans="1:6" ht="30" customHeight="1" x14ac:dyDescent="0.35">
      <c r="A11" s="164" t="s">
        <v>4</v>
      </c>
      <c r="B11" s="164"/>
      <c r="C11" s="164"/>
      <c r="D11" s="164"/>
      <c r="E11" s="23">
        <f>E12+E16+E107</f>
        <v>4394.556713930574</v>
      </c>
      <c r="F11" s="169" t="s">
        <v>414</v>
      </c>
    </row>
    <row r="12" spans="1:6" ht="30" customHeight="1" outlineLevel="1" collapsed="1" x14ac:dyDescent="0.35">
      <c r="A12" s="164" t="s">
        <v>5</v>
      </c>
      <c r="B12" s="164"/>
      <c r="C12" s="164"/>
      <c r="D12" s="164"/>
      <c r="E12" s="22">
        <f>SUM(E13:E15)</f>
        <v>2388.5325334563913</v>
      </c>
      <c r="F12" s="170"/>
    </row>
    <row r="13" spans="1:6" ht="26" hidden="1" outlineLevel="2" x14ac:dyDescent="0.35">
      <c r="A13" s="48" t="str">
        <f>Базовый!A5</f>
        <v>Педагогический персонал (соц. поддержка)</v>
      </c>
      <c r="B13" s="19">
        <f>Базовый!C5</f>
        <v>0.12150438394093216</v>
      </c>
      <c r="C13" s="22">
        <f>Базовый!T5</f>
        <v>1</v>
      </c>
      <c r="D13" s="22">
        <f>Базовый!U5</f>
        <v>19657.994682871249</v>
      </c>
      <c r="E13" s="22">
        <f>B13/C13*D13</f>
        <v>2388.5325334563913</v>
      </c>
      <c r="F13" s="170"/>
    </row>
    <row r="14" spans="1:6" ht="17.25" hidden="1" customHeight="1" outlineLevel="2" x14ac:dyDescent="0.35">
      <c r="A14" s="55"/>
      <c r="B14" s="60"/>
      <c r="C14" s="52"/>
      <c r="D14" s="52"/>
      <c r="E14" s="52"/>
      <c r="F14" s="170"/>
    </row>
    <row r="15" spans="1:6" ht="12.75" hidden="1" customHeight="1" outlineLevel="2" x14ac:dyDescent="0.35">
      <c r="A15" s="55"/>
      <c r="B15" s="60"/>
      <c r="C15" s="52"/>
      <c r="D15" s="52"/>
      <c r="E15" s="52"/>
      <c r="F15" s="170"/>
    </row>
    <row r="16" spans="1:6" ht="45" customHeight="1" outlineLevel="1" collapsed="1" x14ac:dyDescent="0.35">
      <c r="A16" s="164" t="s">
        <v>6</v>
      </c>
      <c r="B16" s="164"/>
      <c r="C16" s="164"/>
      <c r="D16" s="164"/>
      <c r="E16" s="22">
        <f>E17+E19+E27+E46+E77+E84+E89+E104</f>
        <v>66.270427672955975</v>
      </c>
      <c r="F16" s="170"/>
    </row>
    <row r="17" spans="1:6" s="53" customFormat="1" hidden="1" outlineLevel="2" collapsed="1" x14ac:dyDescent="0.35">
      <c r="A17" s="55"/>
      <c r="B17" s="60"/>
      <c r="C17" s="52"/>
      <c r="D17" s="52"/>
      <c r="E17" s="52"/>
      <c r="F17" s="170"/>
    </row>
    <row r="18" spans="1:6" s="53" customFormat="1" hidden="1" outlineLevel="3" x14ac:dyDescent="0.35">
      <c r="A18" s="55"/>
      <c r="B18" s="60"/>
      <c r="C18" s="52"/>
      <c r="D18" s="52"/>
      <c r="E18" s="52"/>
      <c r="F18" s="170"/>
    </row>
    <row r="19" spans="1:6" s="53" customFormat="1" hidden="1" outlineLevel="2" collapsed="1" x14ac:dyDescent="0.35">
      <c r="A19" s="55"/>
      <c r="B19" s="60"/>
      <c r="C19" s="52"/>
      <c r="D19" s="52"/>
      <c r="E19" s="52"/>
      <c r="F19" s="170"/>
    </row>
    <row r="20" spans="1:6" s="53" customFormat="1" hidden="1" outlineLevel="3" x14ac:dyDescent="0.35">
      <c r="A20" s="55"/>
      <c r="B20" s="60"/>
      <c r="C20" s="52"/>
      <c r="D20" s="52"/>
      <c r="E20" s="52"/>
      <c r="F20" s="170"/>
    </row>
    <row r="21" spans="1:6" s="53" customFormat="1" hidden="1" outlineLevel="3" x14ac:dyDescent="0.35">
      <c r="A21" s="55"/>
      <c r="B21" s="60"/>
      <c r="C21" s="52"/>
      <c r="D21" s="52"/>
      <c r="E21" s="52"/>
      <c r="F21" s="170"/>
    </row>
    <row r="22" spans="1:6" s="53" customFormat="1" hidden="1" outlineLevel="3" x14ac:dyDescent="0.35">
      <c r="A22" s="55"/>
      <c r="B22" s="60"/>
      <c r="C22" s="52"/>
      <c r="D22" s="52"/>
      <c r="E22" s="52"/>
      <c r="F22" s="170"/>
    </row>
    <row r="23" spans="1:6" s="53" customFormat="1" hidden="1" outlineLevel="3" x14ac:dyDescent="0.35">
      <c r="A23" s="55"/>
      <c r="B23" s="60"/>
      <c r="C23" s="52"/>
      <c r="D23" s="52"/>
      <c r="E23" s="52"/>
      <c r="F23" s="170"/>
    </row>
    <row r="24" spans="1:6" s="53" customFormat="1" hidden="1" outlineLevel="3" x14ac:dyDescent="0.35">
      <c r="A24" s="55"/>
      <c r="B24" s="60"/>
      <c r="C24" s="52"/>
      <c r="D24" s="52"/>
      <c r="E24" s="52"/>
      <c r="F24" s="170"/>
    </row>
    <row r="25" spans="1:6" s="53" customFormat="1" hidden="1" outlineLevel="3" x14ac:dyDescent="0.35">
      <c r="A25" s="55"/>
      <c r="B25" s="60"/>
      <c r="C25" s="52"/>
      <c r="D25" s="52"/>
      <c r="E25" s="52"/>
      <c r="F25" s="170"/>
    </row>
    <row r="26" spans="1:6" s="53" customFormat="1" hidden="1" outlineLevel="3" x14ac:dyDescent="0.35">
      <c r="A26" s="55"/>
      <c r="B26" s="60"/>
      <c r="C26" s="52"/>
      <c r="D26" s="52"/>
      <c r="E26" s="52"/>
      <c r="F26" s="170"/>
    </row>
    <row r="27" spans="1:6" s="53" customFormat="1" hidden="1" outlineLevel="2" collapsed="1" x14ac:dyDescent="0.35">
      <c r="A27" s="55"/>
      <c r="B27" s="60"/>
      <c r="C27" s="52"/>
      <c r="D27" s="52"/>
      <c r="E27" s="52"/>
      <c r="F27" s="170"/>
    </row>
    <row r="28" spans="1:6" s="53" customFormat="1" hidden="1" outlineLevel="3" x14ac:dyDescent="0.35">
      <c r="A28" s="55"/>
      <c r="B28" s="60"/>
      <c r="C28" s="52"/>
      <c r="D28" s="52"/>
      <c r="E28" s="52"/>
      <c r="F28" s="170"/>
    </row>
    <row r="29" spans="1:6" s="53" customFormat="1" hidden="1" outlineLevel="3" x14ac:dyDescent="0.35">
      <c r="A29" s="55"/>
      <c r="B29" s="60"/>
      <c r="C29" s="52"/>
      <c r="D29" s="52"/>
      <c r="E29" s="52"/>
      <c r="F29" s="170"/>
    </row>
    <row r="30" spans="1:6" s="53" customFormat="1" hidden="1" outlineLevel="3" x14ac:dyDescent="0.35">
      <c r="A30" s="55"/>
      <c r="B30" s="60"/>
      <c r="C30" s="52"/>
      <c r="D30" s="52"/>
      <c r="E30" s="52"/>
      <c r="F30" s="170"/>
    </row>
    <row r="31" spans="1:6" s="53" customFormat="1" hidden="1" outlineLevel="3" x14ac:dyDescent="0.35">
      <c r="A31" s="55"/>
      <c r="B31" s="60"/>
      <c r="C31" s="52"/>
      <c r="D31" s="52"/>
      <c r="E31" s="52"/>
      <c r="F31" s="170"/>
    </row>
    <row r="32" spans="1:6" s="53" customFormat="1" hidden="1" outlineLevel="3" x14ac:dyDescent="0.35">
      <c r="A32" s="55"/>
      <c r="B32" s="60"/>
      <c r="C32" s="52"/>
      <c r="D32" s="52"/>
      <c r="E32" s="52"/>
      <c r="F32" s="170"/>
    </row>
    <row r="33" spans="1:6" s="53" customFormat="1" hidden="1" outlineLevel="3" x14ac:dyDescent="0.35">
      <c r="A33" s="55"/>
      <c r="B33" s="60"/>
      <c r="C33" s="52"/>
      <c r="D33" s="52"/>
      <c r="E33" s="52"/>
      <c r="F33" s="170"/>
    </row>
    <row r="34" spans="1:6" s="53" customFormat="1" hidden="1" outlineLevel="3" x14ac:dyDescent="0.35">
      <c r="A34" s="55"/>
      <c r="B34" s="60"/>
      <c r="C34" s="52"/>
      <c r="D34" s="52"/>
      <c r="E34" s="52"/>
      <c r="F34" s="170"/>
    </row>
    <row r="35" spans="1:6" s="53" customFormat="1" hidden="1" outlineLevel="3" x14ac:dyDescent="0.35">
      <c r="A35" s="55"/>
      <c r="B35" s="60"/>
      <c r="C35" s="52"/>
      <c r="D35" s="52"/>
      <c r="E35" s="52"/>
      <c r="F35" s="170"/>
    </row>
    <row r="36" spans="1:6" s="53" customFormat="1" hidden="1" outlineLevel="3" x14ac:dyDescent="0.35">
      <c r="A36" s="55"/>
      <c r="B36" s="60"/>
      <c r="C36" s="52"/>
      <c r="D36" s="52"/>
      <c r="E36" s="52"/>
      <c r="F36" s="170"/>
    </row>
    <row r="37" spans="1:6" s="53" customFormat="1" hidden="1" outlineLevel="3" x14ac:dyDescent="0.35">
      <c r="A37" s="55"/>
      <c r="B37" s="60"/>
      <c r="C37" s="52"/>
      <c r="D37" s="52"/>
      <c r="E37" s="52"/>
      <c r="F37" s="170"/>
    </row>
    <row r="38" spans="1:6" s="53" customFormat="1" hidden="1" outlineLevel="3" x14ac:dyDescent="0.35">
      <c r="A38" s="55"/>
      <c r="B38" s="60"/>
      <c r="C38" s="52"/>
      <c r="D38" s="52"/>
      <c r="E38" s="52"/>
      <c r="F38" s="170"/>
    </row>
    <row r="39" spans="1:6" s="53" customFormat="1" hidden="1" outlineLevel="3" x14ac:dyDescent="0.35">
      <c r="A39" s="55"/>
      <c r="B39" s="60"/>
      <c r="C39" s="52"/>
      <c r="D39" s="52"/>
      <c r="E39" s="52"/>
      <c r="F39" s="170"/>
    </row>
    <row r="40" spans="1:6" s="53" customFormat="1" hidden="1" outlineLevel="3" x14ac:dyDescent="0.35">
      <c r="A40" s="55"/>
      <c r="B40" s="60"/>
      <c r="C40" s="52"/>
      <c r="D40" s="52"/>
      <c r="E40" s="52"/>
      <c r="F40" s="170"/>
    </row>
    <row r="41" spans="1:6" s="53" customFormat="1" hidden="1" outlineLevel="3" x14ac:dyDescent="0.35">
      <c r="A41" s="55"/>
      <c r="B41" s="60"/>
      <c r="C41" s="52"/>
      <c r="D41" s="52"/>
      <c r="E41" s="52"/>
      <c r="F41" s="170"/>
    </row>
    <row r="42" spans="1:6" s="53" customFormat="1" hidden="1" outlineLevel="3" x14ac:dyDescent="0.35">
      <c r="A42" s="55"/>
      <c r="B42" s="60"/>
      <c r="C42" s="52"/>
      <c r="D42" s="52"/>
      <c r="E42" s="52"/>
      <c r="F42" s="170"/>
    </row>
    <row r="43" spans="1:6" s="53" customFormat="1" hidden="1" outlineLevel="3" x14ac:dyDescent="0.35">
      <c r="A43" s="55"/>
      <c r="B43" s="60"/>
      <c r="C43" s="52"/>
      <c r="D43" s="52"/>
      <c r="E43" s="52"/>
      <c r="F43" s="170"/>
    </row>
    <row r="44" spans="1:6" s="53" customFormat="1" hidden="1" outlineLevel="3" x14ac:dyDescent="0.35">
      <c r="A44" s="55"/>
      <c r="B44" s="60"/>
      <c r="C44" s="52"/>
      <c r="D44" s="52"/>
      <c r="E44" s="52"/>
      <c r="F44" s="170"/>
    </row>
    <row r="45" spans="1:6" s="53" customFormat="1" hidden="1" outlineLevel="3" x14ac:dyDescent="0.35">
      <c r="A45" s="55"/>
      <c r="B45" s="60"/>
      <c r="C45" s="52"/>
      <c r="D45" s="52"/>
      <c r="E45" s="52"/>
      <c r="F45" s="170"/>
    </row>
    <row r="46" spans="1:6" s="53" customFormat="1" hidden="1" outlineLevel="2" collapsed="1" x14ac:dyDescent="0.35">
      <c r="A46" s="55"/>
      <c r="B46" s="60"/>
      <c r="C46" s="52"/>
      <c r="D46" s="52"/>
      <c r="E46" s="52"/>
      <c r="F46" s="170"/>
    </row>
    <row r="47" spans="1:6" s="53" customFormat="1" hidden="1" outlineLevel="3" x14ac:dyDescent="0.35">
      <c r="A47" s="55"/>
      <c r="B47" s="60"/>
      <c r="C47" s="52"/>
      <c r="D47" s="52"/>
      <c r="E47" s="52"/>
      <c r="F47" s="170"/>
    </row>
    <row r="48" spans="1:6" s="53" customFormat="1" hidden="1" outlineLevel="3" x14ac:dyDescent="0.35">
      <c r="A48" s="55"/>
      <c r="B48" s="60"/>
      <c r="C48" s="52"/>
      <c r="D48" s="52"/>
      <c r="E48" s="52"/>
      <c r="F48" s="170"/>
    </row>
    <row r="49" spans="1:6" s="53" customFormat="1" hidden="1" outlineLevel="3" x14ac:dyDescent="0.35">
      <c r="A49" s="55"/>
      <c r="B49" s="60"/>
      <c r="C49" s="52"/>
      <c r="D49" s="52"/>
      <c r="E49" s="52"/>
      <c r="F49" s="170"/>
    </row>
    <row r="50" spans="1:6" s="53" customFormat="1" hidden="1" outlineLevel="3" x14ac:dyDescent="0.35">
      <c r="A50" s="55"/>
      <c r="B50" s="60"/>
      <c r="C50" s="52"/>
      <c r="D50" s="52"/>
      <c r="E50" s="52"/>
      <c r="F50" s="170"/>
    </row>
    <row r="51" spans="1:6" s="53" customFormat="1" hidden="1" outlineLevel="3" x14ac:dyDescent="0.35">
      <c r="A51" s="55"/>
      <c r="B51" s="60"/>
      <c r="C51" s="52"/>
      <c r="D51" s="52"/>
      <c r="E51" s="52"/>
      <c r="F51" s="170"/>
    </row>
    <row r="52" spans="1:6" s="53" customFormat="1" hidden="1" outlineLevel="3" x14ac:dyDescent="0.35">
      <c r="A52" s="55"/>
      <c r="B52" s="60"/>
      <c r="C52" s="52"/>
      <c r="D52" s="52"/>
      <c r="E52" s="52"/>
      <c r="F52" s="170"/>
    </row>
    <row r="53" spans="1:6" s="53" customFormat="1" hidden="1" outlineLevel="3" x14ac:dyDescent="0.35">
      <c r="A53" s="55"/>
      <c r="B53" s="60"/>
      <c r="C53" s="52"/>
      <c r="D53" s="52"/>
      <c r="E53" s="52"/>
      <c r="F53" s="170"/>
    </row>
    <row r="54" spans="1:6" s="53" customFormat="1" hidden="1" outlineLevel="3" x14ac:dyDescent="0.35">
      <c r="A54" s="55"/>
      <c r="B54" s="60"/>
      <c r="C54" s="52"/>
      <c r="D54" s="52"/>
      <c r="E54" s="52"/>
      <c r="F54" s="170"/>
    </row>
    <row r="55" spans="1:6" s="53" customFormat="1" hidden="1" outlineLevel="3" x14ac:dyDescent="0.35">
      <c r="A55" s="55"/>
      <c r="B55" s="60"/>
      <c r="C55" s="52"/>
      <c r="D55" s="52"/>
      <c r="E55" s="52"/>
      <c r="F55" s="170"/>
    </row>
    <row r="56" spans="1:6" s="53" customFormat="1" hidden="1" outlineLevel="3" x14ac:dyDescent="0.35">
      <c r="A56" s="55"/>
      <c r="B56" s="60"/>
      <c r="C56" s="52"/>
      <c r="D56" s="52"/>
      <c r="E56" s="52"/>
      <c r="F56" s="170"/>
    </row>
    <row r="57" spans="1:6" s="53" customFormat="1" hidden="1" outlineLevel="3" x14ac:dyDescent="0.35">
      <c r="A57" s="55"/>
      <c r="B57" s="60"/>
      <c r="C57" s="52"/>
      <c r="D57" s="52"/>
      <c r="E57" s="52"/>
      <c r="F57" s="170"/>
    </row>
    <row r="58" spans="1:6" s="53" customFormat="1" hidden="1" outlineLevel="3" x14ac:dyDescent="0.35">
      <c r="A58" s="55"/>
      <c r="B58" s="60"/>
      <c r="C58" s="52"/>
      <c r="D58" s="52"/>
      <c r="E58" s="52"/>
      <c r="F58" s="170"/>
    </row>
    <row r="59" spans="1:6" s="53" customFormat="1" hidden="1" outlineLevel="3" x14ac:dyDescent="0.35">
      <c r="A59" s="55"/>
      <c r="B59" s="60"/>
      <c r="C59" s="52"/>
      <c r="D59" s="52"/>
      <c r="E59" s="52"/>
      <c r="F59" s="170"/>
    </row>
    <row r="60" spans="1:6" s="53" customFormat="1" hidden="1" outlineLevel="3" x14ac:dyDescent="0.35">
      <c r="A60" s="55"/>
      <c r="B60" s="60"/>
      <c r="C60" s="52"/>
      <c r="D60" s="52"/>
      <c r="E60" s="52"/>
      <c r="F60" s="170"/>
    </row>
    <row r="61" spans="1:6" s="53" customFormat="1" hidden="1" outlineLevel="3" x14ac:dyDescent="0.35">
      <c r="A61" s="55"/>
      <c r="B61" s="60"/>
      <c r="C61" s="52"/>
      <c r="D61" s="52"/>
      <c r="E61" s="52"/>
      <c r="F61" s="170"/>
    </row>
    <row r="62" spans="1:6" s="53" customFormat="1" hidden="1" outlineLevel="3" x14ac:dyDescent="0.35">
      <c r="A62" s="55"/>
      <c r="B62" s="60"/>
      <c r="C62" s="52"/>
      <c r="D62" s="52"/>
      <c r="E62" s="52"/>
      <c r="F62" s="170"/>
    </row>
    <row r="63" spans="1:6" s="53" customFormat="1" hidden="1" outlineLevel="3" x14ac:dyDescent="0.35">
      <c r="A63" s="55"/>
      <c r="B63" s="60"/>
      <c r="C63" s="52"/>
      <c r="D63" s="52"/>
      <c r="E63" s="52"/>
      <c r="F63" s="170"/>
    </row>
    <row r="64" spans="1:6" s="53" customFormat="1" hidden="1" outlineLevel="3" x14ac:dyDescent="0.35">
      <c r="A64" s="55"/>
      <c r="B64" s="60"/>
      <c r="C64" s="52"/>
      <c r="D64" s="52"/>
      <c r="E64" s="52"/>
      <c r="F64" s="170"/>
    </row>
    <row r="65" spans="1:6" s="53" customFormat="1" hidden="1" outlineLevel="3" x14ac:dyDescent="0.35">
      <c r="A65" s="55"/>
      <c r="B65" s="60"/>
      <c r="C65" s="52"/>
      <c r="D65" s="52"/>
      <c r="E65" s="52"/>
      <c r="F65" s="170"/>
    </row>
    <row r="66" spans="1:6" s="53" customFormat="1" hidden="1" outlineLevel="3" x14ac:dyDescent="0.35">
      <c r="A66" s="55"/>
      <c r="B66" s="60"/>
      <c r="C66" s="52"/>
      <c r="D66" s="52"/>
      <c r="E66" s="52"/>
      <c r="F66" s="170"/>
    </row>
    <row r="67" spans="1:6" s="53" customFormat="1" hidden="1" outlineLevel="3" x14ac:dyDescent="0.35">
      <c r="A67" s="55"/>
      <c r="B67" s="60"/>
      <c r="C67" s="52"/>
      <c r="D67" s="52"/>
      <c r="E67" s="52"/>
      <c r="F67" s="170"/>
    </row>
    <row r="68" spans="1:6" s="53" customFormat="1" hidden="1" outlineLevel="3" x14ac:dyDescent="0.35">
      <c r="A68" s="55"/>
      <c r="B68" s="60"/>
      <c r="C68" s="52"/>
      <c r="D68" s="52"/>
      <c r="E68" s="52"/>
      <c r="F68" s="170"/>
    </row>
    <row r="69" spans="1:6" s="53" customFormat="1" hidden="1" outlineLevel="3" x14ac:dyDescent="0.35">
      <c r="A69" s="55"/>
      <c r="B69" s="60"/>
      <c r="C69" s="52"/>
      <c r="D69" s="52"/>
      <c r="E69" s="52"/>
      <c r="F69" s="170"/>
    </row>
    <row r="70" spans="1:6" s="53" customFormat="1" hidden="1" outlineLevel="3" x14ac:dyDescent="0.35">
      <c r="A70" s="55"/>
      <c r="B70" s="60"/>
      <c r="C70" s="52"/>
      <c r="D70" s="52"/>
      <c r="E70" s="52"/>
      <c r="F70" s="170"/>
    </row>
    <row r="71" spans="1:6" s="53" customFormat="1" hidden="1" outlineLevel="3" x14ac:dyDescent="0.35">
      <c r="A71" s="55"/>
      <c r="B71" s="60"/>
      <c r="C71" s="52"/>
      <c r="D71" s="52"/>
      <c r="E71" s="52"/>
      <c r="F71" s="170"/>
    </row>
    <row r="72" spans="1:6" s="53" customFormat="1" hidden="1" outlineLevel="3" x14ac:dyDescent="0.35">
      <c r="A72" s="55"/>
      <c r="B72" s="60"/>
      <c r="C72" s="52"/>
      <c r="D72" s="52"/>
      <c r="E72" s="52"/>
      <c r="F72" s="170"/>
    </row>
    <row r="73" spans="1:6" s="53" customFormat="1" hidden="1" outlineLevel="3" x14ac:dyDescent="0.35">
      <c r="A73" s="55"/>
      <c r="B73" s="60"/>
      <c r="C73" s="52"/>
      <c r="D73" s="52"/>
      <c r="E73" s="52"/>
      <c r="F73" s="170"/>
    </row>
    <row r="74" spans="1:6" s="53" customFormat="1" hidden="1" outlineLevel="3" x14ac:dyDescent="0.35">
      <c r="A74" s="55"/>
      <c r="B74" s="60"/>
      <c r="C74" s="52"/>
      <c r="D74" s="52"/>
      <c r="E74" s="52"/>
      <c r="F74" s="170"/>
    </row>
    <row r="75" spans="1:6" s="53" customFormat="1" hidden="1" outlineLevel="3" x14ac:dyDescent="0.35">
      <c r="A75" s="55"/>
      <c r="B75" s="60"/>
      <c r="C75" s="52"/>
      <c r="D75" s="52"/>
      <c r="E75" s="52"/>
      <c r="F75" s="170"/>
    </row>
    <row r="76" spans="1:6" s="53" customFormat="1" hidden="1" outlineLevel="3" x14ac:dyDescent="0.35">
      <c r="A76" s="55"/>
      <c r="B76" s="60"/>
      <c r="C76" s="52"/>
      <c r="D76" s="52"/>
      <c r="E76" s="52"/>
      <c r="F76" s="170"/>
    </row>
    <row r="77" spans="1:6" s="53" customFormat="1" hidden="1" outlineLevel="2" collapsed="1" x14ac:dyDescent="0.35">
      <c r="A77" s="55"/>
      <c r="B77" s="60"/>
      <c r="C77" s="52"/>
      <c r="D77" s="52"/>
      <c r="E77" s="52"/>
      <c r="F77" s="170"/>
    </row>
    <row r="78" spans="1:6" s="53" customFormat="1" hidden="1" outlineLevel="3" x14ac:dyDescent="0.35">
      <c r="A78" s="55"/>
      <c r="B78" s="60"/>
      <c r="C78" s="52"/>
      <c r="D78" s="52"/>
      <c r="E78" s="52"/>
      <c r="F78" s="170"/>
    </row>
    <row r="79" spans="1:6" s="53" customFormat="1" hidden="1" outlineLevel="3" x14ac:dyDescent="0.35">
      <c r="A79" s="55"/>
      <c r="B79" s="60"/>
      <c r="C79" s="52"/>
      <c r="D79" s="52"/>
      <c r="E79" s="52"/>
      <c r="F79" s="170"/>
    </row>
    <row r="80" spans="1:6" s="53" customFormat="1" hidden="1" outlineLevel="3" x14ac:dyDescent="0.35">
      <c r="A80" s="55"/>
      <c r="B80" s="60"/>
      <c r="C80" s="52"/>
      <c r="D80" s="52"/>
      <c r="E80" s="52"/>
      <c r="F80" s="170"/>
    </row>
    <row r="81" spans="1:6" s="53" customFormat="1" hidden="1" outlineLevel="3" x14ac:dyDescent="0.35">
      <c r="A81" s="55"/>
      <c r="B81" s="60"/>
      <c r="C81" s="52"/>
      <c r="D81" s="52"/>
      <c r="E81" s="52"/>
      <c r="F81" s="170"/>
    </row>
    <row r="82" spans="1:6" s="53" customFormat="1" hidden="1" outlineLevel="3" x14ac:dyDescent="0.35">
      <c r="A82" s="55"/>
      <c r="B82" s="60"/>
      <c r="C82" s="52"/>
      <c r="D82" s="52"/>
      <c r="E82" s="52"/>
      <c r="F82" s="170"/>
    </row>
    <row r="83" spans="1:6" s="53" customFormat="1" hidden="1" outlineLevel="3" x14ac:dyDescent="0.35">
      <c r="A83" s="55"/>
      <c r="B83" s="60"/>
      <c r="C83" s="52"/>
      <c r="D83" s="52"/>
      <c r="E83" s="52"/>
      <c r="F83" s="170"/>
    </row>
    <row r="84" spans="1:6" s="53" customFormat="1" hidden="1" outlineLevel="2" collapsed="1" x14ac:dyDescent="0.35">
      <c r="A84" s="55"/>
      <c r="B84" s="60"/>
      <c r="C84" s="52"/>
      <c r="D84" s="52"/>
      <c r="E84" s="52"/>
      <c r="F84" s="170"/>
    </row>
    <row r="85" spans="1:6" s="53" customFormat="1" hidden="1" outlineLevel="3" x14ac:dyDescent="0.35">
      <c r="A85" s="55"/>
      <c r="B85" s="60"/>
      <c r="C85" s="52"/>
      <c r="D85" s="52"/>
      <c r="E85" s="52"/>
      <c r="F85" s="170"/>
    </row>
    <row r="86" spans="1:6" s="53" customFormat="1" hidden="1" outlineLevel="3" x14ac:dyDescent="0.35">
      <c r="A86" s="55"/>
      <c r="B86" s="60"/>
      <c r="C86" s="52"/>
      <c r="D86" s="52"/>
      <c r="E86" s="52"/>
      <c r="F86" s="170"/>
    </row>
    <row r="87" spans="1:6" s="53" customFormat="1" hidden="1" outlineLevel="3" x14ac:dyDescent="0.35">
      <c r="A87" s="55"/>
      <c r="B87" s="60"/>
      <c r="C87" s="52"/>
      <c r="D87" s="52"/>
      <c r="E87" s="52"/>
      <c r="F87" s="170"/>
    </row>
    <row r="88" spans="1:6" s="53" customFormat="1" hidden="1" outlineLevel="3" x14ac:dyDescent="0.35">
      <c r="A88" s="55"/>
      <c r="B88" s="60"/>
      <c r="C88" s="52"/>
      <c r="D88" s="52"/>
      <c r="E88" s="52"/>
      <c r="F88" s="170"/>
    </row>
    <row r="89" spans="1:6" s="53" customFormat="1" hidden="1" outlineLevel="2" collapsed="1" x14ac:dyDescent="0.35">
      <c r="A89" s="48" t="str">
        <f>Базовый!A81</f>
        <v>Подписка</v>
      </c>
      <c r="B89" s="19" t="str">
        <f>Базовый!C81</f>
        <v>х</v>
      </c>
      <c r="C89" s="22" t="str">
        <f>Базовый!T81</f>
        <v>х</v>
      </c>
      <c r="D89" s="22" t="str">
        <f>Базовый!U81</f>
        <v>х</v>
      </c>
      <c r="E89" s="22">
        <f>SUM(E90:E103)</f>
        <v>66.270427672955975</v>
      </c>
      <c r="F89" s="170"/>
    </row>
    <row r="90" spans="1:6" s="53" customFormat="1" ht="26" hidden="1" outlineLevel="3" x14ac:dyDescent="0.35">
      <c r="A90" s="48" t="str">
        <f>Базовый!A82</f>
        <v>Журнал: Дошкольная педагогика</v>
      </c>
      <c r="B90" s="19">
        <f>Базовый!C82</f>
        <v>4.7169811320754715E-3</v>
      </c>
      <c r="C90" s="22">
        <f>Базовый!T82</f>
        <v>1</v>
      </c>
      <c r="D90" s="22">
        <f>Базовый!U82</f>
        <v>794.79</v>
      </c>
      <c r="E90" s="22">
        <f t="shared" ref="E90:E103" si="0">B90/C90*D90</f>
        <v>3.7490094339622639</v>
      </c>
      <c r="F90" s="170"/>
    </row>
    <row r="91" spans="1:6" s="53" customFormat="1" ht="26" hidden="1" outlineLevel="3" x14ac:dyDescent="0.35">
      <c r="A91" s="48" t="str">
        <f>Базовый!A83</f>
        <v>Журнал: Дошкольное воспитание</v>
      </c>
      <c r="B91" s="19">
        <f>Базовый!C83</f>
        <v>4.7169811320754715E-3</v>
      </c>
      <c r="C91" s="22">
        <f>Базовый!T83</f>
        <v>1</v>
      </c>
      <c r="D91" s="22">
        <f>Базовый!U83</f>
        <v>1348.5666666666666</v>
      </c>
      <c r="E91" s="22">
        <f t="shared" si="0"/>
        <v>6.3611635220125784</v>
      </c>
      <c r="F91" s="170"/>
    </row>
    <row r="92" spans="1:6" s="53" customFormat="1" ht="26" hidden="1" outlineLevel="3" x14ac:dyDescent="0.35">
      <c r="A92" s="48" t="str">
        <f>Базовый!A84</f>
        <v>Журнал: Инструктор по физкультуре</v>
      </c>
      <c r="B92" s="19">
        <f>Базовый!C84</f>
        <v>4.7169811320754715E-3</v>
      </c>
      <c r="C92" s="22">
        <f>Базовый!T84</f>
        <v>1</v>
      </c>
      <c r="D92" s="22">
        <f>Базовый!U84</f>
        <v>666.94999999999993</v>
      </c>
      <c r="E92" s="22">
        <f t="shared" si="0"/>
        <v>3.1459905660377352</v>
      </c>
      <c r="F92" s="170"/>
    </row>
    <row r="93" spans="1:6" s="53" customFormat="1" hidden="1" outlineLevel="3" x14ac:dyDescent="0.35">
      <c r="A93" s="48" t="str">
        <f>Базовый!A85</f>
        <v>Журнал: Логопед</v>
      </c>
      <c r="B93" s="19">
        <f>Базовый!C85</f>
        <v>4.7169811320754715E-3</v>
      </c>
      <c r="C93" s="22">
        <f>Базовый!T85</f>
        <v>1</v>
      </c>
      <c r="D93" s="22">
        <f>Базовый!U85</f>
        <v>833.69</v>
      </c>
      <c r="E93" s="22">
        <f t="shared" si="0"/>
        <v>3.9325000000000001</v>
      </c>
      <c r="F93" s="170"/>
    </row>
    <row r="94" spans="1:6" s="53" customFormat="1" hidden="1" outlineLevel="3" x14ac:dyDescent="0.35">
      <c r="A94" s="48" t="str">
        <f>Базовый!A86</f>
        <v>Журнал: Медработник ДОУ</v>
      </c>
      <c r="B94" s="19">
        <f>Базовый!C86</f>
        <v>4.7169811320754715E-3</v>
      </c>
      <c r="C94" s="22">
        <f>Базовый!T86</f>
        <v>1</v>
      </c>
      <c r="D94" s="22">
        <f>Базовый!U86</f>
        <v>666.94999999999993</v>
      </c>
      <c r="E94" s="22">
        <f t="shared" si="0"/>
        <v>3.1459905660377352</v>
      </c>
      <c r="F94" s="170"/>
    </row>
    <row r="95" spans="1:6" s="53" customFormat="1" hidden="1" outlineLevel="3" x14ac:dyDescent="0.35">
      <c r="A95" s="48" t="str">
        <f>Базовый!A87</f>
        <v>Журнал: Детский сад. Теория</v>
      </c>
      <c r="B95" s="19">
        <f>Базовый!C87</f>
        <v>4.7169811320754715E-3</v>
      </c>
      <c r="C95" s="22">
        <f>Базовый!T87</f>
        <v>1</v>
      </c>
      <c r="D95" s="22">
        <f>Базовый!U87</f>
        <v>666.94400000000007</v>
      </c>
      <c r="E95" s="22">
        <f t="shared" si="0"/>
        <v>3.1459622641509437</v>
      </c>
      <c r="F95" s="170"/>
    </row>
    <row r="96" spans="1:6" s="53" customFormat="1" ht="26" hidden="1" outlineLevel="3" x14ac:dyDescent="0.35">
      <c r="A96" s="48" t="str">
        <f>Базовый!A88</f>
        <v>Журнал: Детский сад будущего-галерея творческих проекто</v>
      </c>
      <c r="B96" s="19">
        <f>Базовый!C88</f>
        <v>4.7169811320754715E-3</v>
      </c>
      <c r="C96" s="22">
        <f>Базовый!T88</f>
        <v>1</v>
      </c>
      <c r="D96" s="22">
        <f>Базовый!U88</f>
        <v>666.9466666666666</v>
      </c>
      <c r="E96" s="22">
        <f t="shared" si="0"/>
        <v>3.1459748427672953</v>
      </c>
      <c r="F96" s="170"/>
    </row>
    <row r="97" spans="1:6" s="53" customFormat="1" ht="26" hidden="1" outlineLevel="3" x14ac:dyDescent="0.35">
      <c r="A97" s="48" t="str">
        <f>Базовый!A89</f>
        <v>Приложение к журналу: Дошкольная педагогика</v>
      </c>
      <c r="B97" s="19">
        <f>Базовый!C89</f>
        <v>4.7169811320754715E-3</v>
      </c>
      <c r="C97" s="22">
        <f>Базовый!T89</f>
        <v>1</v>
      </c>
      <c r="D97" s="22">
        <f>Базовый!U89</f>
        <v>871.56666666666661</v>
      </c>
      <c r="E97" s="22">
        <f t="shared" si="0"/>
        <v>4.1111635220125784</v>
      </c>
      <c r="F97" s="170"/>
    </row>
    <row r="98" spans="1:6" s="53" customFormat="1" ht="39" hidden="1" outlineLevel="3" x14ac:dyDescent="0.35">
      <c r="A98" s="48" t="str">
        <f>Базовый!A90</f>
        <v>Управление дошкольным образовательным учреждением с приложением</v>
      </c>
      <c r="B98" s="19">
        <f>Базовый!C90</f>
        <v>4.7169811320754715E-3</v>
      </c>
      <c r="C98" s="22">
        <f>Базовый!T90</f>
        <v>1</v>
      </c>
      <c r="D98" s="22">
        <f>Базовый!U90</f>
        <v>645.34</v>
      </c>
      <c r="E98" s="22">
        <f t="shared" si="0"/>
        <v>3.0440566037735848</v>
      </c>
      <c r="F98" s="170"/>
    </row>
    <row r="99" spans="1:6" s="53" customFormat="1" ht="26" hidden="1" outlineLevel="3" x14ac:dyDescent="0.35">
      <c r="A99" s="48" t="str">
        <f>Базовый!A91</f>
        <v>Справочник музыкального работника</v>
      </c>
      <c r="B99" s="19">
        <f>Базовый!C91</f>
        <v>4.7169811320754715E-3</v>
      </c>
      <c r="C99" s="22">
        <f>Базовый!T91</f>
        <v>1</v>
      </c>
      <c r="D99" s="22">
        <f>Базовый!U91</f>
        <v>781.34</v>
      </c>
      <c r="E99" s="22">
        <f t="shared" si="0"/>
        <v>3.6855660377358492</v>
      </c>
      <c r="F99" s="170"/>
    </row>
    <row r="100" spans="1:6" s="53" customFormat="1" ht="26" hidden="1" outlineLevel="3" x14ac:dyDescent="0.35">
      <c r="A100" s="48" t="str">
        <f>Базовый!A92</f>
        <v>Справочник: Педагога-психолога</v>
      </c>
      <c r="B100" s="19">
        <f>Базовый!C92</f>
        <v>4.7169811320754715E-3</v>
      </c>
      <c r="C100" s="22">
        <f>Базовый!T92</f>
        <v>1</v>
      </c>
      <c r="D100" s="22">
        <f>Базовый!U92</f>
        <v>2710.5499999999997</v>
      </c>
      <c r="E100" s="22">
        <f t="shared" si="0"/>
        <v>12.785613207547168</v>
      </c>
      <c r="F100" s="170"/>
    </row>
    <row r="101" spans="1:6" s="53" customFormat="1" ht="26" hidden="1" outlineLevel="3" x14ac:dyDescent="0.35">
      <c r="A101" s="48" t="str">
        <f>Базовый!A93</f>
        <v>Справочник руководителя дошкольного учреждения</v>
      </c>
      <c r="B101" s="19">
        <f>Базовый!C93</f>
        <v>4.7169811320754715E-3</v>
      </c>
      <c r="C101" s="22">
        <f>Базовый!T93</f>
        <v>1</v>
      </c>
      <c r="D101" s="22">
        <f>Базовый!U93</f>
        <v>645.34</v>
      </c>
      <c r="E101" s="22">
        <f t="shared" si="0"/>
        <v>3.0440566037735848</v>
      </c>
      <c r="F101" s="170"/>
    </row>
    <row r="102" spans="1:6" s="53" customFormat="1" ht="39" hidden="1" outlineLevel="3" x14ac:dyDescent="0.35">
      <c r="A102" s="48" t="str">
        <f>Базовый!A94</f>
        <v>Справочник старшего воспитателя дошкольного учреждения</v>
      </c>
      <c r="B102" s="19">
        <f>Базовый!C94</f>
        <v>4.7169811320754715E-3</v>
      </c>
      <c r="C102" s="22">
        <f>Базовый!T94</f>
        <v>1</v>
      </c>
      <c r="D102" s="22">
        <f>Базовый!U94</f>
        <v>1974.28</v>
      </c>
      <c r="E102" s="22">
        <f t="shared" si="0"/>
        <v>9.312641509433961</v>
      </c>
      <c r="F102" s="170"/>
    </row>
    <row r="103" spans="1:6" s="53" customFormat="1" ht="39" hidden="1" outlineLevel="3" x14ac:dyDescent="0.35">
      <c r="A103" s="48" t="str">
        <f>Базовый!A95</f>
        <v>Журнал: Воспитатель дошкольного образовательного учреждения</v>
      </c>
      <c r="B103" s="19">
        <f>Базовый!C95</f>
        <v>4.7169811320754715E-3</v>
      </c>
      <c r="C103" s="22">
        <f>Базовый!T95</f>
        <v>1</v>
      </c>
      <c r="D103" s="22">
        <f>Базовый!U95</f>
        <v>776.07666666666671</v>
      </c>
      <c r="E103" s="22">
        <f t="shared" si="0"/>
        <v>3.6607389937106918</v>
      </c>
      <c r="F103" s="170"/>
    </row>
    <row r="104" spans="1:6" s="53" customFormat="1" hidden="1" outlineLevel="2" collapsed="1" x14ac:dyDescent="0.35">
      <c r="A104" s="55"/>
      <c r="B104" s="60"/>
      <c r="C104" s="52"/>
      <c r="D104" s="52"/>
      <c r="E104" s="52"/>
      <c r="F104" s="170"/>
    </row>
    <row r="105" spans="1:6" s="53" customFormat="1" hidden="1" outlineLevel="3" x14ac:dyDescent="0.35">
      <c r="A105" s="55"/>
      <c r="B105" s="60"/>
      <c r="C105" s="52"/>
      <c r="D105" s="52"/>
      <c r="E105" s="52"/>
      <c r="F105" s="170"/>
    </row>
    <row r="106" spans="1:6" s="53" customFormat="1" hidden="1" outlineLevel="3" x14ac:dyDescent="0.35">
      <c r="A106" s="55"/>
      <c r="B106" s="60"/>
      <c r="C106" s="52"/>
      <c r="D106" s="52"/>
      <c r="E106" s="52"/>
      <c r="F106" s="170"/>
    </row>
    <row r="107" spans="1:6" ht="30" customHeight="1" outlineLevel="1" collapsed="1" x14ac:dyDescent="0.35">
      <c r="A107" s="164" t="s">
        <v>7</v>
      </c>
      <c r="B107" s="164"/>
      <c r="C107" s="164"/>
      <c r="D107" s="164"/>
      <c r="E107" s="22">
        <f>E108+E119+E141+E181+E197+E201</f>
        <v>1939.7537528012265</v>
      </c>
      <c r="F107" s="170"/>
    </row>
    <row r="108" spans="1:6" hidden="1" outlineLevel="2" collapsed="1" x14ac:dyDescent="0.35">
      <c r="A108" s="48" t="str">
        <f>Базовый!A100</f>
        <v>Услуги сторонних организаций</v>
      </c>
      <c r="B108" s="19" t="str">
        <f>Базовый!C100</f>
        <v>х</v>
      </c>
      <c r="C108" s="22" t="str">
        <f>Базовый!T100</f>
        <v>х</v>
      </c>
      <c r="D108" s="22" t="str">
        <f>Базовый!U100</f>
        <v>х</v>
      </c>
      <c r="E108" s="22">
        <f>SUM(E109:E118)</f>
        <v>1660.394727175438</v>
      </c>
      <c r="F108" s="170"/>
    </row>
    <row r="109" spans="1:6" hidden="1" outlineLevel="3" x14ac:dyDescent="0.35">
      <c r="A109" s="48" t="str">
        <f>Базовый!A101</f>
        <v>Мед.осмотр</v>
      </c>
      <c r="B109" s="19">
        <f>Базовый!C101</f>
        <v>0.29059829059829062</v>
      </c>
      <c r="C109" s="22">
        <f>Базовый!T101</f>
        <v>1</v>
      </c>
      <c r="D109" s="22">
        <f>Базовый!U101</f>
        <v>3557.5</v>
      </c>
      <c r="E109" s="22">
        <f t="shared" ref="E109:E140" si="1">B109/C109*D109</f>
        <v>1033.8034188034189</v>
      </c>
      <c r="F109" s="170"/>
    </row>
    <row r="110" spans="1:6" ht="26" hidden="1" outlineLevel="3" x14ac:dyDescent="0.35">
      <c r="A110" s="48" t="str">
        <f>Базовый!A102</f>
        <v>Медицинский осмотр при трудоутройстве</v>
      </c>
      <c r="B110" s="19">
        <f>Базовый!C102</f>
        <v>3.4188034188034191E-2</v>
      </c>
      <c r="C110" s="22">
        <f>Базовый!T102</f>
        <v>1</v>
      </c>
      <c r="D110" s="22">
        <f>Базовый!U102</f>
        <v>3557.5</v>
      </c>
      <c r="E110" s="22">
        <f t="shared" si="1"/>
        <v>121.62393162393164</v>
      </c>
      <c r="F110" s="170"/>
    </row>
    <row r="111" spans="1:6" ht="26" hidden="1" outlineLevel="3" x14ac:dyDescent="0.35">
      <c r="A111" s="48" t="str">
        <f>Базовый!A103</f>
        <v>Гигиеническая аттестация сотрудников</v>
      </c>
      <c r="B111" s="19">
        <f>Базовый!C103</f>
        <v>0.10256410256410256</v>
      </c>
      <c r="C111" s="22">
        <f>Базовый!T103</f>
        <v>1</v>
      </c>
      <c r="D111" s="22">
        <f>Базовый!U103</f>
        <v>494</v>
      </c>
      <c r="E111" s="22">
        <f t="shared" si="1"/>
        <v>50.666666666666664</v>
      </c>
      <c r="F111" s="170"/>
    </row>
    <row r="112" spans="1:6" hidden="1" outlineLevel="3" x14ac:dyDescent="0.35">
      <c r="A112" s="48" t="str">
        <f>Базовый!A104</f>
        <v>Камерная обработка</v>
      </c>
      <c r="B112" s="19">
        <f>Базовый!C104</f>
        <v>3.3502538071065993</v>
      </c>
      <c r="C112" s="22">
        <f>Базовый!T104</f>
        <v>1</v>
      </c>
      <c r="D112" s="22">
        <f>Базовый!U104</f>
        <v>48.77</v>
      </c>
      <c r="E112" s="22">
        <f t="shared" si="1"/>
        <v>163.39187817258886</v>
      </c>
      <c r="F112" s="170"/>
    </row>
    <row r="113" spans="1:6" hidden="1" outlineLevel="3" x14ac:dyDescent="0.35">
      <c r="A113" s="48" t="str">
        <f>Базовый!A105</f>
        <v>Курсы по ПБ</v>
      </c>
      <c r="B113" s="19">
        <f>Базовый!C105</f>
        <v>1.7094017094017096E-2</v>
      </c>
      <c r="C113" s="22">
        <f>Базовый!T105</f>
        <v>1</v>
      </c>
      <c r="D113" s="22">
        <f>Базовый!U105</f>
        <v>3333.3333333333335</v>
      </c>
      <c r="E113" s="22">
        <f t="shared" si="1"/>
        <v>56.980056980056986</v>
      </c>
      <c r="F113" s="170"/>
    </row>
    <row r="114" spans="1:6" hidden="1" outlineLevel="3" x14ac:dyDescent="0.35">
      <c r="A114" s="48" t="str">
        <f>Базовый!A106</f>
        <v>Обучение 44-ФЗ</v>
      </c>
      <c r="B114" s="19">
        <f>Базовый!C106</f>
        <v>1.1111111111111112E-2</v>
      </c>
      <c r="C114" s="22">
        <f>Базовый!T106</f>
        <v>1</v>
      </c>
      <c r="D114" s="22">
        <f>Базовый!U106</f>
        <v>7433.333333333333</v>
      </c>
      <c r="E114" s="22">
        <f t="shared" si="1"/>
        <v>82.592592592592595</v>
      </c>
      <c r="F114" s="170"/>
    </row>
    <row r="115" spans="1:6" ht="26" hidden="1" outlineLevel="3" x14ac:dyDescent="0.35">
      <c r="A115" s="48" t="str">
        <f>Базовый!A107</f>
        <v>Обучение на курсах по охране труда</v>
      </c>
      <c r="B115" s="19">
        <f>Базовый!C107</f>
        <v>2.2222222222222223E-2</v>
      </c>
      <c r="C115" s="22">
        <f>Базовый!T107</f>
        <v>1</v>
      </c>
      <c r="D115" s="22">
        <f>Базовый!U107</f>
        <v>2233.3333333333335</v>
      </c>
      <c r="E115" s="22">
        <f t="shared" si="1"/>
        <v>49.629629629629633</v>
      </c>
      <c r="F115" s="170"/>
    </row>
    <row r="116" spans="1:6" ht="26" hidden="1" outlineLevel="3" x14ac:dyDescent="0.35">
      <c r="A116" s="48" t="str">
        <f>Базовый!A108</f>
        <v>Курсы (пожарно-технический минимум)</v>
      </c>
      <c r="B116" s="19">
        <f>Базовый!C108</f>
        <v>1.1111111111111112E-2</v>
      </c>
      <c r="C116" s="22">
        <f>Базовый!T108</f>
        <v>1</v>
      </c>
      <c r="D116" s="22">
        <f>Базовый!U108</f>
        <v>2150</v>
      </c>
      <c r="E116" s="22">
        <f t="shared" si="1"/>
        <v>23.888888888888889</v>
      </c>
      <c r="F116" s="170"/>
    </row>
    <row r="117" spans="1:6" ht="26" hidden="1" outlineLevel="3" x14ac:dyDescent="0.35">
      <c r="A117" s="48" t="str">
        <f>Базовый!A109</f>
        <v>Курсы  (тепловые энергоустановки и тс)</v>
      </c>
      <c r="B117" s="19">
        <f>Базовый!C109</f>
        <v>1.7094017094017096E-2</v>
      </c>
      <c r="C117" s="22">
        <f>Базовый!T109</f>
        <v>1</v>
      </c>
      <c r="D117" s="22">
        <f>Базовый!U109</f>
        <v>3000</v>
      </c>
      <c r="E117" s="22">
        <f t="shared" si="1"/>
        <v>51.282051282051285</v>
      </c>
      <c r="F117" s="170"/>
    </row>
    <row r="118" spans="1:6" hidden="1" outlineLevel="3" x14ac:dyDescent="0.35">
      <c r="A118" s="48" t="str">
        <f>Базовый!A110</f>
        <v>Хостинг сайта</v>
      </c>
      <c r="B118" s="19">
        <f>Базовый!C110</f>
        <v>8.5470085470085479E-3</v>
      </c>
      <c r="C118" s="22">
        <f>Базовый!T110</f>
        <v>1</v>
      </c>
      <c r="D118" s="22">
        <f>Базовый!U110</f>
        <v>3104.6666666666665</v>
      </c>
      <c r="E118" s="22">
        <f t="shared" si="1"/>
        <v>26.535612535612536</v>
      </c>
      <c r="F118" s="170"/>
    </row>
    <row r="119" spans="1:6" hidden="1" outlineLevel="2" collapsed="1" x14ac:dyDescent="0.35">
      <c r="A119" s="48" t="str">
        <f>Базовый!A111</f>
        <v>Канцелярские товары</v>
      </c>
      <c r="B119" s="19" t="str">
        <f>Базовый!C111</f>
        <v>х</v>
      </c>
      <c r="C119" s="22" t="str">
        <f>Базовый!T111</f>
        <v>х</v>
      </c>
      <c r="D119" s="22" t="str">
        <f>Базовый!U111</f>
        <v>х</v>
      </c>
      <c r="E119" s="22">
        <f>SUM(E120:E140)</f>
        <v>204.09398947750364</v>
      </c>
      <c r="F119" s="170"/>
    </row>
    <row r="120" spans="1:6" hidden="1" outlineLevel="3" x14ac:dyDescent="0.35">
      <c r="A120" s="48" t="str">
        <f>Базовый!A112</f>
        <v>Папка-регистратор</v>
      </c>
      <c r="B120" s="19">
        <f>Базовый!C112</f>
        <v>0.18867924528301888</v>
      </c>
      <c r="C120" s="22">
        <f>Базовый!T112</f>
        <v>1</v>
      </c>
      <c r="D120" s="22">
        <f>Базовый!U112</f>
        <v>211.33333333333334</v>
      </c>
      <c r="E120" s="22">
        <f t="shared" si="1"/>
        <v>39.874213836477992</v>
      </c>
      <c r="F120" s="170"/>
    </row>
    <row r="121" spans="1:6" hidden="1" outlineLevel="3" x14ac:dyDescent="0.35">
      <c r="A121" s="48" t="str">
        <f>Базовый!A113</f>
        <v>Папка скоросшиватель Дело</v>
      </c>
      <c r="B121" s="19">
        <f>Базовый!C113</f>
        <v>0.42452830188679247</v>
      </c>
      <c r="C121" s="22">
        <f>Базовый!T113</f>
        <v>1</v>
      </c>
      <c r="D121" s="22">
        <f>Базовый!U113</f>
        <v>11.200000000000001</v>
      </c>
      <c r="E121" s="22">
        <f t="shared" si="1"/>
        <v>4.7547169811320762</v>
      </c>
      <c r="F121" s="170"/>
    </row>
    <row r="122" spans="1:6" hidden="1" outlineLevel="3" x14ac:dyDescent="0.35">
      <c r="A122" s="48" t="str">
        <f>Базовый!A114</f>
        <v>Накопитель архивный</v>
      </c>
      <c r="B122" s="19">
        <f>Базовый!C114</f>
        <v>0.18867924528301888</v>
      </c>
      <c r="C122" s="22">
        <f>Базовый!T114</f>
        <v>1</v>
      </c>
      <c r="D122" s="22">
        <f>Базовый!U114</f>
        <v>43.086666666666666</v>
      </c>
      <c r="E122" s="22">
        <f t="shared" si="1"/>
        <v>8.129559748427674</v>
      </c>
      <c r="F122" s="170"/>
    </row>
    <row r="123" spans="1:6" hidden="1" outlineLevel="3" x14ac:dyDescent="0.35">
      <c r="A123" s="48" t="str">
        <f>Базовый!A115</f>
        <v>Бумага А4</v>
      </c>
      <c r="B123" s="19">
        <f>Базовый!C115</f>
        <v>0.18867924528301888</v>
      </c>
      <c r="C123" s="22">
        <f>Базовый!T115</f>
        <v>1</v>
      </c>
      <c r="D123" s="22">
        <f>Базовый!U115</f>
        <v>204.16666666666666</v>
      </c>
      <c r="E123" s="22">
        <f t="shared" si="1"/>
        <v>38.522012578616355</v>
      </c>
      <c r="F123" s="170"/>
    </row>
    <row r="124" spans="1:6" hidden="1" outlineLevel="3" x14ac:dyDescent="0.35">
      <c r="A124" s="48" t="str">
        <f>Базовый!A116</f>
        <v>Файлы А4</v>
      </c>
      <c r="B124" s="19">
        <f>Базовый!C116</f>
        <v>4.716981132075472</v>
      </c>
      <c r="C124" s="22">
        <f>Базовый!T116</f>
        <v>1</v>
      </c>
      <c r="D124" s="22">
        <f>Базовый!U116</f>
        <v>1.73</v>
      </c>
      <c r="E124" s="22">
        <f t="shared" si="1"/>
        <v>8.1603773584905657</v>
      </c>
      <c r="F124" s="170"/>
    </row>
    <row r="125" spans="1:6" hidden="1" outlineLevel="3" x14ac:dyDescent="0.35">
      <c r="A125" s="48" t="str">
        <f>Базовый!A117</f>
        <v>Карандаши ч/гр.</v>
      </c>
      <c r="B125" s="19">
        <f>Базовый!C117</f>
        <v>9.6153846153846159E-2</v>
      </c>
      <c r="C125" s="22">
        <f>Базовый!T117</f>
        <v>1</v>
      </c>
      <c r="D125" s="22">
        <f>Базовый!U117</f>
        <v>11.296666666666667</v>
      </c>
      <c r="E125" s="22">
        <f t="shared" si="1"/>
        <v>1.0862179487179489</v>
      </c>
      <c r="F125" s="170"/>
    </row>
    <row r="126" spans="1:6" hidden="1" outlineLevel="3" x14ac:dyDescent="0.35">
      <c r="A126" s="48" t="str">
        <f>Базовый!A118</f>
        <v>Закладки самоклеящ.</v>
      </c>
      <c r="B126" s="19">
        <f>Базовый!C118</f>
        <v>9.6153846153846159E-2</v>
      </c>
      <c r="C126" s="22">
        <f>Базовый!T118</f>
        <v>1</v>
      </c>
      <c r="D126" s="22">
        <f>Базовый!U118</f>
        <v>100.60666666666667</v>
      </c>
      <c r="E126" s="22">
        <f t="shared" si="1"/>
        <v>9.6737179487179503</v>
      </c>
      <c r="F126" s="170"/>
    </row>
    <row r="127" spans="1:6" hidden="1" outlineLevel="3" x14ac:dyDescent="0.35">
      <c r="A127" s="48" t="str">
        <f>Базовый!A119</f>
        <v>Линейка</v>
      </c>
      <c r="B127" s="19">
        <f>Базовый!C119</f>
        <v>9.6153846153846159E-2</v>
      </c>
      <c r="C127" s="22">
        <f>Базовый!T119</f>
        <v>1</v>
      </c>
      <c r="D127" s="22">
        <f>Базовый!U119</f>
        <v>8.94</v>
      </c>
      <c r="E127" s="22">
        <f t="shared" si="1"/>
        <v>0.85961538461538467</v>
      </c>
      <c r="F127" s="170"/>
    </row>
    <row r="128" spans="1:6" hidden="1" outlineLevel="3" x14ac:dyDescent="0.35">
      <c r="A128" s="48" t="str">
        <f>Базовый!A120</f>
        <v xml:space="preserve">Ножницы </v>
      </c>
      <c r="B128" s="19">
        <f>Базовый!C120</f>
        <v>0.28846153846153844</v>
      </c>
      <c r="C128" s="22">
        <f>Базовый!T120</f>
        <v>1</v>
      </c>
      <c r="D128" s="22">
        <f>Базовый!U120</f>
        <v>82.300000000000011</v>
      </c>
      <c r="E128" s="22">
        <f t="shared" si="1"/>
        <v>23.740384615384617</v>
      </c>
      <c r="F128" s="170"/>
    </row>
    <row r="129" spans="1:6" hidden="1" outlineLevel="3" x14ac:dyDescent="0.35">
      <c r="A129" s="48" t="str">
        <f>Базовый!A121</f>
        <v>Ластик</v>
      </c>
      <c r="B129" s="19">
        <f>Базовый!C121</f>
        <v>0.28846153846153844</v>
      </c>
      <c r="C129" s="22">
        <f>Базовый!T121</f>
        <v>1</v>
      </c>
      <c r="D129" s="22">
        <f>Базовый!U121</f>
        <v>9.3033333333333328</v>
      </c>
      <c r="E129" s="22">
        <f t="shared" si="1"/>
        <v>2.6836538461538457</v>
      </c>
      <c r="F129" s="170"/>
    </row>
    <row r="130" spans="1:6" hidden="1" outlineLevel="3" x14ac:dyDescent="0.35">
      <c r="A130" s="48" t="str">
        <f>Базовый!A122</f>
        <v>Ручка</v>
      </c>
      <c r="B130" s="19">
        <f>Базовый!C122</f>
        <v>0.28846153846153844</v>
      </c>
      <c r="C130" s="22">
        <f>Базовый!T122</f>
        <v>1</v>
      </c>
      <c r="D130" s="22">
        <f>Базовый!U122</f>
        <v>17.863333333333333</v>
      </c>
      <c r="E130" s="22">
        <f t="shared" si="1"/>
        <v>5.1528846153846146</v>
      </c>
      <c r="F130" s="170"/>
    </row>
    <row r="131" spans="1:6" hidden="1" outlineLevel="3" x14ac:dyDescent="0.35">
      <c r="A131" s="48" t="str">
        <f>Базовый!A123</f>
        <v>Скобы для степлера</v>
      </c>
      <c r="B131" s="19">
        <f>Базовый!C123</f>
        <v>9.6153846153846159E-2</v>
      </c>
      <c r="C131" s="22">
        <f>Базовый!T123</f>
        <v>1</v>
      </c>
      <c r="D131" s="22">
        <f>Базовый!U123</f>
        <v>17.816666666666666</v>
      </c>
      <c r="E131" s="22">
        <f t="shared" si="1"/>
        <v>1.7131410256410258</v>
      </c>
      <c r="F131" s="170"/>
    </row>
    <row r="132" spans="1:6" hidden="1" outlineLevel="3" x14ac:dyDescent="0.35">
      <c r="A132" s="48" t="str">
        <f>Базовый!A124</f>
        <v>Скоросшиватель</v>
      </c>
      <c r="B132" s="19">
        <f>Базовый!C124</f>
        <v>9.6153846153846159E-2</v>
      </c>
      <c r="C132" s="22">
        <f>Базовый!T124</f>
        <v>1</v>
      </c>
      <c r="D132" s="22">
        <f>Базовый!U124</f>
        <v>9.8133333333333326</v>
      </c>
      <c r="E132" s="22">
        <f t="shared" si="1"/>
        <v>0.94358974358974357</v>
      </c>
      <c r="F132" s="170"/>
    </row>
    <row r="133" spans="1:6" hidden="1" outlineLevel="3" x14ac:dyDescent="0.35">
      <c r="A133" s="48" t="str">
        <f>Базовый!A125</f>
        <v>Скрепки</v>
      </c>
      <c r="B133" s="19">
        <f>Базовый!C125</f>
        <v>0.19230769230769232</v>
      </c>
      <c r="C133" s="22">
        <f>Базовый!T125</f>
        <v>1</v>
      </c>
      <c r="D133" s="22">
        <f>Базовый!U125</f>
        <v>73.7</v>
      </c>
      <c r="E133" s="22">
        <f t="shared" si="1"/>
        <v>14.173076923076925</v>
      </c>
      <c r="F133" s="170"/>
    </row>
    <row r="134" spans="1:6" hidden="1" outlineLevel="3" x14ac:dyDescent="0.35">
      <c r="A134" s="48" t="str">
        <f>Базовый!A126</f>
        <v>Степлер</v>
      </c>
      <c r="B134" s="19">
        <f>Базовый!C126</f>
        <v>0.19230769230769232</v>
      </c>
      <c r="C134" s="22">
        <f>Базовый!T126</f>
        <v>1</v>
      </c>
      <c r="D134" s="22">
        <f>Базовый!U126</f>
        <v>98.716666666666654</v>
      </c>
      <c r="E134" s="22">
        <f t="shared" si="1"/>
        <v>18.983974358974358</v>
      </c>
      <c r="F134" s="170"/>
    </row>
    <row r="135" spans="1:6" hidden="1" outlineLevel="3" x14ac:dyDescent="0.35">
      <c r="A135" s="48" t="str">
        <f>Базовый!A127</f>
        <v>Тетрадь</v>
      </c>
      <c r="B135" s="19">
        <f>Базовый!C127</f>
        <v>0.48076923076923078</v>
      </c>
      <c r="C135" s="22">
        <f>Базовый!T127</f>
        <v>1</v>
      </c>
      <c r="D135" s="22">
        <f>Базовый!U127</f>
        <v>9.3666666666666671</v>
      </c>
      <c r="E135" s="22">
        <f t="shared" si="1"/>
        <v>4.5032051282051286</v>
      </c>
      <c r="F135" s="170"/>
    </row>
    <row r="136" spans="1:6" hidden="1" outlineLevel="3" x14ac:dyDescent="0.35">
      <c r="A136" s="48" t="str">
        <f>Базовый!A128</f>
        <v>Точилка</v>
      </c>
      <c r="B136" s="19">
        <f>Базовый!C128</f>
        <v>0.19230769230769232</v>
      </c>
      <c r="C136" s="22">
        <f>Базовый!T128</f>
        <v>1</v>
      </c>
      <c r="D136" s="22">
        <f>Базовый!U128</f>
        <v>41</v>
      </c>
      <c r="E136" s="22">
        <f t="shared" si="1"/>
        <v>7.884615384615385</v>
      </c>
      <c r="F136" s="170"/>
    </row>
    <row r="137" spans="1:6" hidden="1" outlineLevel="3" x14ac:dyDescent="0.35">
      <c r="A137" s="48" t="str">
        <f>Базовый!A129</f>
        <v>Скрепки</v>
      </c>
      <c r="B137" s="19">
        <f>Базовый!C129</f>
        <v>5.7692307692307696E-2</v>
      </c>
      <c r="C137" s="22">
        <f>Базовый!T129</f>
        <v>1</v>
      </c>
      <c r="D137" s="22">
        <f>Базовый!U129</f>
        <v>29.123333333333335</v>
      </c>
      <c r="E137" s="22">
        <f t="shared" si="1"/>
        <v>1.6801923076923078</v>
      </c>
      <c r="F137" s="170"/>
    </row>
    <row r="138" spans="1:6" hidden="1" outlineLevel="3" x14ac:dyDescent="0.35">
      <c r="A138" s="48" t="str">
        <f>Базовый!A130</f>
        <v>Корректор</v>
      </c>
      <c r="B138" s="19">
        <f>Базовый!C130</f>
        <v>4.807692307692308E-2</v>
      </c>
      <c r="C138" s="22">
        <f>Базовый!T130</f>
        <v>1</v>
      </c>
      <c r="D138" s="22">
        <f>Базовый!U130</f>
        <v>31.876666666666665</v>
      </c>
      <c r="E138" s="22">
        <f t="shared" si="1"/>
        <v>1.5325320512820513</v>
      </c>
      <c r="F138" s="170"/>
    </row>
    <row r="139" spans="1:6" hidden="1" outlineLevel="3" x14ac:dyDescent="0.35">
      <c r="A139" s="48" t="str">
        <f>Базовый!A131</f>
        <v>Зажимы для бумаги больш.</v>
      </c>
      <c r="B139" s="19">
        <f>Базовый!C131</f>
        <v>0.11538461538461539</v>
      </c>
      <c r="C139" s="22">
        <f>Базовый!T131</f>
        <v>1</v>
      </c>
      <c r="D139" s="22">
        <f>Базовый!U131</f>
        <v>67.533333333333331</v>
      </c>
      <c r="E139" s="22">
        <f t="shared" si="1"/>
        <v>7.7923076923076922</v>
      </c>
      <c r="F139" s="170"/>
    </row>
    <row r="140" spans="1:6" hidden="1" outlineLevel="3" x14ac:dyDescent="0.35">
      <c r="A140" s="48" t="str">
        <f>Базовый!A132</f>
        <v>Зажимы для бумаги мал.</v>
      </c>
      <c r="B140" s="19">
        <f>Базовый!C132</f>
        <v>5.7692307692307696E-2</v>
      </c>
      <c r="C140" s="22">
        <f>Базовый!T132</f>
        <v>1</v>
      </c>
      <c r="D140" s="22">
        <f>Базовый!U132</f>
        <v>39</v>
      </c>
      <c r="E140" s="22">
        <f t="shared" si="1"/>
        <v>2.25</v>
      </c>
      <c r="F140" s="170"/>
    </row>
    <row r="141" spans="1:6" hidden="1" outlineLevel="2" collapsed="1" x14ac:dyDescent="0.35">
      <c r="A141" s="55"/>
      <c r="B141" s="60"/>
      <c r="C141" s="52"/>
      <c r="D141" s="52"/>
      <c r="E141" s="52"/>
      <c r="F141" s="170"/>
    </row>
    <row r="142" spans="1:6" hidden="1" outlineLevel="3" x14ac:dyDescent="0.35">
      <c r="A142" s="55"/>
      <c r="B142" s="60"/>
      <c r="C142" s="52"/>
      <c r="D142" s="52"/>
      <c r="E142" s="52"/>
      <c r="F142" s="170"/>
    </row>
    <row r="143" spans="1:6" hidden="1" outlineLevel="3" x14ac:dyDescent="0.35">
      <c r="A143" s="55"/>
      <c r="B143" s="60"/>
      <c r="C143" s="52"/>
      <c r="D143" s="52"/>
      <c r="E143" s="52"/>
      <c r="F143" s="170"/>
    </row>
    <row r="144" spans="1:6" hidden="1" outlineLevel="3" x14ac:dyDescent="0.35">
      <c r="A144" s="55"/>
      <c r="B144" s="60"/>
      <c r="C144" s="52"/>
      <c r="D144" s="52"/>
      <c r="E144" s="52"/>
      <c r="F144" s="170"/>
    </row>
    <row r="145" spans="1:6" hidden="1" outlineLevel="3" x14ac:dyDescent="0.35">
      <c r="A145" s="55"/>
      <c r="B145" s="60"/>
      <c r="C145" s="52"/>
      <c r="D145" s="52"/>
      <c r="E145" s="52"/>
      <c r="F145" s="170"/>
    </row>
    <row r="146" spans="1:6" hidden="1" outlineLevel="3" x14ac:dyDescent="0.35">
      <c r="A146" s="55"/>
      <c r="B146" s="60"/>
      <c r="C146" s="52"/>
      <c r="D146" s="52"/>
      <c r="E146" s="52"/>
      <c r="F146" s="170"/>
    </row>
    <row r="147" spans="1:6" hidden="1" outlineLevel="3" x14ac:dyDescent="0.35">
      <c r="A147" s="55"/>
      <c r="B147" s="60"/>
      <c r="C147" s="52"/>
      <c r="D147" s="52"/>
      <c r="E147" s="52"/>
      <c r="F147" s="170"/>
    </row>
    <row r="148" spans="1:6" hidden="1" outlineLevel="3" x14ac:dyDescent="0.35">
      <c r="A148" s="55"/>
      <c r="B148" s="60"/>
      <c r="C148" s="52"/>
      <c r="D148" s="52"/>
      <c r="E148" s="52"/>
      <c r="F148" s="170"/>
    </row>
    <row r="149" spans="1:6" hidden="1" outlineLevel="3" x14ac:dyDescent="0.35">
      <c r="A149" s="55"/>
      <c r="B149" s="60"/>
      <c r="C149" s="52"/>
      <c r="D149" s="52"/>
      <c r="E149" s="52"/>
      <c r="F149" s="170"/>
    </row>
    <row r="150" spans="1:6" hidden="1" outlineLevel="3" x14ac:dyDescent="0.35">
      <c r="A150" s="55"/>
      <c r="B150" s="60"/>
      <c r="C150" s="52"/>
      <c r="D150" s="52"/>
      <c r="E150" s="52"/>
      <c r="F150" s="170"/>
    </row>
    <row r="151" spans="1:6" hidden="1" outlineLevel="3" x14ac:dyDescent="0.35">
      <c r="A151" s="55"/>
      <c r="B151" s="60"/>
      <c r="C151" s="52"/>
      <c r="D151" s="52"/>
      <c r="E151" s="52"/>
      <c r="F151" s="170"/>
    </row>
    <row r="152" spans="1:6" hidden="1" outlineLevel="3" x14ac:dyDescent="0.35">
      <c r="A152" s="55"/>
      <c r="B152" s="60"/>
      <c r="C152" s="52"/>
      <c r="D152" s="52"/>
      <c r="E152" s="52"/>
      <c r="F152" s="170"/>
    </row>
    <row r="153" spans="1:6" hidden="1" outlineLevel="3" x14ac:dyDescent="0.35">
      <c r="A153" s="55"/>
      <c r="B153" s="60"/>
      <c r="C153" s="52"/>
      <c r="D153" s="52"/>
      <c r="E153" s="52"/>
      <c r="F153" s="170"/>
    </row>
    <row r="154" spans="1:6" hidden="1" outlineLevel="3" x14ac:dyDescent="0.35">
      <c r="A154" s="55"/>
      <c r="B154" s="60"/>
      <c r="C154" s="52"/>
      <c r="D154" s="52"/>
      <c r="E154" s="52"/>
      <c r="F154" s="170"/>
    </row>
    <row r="155" spans="1:6" hidden="1" outlineLevel="3" x14ac:dyDescent="0.35">
      <c r="A155" s="55"/>
      <c r="B155" s="60"/>
      <c r="C155" s="52"/>
      <c r="D155" s="52"/>
      <c r="E155" s="52"/>
      <c r="F155" s="170"/>
    </row>
    <row r="156" spans="1:6" hidden="1" outlineLevel="3" x14ac:dyDescent="0.35">
      <c r="A156" s="55"/>
      <c r="B156" s="60"/>
      <c r="C156" s="52"/>
      <c r="D156" s="52"/>
      <c r="E156" s="52"/>
      <c r="F156" s="170"/>
    </row>
    <row r="157" spans="1:6" hidden="1" outlineLevel="3" x14ac:dyDescent="0.35">
      <c r="A157" s="55"/>
      <c r="B157" s="60"/>
      <c r="C157" s="52"/>
      <c r="D157" s="52"/>
      <c r="E157" s="52"/>
      <c r="F157" s="170"/>
    </row>
    <row r="158" spans="1:6" hidden="1" outlineLevel="3" x14ac:dyDescent="0.35">
      <c r="A158" s="55"/>
      <c r="B158" s="60"/>
      <c r="C158" s="52"/>
      <c r="D158" s="52"/>
      <c r="E158" s="52"/>
      <c r="F158" s="170"/>
    </row>
    <row r="159" spans="1:6" hidden="1" outlineLevel="3" x14ac:dyDescent="0.35">
      <c r="A159" s="55"/>
      <c r="B159" s="60"/>
      <c r="C159" s="52"/>
      <c r="D159" s="52"/>
      <c r="E159" s="52"/>
      <c r="F159" s="170"/>
    </row>
    <row r="160" spans="1:6" hidden="1" outlineLevel="3" x14ac:dyDescent="0.35">
      <c r="A160" s="55"/>
      <c r="B160" s="60"/>
      <c r="C160" s="52"/>
      <c r="D160" s="52"/>
      <c r="E160" s="52"/>
      <c r="F160" s="170"/>
    </row>
    <row r="161" spans="1:6" hidden="1" outlineLevel="3" x14ac:dyDescent="0.35">
      <c r="A161" s="55"/>
      <c r="B161" s="60"/>
      <c r="C161" s="52"/>
      <c r="D161" s="52"/>
      <c r="E161" s="52"/>
      <c r="F161" s="170"/>
    </row>
    <row r="162" spans="1:6" hidden="1" outlineLevel="3" x14ac:dyDescent="0.35">
      <c r="A162" s="55"/>
      <c r="B162" s="60"/>
      <c r="C162" s="52"/>
      <c r="D162" s="52"/>
      <c r="E162" s="52"/>
      <c r="F162" s="170"/>
    </row>
    <row r="163" spans="1:6" hidden="1" outlineLevel="3" x14ac:dyDescent="0.35">
      <c r="A163" s="55"/>
      <c r="B163" s="60"/>
      <c r="C163" s="52"/>
      <c r="D163" s="52"/>
      <c r="E163" s="52"/>
      <c r="F163" s="170"/>
    </row>
    <row r="164" spans="1:6" hidden="1" outlineLevel="3" x14ac:dyDescent="0.35">
      <c r="A164" s="55"/>
      <c r="B164" s="60"/>
      <c r="C164" s="52"/>
      <c r="D164" s="52"/>
      <c r="E164" s="52"/>
      <c r="F164" s="170"/>
    </row>
    <row r="165" spans="1:6" hidden="1" outlineLevel="3" x14ac:dyDescent="0.35">
      <c r="A165" s="55"/>
      <c r="B165" s="60"/>
      <c r="C165" s="52"/>
      <c r="D165" s="52"/>
      <c r="E165" s="52"/>
      <c r="F165" s="170"/>
    </row>
    <row r="166" spans="1:6" hidden="1" outlineLevel="3" x14ac:dyDescent="0.35">
      <c r="A166" s="55"/>
      <c r="B166" s="60"/>
      <c r="C166" s="52"/>
      <c r="D166" s="52"/>
      <c r="E166" s="52"/>
      <c r="F166" s="170"/>
    </row>
    <row r="167" spans="1:6" hidden="1" outlineLevel="3" x14ac:dyDescent="0.35">
      <c r="A167" s="55"/>
      <c r="B167" s="60"/>
      <c r="C167" s="52"/>
      <c r="D167" s="52"/>
      <c r="E167" s="52"/>
      <c r="F167" s="170"/>
    </row>
    <row r="168" spans="1:6" hidden="1" outlineLevel="3" x14ac:dyDescent="0.35">
      <c r="A168" s="55"/>
      <c r="B168" s="60"/>
      <c r="C168" s="52"/>
      <c r="D168" s="52"/>
      <c r="E168" s="52"/>
      <c r="F168" s="170"/>
    </row>
    <row r="169" spans="1:6" hidden="1" outlineLevel="3" x14ac:dyDescent="0.35">
      <c r="A169" s="55"/>
      <c r="B169" s="60"/>
      <c r="C169" s="52"/>
      <c r="D169" s="52"/>
      <c r="E169" s="52"/>
      <c r="F169" s="170"/>
    </row>
    <row r="170" spans="1:6" hidden="1" outlineLevel="3" x14ac:dyDescent="0.35">
      <c r="A170" s="55"/>
      <c r="B170" s="60"/>
      <c r="C170" s="52"/>
      <c r="D170" s="52"/>
      <c r="E170" s="52"/>
      <c r="F170" s="170"/>
    </row>
    <row r="171" spans="1:6" hidden="1" outlineLevel="3" x14ac:dyDescent="0.35">
      <c r="A171" s="55"/>
      <c r="B171" s="60"/>
      <c r="C171" s="52"/>
      <c r="D171" s="52"/>
      <c r="E171" s="52"/>
      <c r="F171" s="170"/>
    </row>
    <row r="172" spans="1:6" hidden="1" outlineLevel="3" x14ac:dyDescent="0.35">
      <c r="A172" s="55"/>
      <c r="B172" s="60"/>
      <c r="C172" s="52"/>
      <c r="D172" s="52"/>
      <c r="E172" s="52"/>
      <c r="F172" s="170"/>
    </row>
    <row r="173" spans="1:6" hidden="1" outlineLevel="3" x14ac:dyDescent="0.35">
      <c r="A173" s="55"/>
      <c r="B173" s="60"/>
      <c r="C173" s="52"/>
      <c r="D173" s="52"/>
      <c r="E173" s="52"/>
      <c r="F173" s="170"/>
    </row>
    <row r="174" spans="1:6" hidden="1" outlineLevel="3" x14ac:dyDescent="0.35">
      <c r="A174" s="55"/>
      <c r="B174" s="60"/>
      <c r="C174" s="52"/>
      <c r="D174" s="52"/>
      <c r="E174" s="52"/>
      <c r="F174" s="170"/>
    </row>
    <row r="175" spans="1:6" hidden="1" outlineLevel="3" x14ac:dyDescent="0.35">
      <c r="A175" s="55"/>
      <c r="B175" s="60"/>
      <c r="C175" s="52"/>
      <c r="D175" s="52"/>
      <c r="E175" s="52"/>
      <c r="F175" s="170"/>
    </row>
    <row r="176" spans="1:6" s="54" customFormat="1" hidden="1" outlineLevel="3" collapsed="1" x14ac:dyDescent="0.35">
      <c r="A176" s="55"/>
      <c r="B176" s="60"/>
      <c r="C176" s="52"/>
      <c r="D176" s="52"/>
      <c r="E176" s="52"/>
      <c r="F176" s="170"/>
    </row>
    <row r="177" spans="1:6" s="54" customFormat="1" hidden="1" outlineLevel="3" x14ac:dyDescent="0.35">
      <c r="A177" s="55"/>
      <c r="B177" s="60"/>
      <c r="C177" s="52"/>
      <c r="D177" s="52"/>
      <c r="E177" s="52"/>
      <c r="F177" s="170"/>
    </row>
    <row r="178" spans="1:6" s="54" customFormat="1" hidden="1" outlineLevel="3" x14ac:dyDescent="0.35">
      <c r="A178" s="55"/>
      <c r="B178" s="60"/>
      <c r="C178" s="52"/>
      <c r="D178" s="52"/>
      <c r="E178" s="52"/>
      <c r="F178" s="170"/>
    </row>
    <row r="179" spans="1:6" s="54" customFormat="1" hidden="1" outlineLevel="3" x14ac:dyDescent="0.35">
      <c r="A179" s="55"/>
      <c r="B179" s="60"/>
      <c r="C179" s="52"/>
      <c r="D179" s="52"/>
      <c r="E179" s="52"/>
      <c r="F179" s="170"/>
    </row>
    <row r="180" spans="1:6" s="54" customFormat="1" hidden="1" outlineLevel="3" x14ac:dyDescent="0.35">
      <c r="A180" s="55"/>
      <c r="B180" s="60"/>
      <c r="C180" s="52"/>
      <c r="D180" s="52"/>
      <c r="E180" s="52"/>
      <c r="F180" s="170"/>
    </row>
    <row r="181" spans="1:6" s="54" customFormat="1" hidden="1" outlineLevel="2" collapsed="1" x14ac:dyDescent="0.35">
      <c r="A181" s="55"/>
      <c r="B181" s="60"/>
      <c r="C181" s="52"/>
      <c r="D181" s="52"/>
      <c r="E181" s="52"/>
      <c r="F181" s="170"/>
    </row>
    <row r="182" spans="1:6" s="54" customFormat="1" hidden="1" outlineLevel="3" x14ac:dyDescent="0.35">
      <c r="A182" s="55"/>
      <c r="B182" s="60"/>
      <c r="C182" s="52"/>
      <c r="D182" s="52"/>
      <c r="E182" s="52"/>
      <c r="F182" s="170"/>
    </row>
    <row r="183" spans="1:6" s="54" customFormat="1" hidden="1" outlineLevel="3" x14ac:dyDescent="0.35">
      <c r="A183" s="55"/>
      <c r="B183" s="60"/>
      <c r="C183" s="52"/>
      <c r="D183" s="52"/>
      <c r="E183" s="52"/>
      <c r="F183" s="170"/>
    </row>
    <row r="184" spans="1:6" s="54" customFormat="1" hidden="1" outlineLevel="3" x14ac:dyDescent="0.35">
      <c r="A184" s="55"/>
      <c r="B184" s="60"/>
      <c r="C184" s="52"/>
      <c r="D184" s="52"/>
      <c r="E184" s="52"/>
      <c r="F184" s="170"/>
    </row>
    <row r="185" spans="1:6" s="54" customFormat="1" hidden="1" outlineLevel="3" x14ac:dyDescent="0.35">
      <c r="A185" s="55"/>
      <c r="B185" s="60"/>
      <c r="C185" s="52"/>
      <c r="D185" s="52"/>
      <c r="E185" s="52"/>
      <c r="F185" s="170"/>
    </row>
    <row r="186" spans="1:6" s="54" customFormat="1" hidden="1" outlineLevel="3" x14ac:dyDescent="0.35">
      <c r="A186" s="55"/>
      <c r="B186" s="60"/>
      <c r="C186" s="52"/>
      <c r="D186" s="52"/>
      <c r="E186" s="52"/>
      <c r="F186" s="170"/>
    </row>
    <row r="187" spans="1:6" s="54" customFormat="1" hidden="1" outlineLevel="3" x14ac:dyDescent="0.35">
      <c r="A187" s="55"/>
      <c r="B187" s="60"/>
      <c r="C187" s="52"/>
      <c r="D187" s="52"/>
      <c r="E187" s="52"/>
      <c r="F187" s="170"/>
    </row>
    <row r="188" spans="1:6" s="54" customFormat="1" hidden="1" outlineLevel="3" x14ac:dyDescent="0.35">
      <c r="A188" s="55"/>
      <c r="B188" s="60"/>
      <c r="C188" s="52"/>
      <c r="D188" s="52"/>
      <c r="E188" s="52"/>
      <c r="F188" s="170"/>
    </row>
    <row r="189" spans="1:6" s="54" customFormat="1" hidden="1" outlineLevel="3" x14ac:dyDescent="0.35">
      <c r="A189" s="55"/>
      <c r="B189" s="60"/>
      <c r="C189" s="52"/>
      <c r="D189" s="52"/>
      <c r="E189" s="52"/>
      <c r="F189" s="170"/>
    </row>
    <row r="190" spans="1:6" s="54" customFormat="1" hidden="1" outlineLevel="3" x14ac:dyDescent="0.35">
      <c r="A190" s="55"/>
      <c r="B190" s="60"/>
      <c r="C190" s="52"/>
      <c r="D190" s="52"/>
      <c r="E190" s="52"/>
      <c r="F190" s="170"/>
    </row>
    <row r="191" spans="1:6" s="54" customFormat="1" hidden="1" outlineLevel="3" x14ac:dyDescent="0.35">
      <c r="A191" s="55"/>
      <c r="B191" s="60"/>
      <c r="C191" s="52"/>
      <c r="D191" s="52"/>
      <c r="E191" s="52"/>
      <c r="F191" s="170"/>
    </row>
    <row r="192" spans="1:6" s="54" customFormat="1" hidden="1" outlineLevel="3" x14ac:dyDescent="0.35">
      <c r="A192" s="55"/>
      <c r="B192" s="60"/>
      <c r="C192" s="52"/>
      <c r="D192" s="52"/>
      <c r="E192" s="52"/>
      <c r="F192" s="170"/>
    </row>
    <row r="193" spans="1:6" s="54" customFormat="1" hidden="1" outlineLevel="3" x14ac:dyDescent="0.35">
      <c r="A193" s="55"/>
      <c r="B193" s="60"/>
      <c r="C193" s="52"/>
      <c r="D193" s="52"/>
      <c r="E193" s="52"/>
      <c r="F193" s="170"/>
    </row>
    <row r="194" spans="1:6" s="54" customFormat="1" hidden="1" outlineLevel="3" x14ac:dyDescent="0.35">
      <c r="A194" s="55"/>
      <c r="B194" s="60"/>
      <c r="C194" s="52"/>
      <c r="D194" s="52"/>
      <c r="E194" s="52"/>
      <c r="F194" s="170"/>
    </row>
    <row r="195" spans="1:6" s="54" customFormat="1" hidden="1" outlineLevel="3" x14ac:dyDescent="0.35">
      <c r="A195" s="55"/>
      <c r="B195" s="60"/>
      <c r="C195" s="52"/>
      <c r="D195" s="52"/>
      <c r="E195" s="52"/>
      <c r="F195" s="170"/>
    </row>
    <row r="196" spans="1:6" s="54" customFormat="1" hidden="1" outlineLevel="3" x14ac:dyDescent="0.35">
      <c r="A196" s="55"/>
      <c r="B196" s="60"/>
      <c r="C196" s="52"/>
      <c r="D196" s="52"/>
      <c r="E196" s="52"/>
      <c r="F196" s="170"/>
    </row>
    <row r="197" spans="1:6" s="54" customFormat="1" hidden="1" outlineLevel="2" collapsed="1" x14ac:dyDescent="0.35">
      <c r="A197" s="55"/>
      <c r="B197" s="60"/>
      <c r="C197" s="52"/>
      <c r="D197" s="52"/>
      <c r="E197" s="52"/>
      <c r="F197" s="170"/>
    </row>
    <row r="198" spans="1:6" s="54" customFormat="1" hidden="1" outlineLevel="3" x14ac:dyDescent="0.35">
      <c r="A198" s="55"/>
      <c r="B198" s="60"/>
      <c r="C198" s="52"/>
      <c r="D198" s="52"/>
      <c r="E198" s="52"/>
      <c r="F198" s="170"/>
    </row>
    <row r="199" spans="1:6" s="54" customFormat="1" hidden="1" outlineLevel="3" x14ac:dyDescent="0.35">
      <c r="A199" s="55"/>
      <c r="B199" s="60"/>
      <c r="C199" s="52"/>
      <c r="D199" s="52"/>
      <c r="E199" s="52"/>
      <c r="F199" s="170"/>
    </row>
    <row r="200" spans="1:6" s="54" customFormat="1" hidden="1" outlineLevel="3" x14ac:dyDescent="0.35">
      <c r="A200" s="55"/>
      <c r="B200" s="60"/>
      <c r="C200" s="52"/>
      <c r="D200" s="52"/>
      <c r="E200" s="52"/>
      <c r="F200" s="170"/>
    </row>
    <row r="201" spans="1:6" s="54" customFormat="1" hidden="1" outlineLevel="2" collapsed="1" x14ac:dyDescent="0.35">
      <c r="A201" s="48" t="str">
        <f>Базовый!A193</f>
        <v>Компьютерное оборудование</v>
      </c>
      <c r="B201" s="19" t="str">
        <f>Базовый!C193</f>
        <v>х</v>
      </c>
      <c r="C201" s="22" t="str">
        <f>Базовый!T193</f>
        <v>х</v>
      </c>
      <c r="D201" s="22" t="str">
        <f>Базовый!U193</f>
        <v>х</v>
      </c>
      <c r="E201" s="22">
        <f>SUM(E202:E204)</f>
        <v>75.265036148284878</v>
      </c>
      <c r="F201" s="170"/>
    </row>
    <row r="202" spans="1:6" s="54" customFormat="1" hidden="1" outlineLevel="3" x14ac:dyDescent="0.35">
      <c r="A202" s="48" t="str">
        <f>Базовый!A194</f>
        <v>Лазерный МФУ</v>
      </c>
      <c r="B202" s="19">
        <f>Базовый!C194</f>
        <v>4.6146746654360873E-3</v>
      </c>
      <c r="C202" s="22">
        <f>Базовый!T194</f>
        <v>5</v>
      </c>
      <c r="D202" s="22">
        <f>Базовый!U194</f>
        <v>17490</v>
      </c>
      <c r="E202" s="22">
        <f>B202/C202*D202</f>
        <v>16.142131979695431</v>
      </c>
      <c r="F202" s="170"/>
    </row>
    <row r="203" spans="1:6" s="54" customFormat="1" hidden="1" outlineLevel="3" x14ac:dyDescent="0.35">
      <c r="A203" s="48" t="str">
        <f>Базовый!A195</f>
        <v>Ноутбук</v>
      </c>
      <c r="B203" s="19">
        <f>Базовый!C195</f>
        <v>4.6146746654360873E-3</v>
      </c>
      <c r="C203" s="22">
        <f>Базовый!T195</f>
        <v>5</v>
      </c>
      <c r="D203" s="22">
        <f>Базовый!U195</f>
        <v>26273</v>
      </c>
      <c r="E203" s="22">
        <f>B203/C203*D203</f>
        <v>24.248269497000464</v>
      </c>
      <c r="F203" s="170"/>
    </row>
    <row r="204" spans="1:6" s="54" customFormat="1" hidden="1" outlineLevel="3" x14ac:dyDescent="0.35">
      <c r="A204" s="48" t="str">
        <f>Базовый!A196</f>
        <v>Системный блок</v>
      </c>
      <c r="B204" s="19">
        <f>Базовый!C196</f>
        <v>4.6146746654360873E-3</v>
      </c>
      <c r="C204" s="22">
        <f>Базовый!T196</f>
        <v>5</v>
      </c>
      <c r="D204" s="22">
        <f>Базовый!U196</f>
        <v>37786.666666666664</v>
      </c>
      <c r="E204" s="22">
        <f>B204/C204*D204</f>
        <v>34.874634671588986</v>
      </c>
      <c r="F204" s="170"/>
    </row>
    <row r="205" spans="1:6" ht="30" customHeight="1" x14ac:dyDescent="0.35">
      <c r="A205" s="164" t="s">
        <v>22</v>
      </c>
      <c r="B205" s="164"/>
      <c r="C205" s="164"/>
      <c r="D205" s="164"/>
      <c r="E205" s="23">
        <f>E206+E214+E230+E233+E236+E238+E241</f>
        <v>12675.406535011853</v>
      </c>
      <c r="F205" s="170"/>
    </row>
    <row r="206" spans="1:6" ht="30" customHeight="1" outlineLevel="1" collapsed="1" x14ac:dyDescent="0.35">
      <c r="A206" s="164" t="s">
        <v>25</v>
      </c>
      <c r="B206" s="164"/>
      <c r="C206" s="164"/>
      <c r="D206" s="164"/>
      <c r="E206" s="22">
        <f>SUM(E207:E213)</f>
        <v>10945.284403032158</v>
      </c>
      <c r="F206" s="170"/>
    </row>
    <row r="207" spans="1:6" hidden="1" outlineLevel="2" x14ac:dyDescent="0.35">
      <c r="A207" s="48" t="str">
        <f>Базовый!A199</f>
        <v>Теплоэнергия (город)</v>
      </c>
      <c r="B207" s="19">
        <f>Базовый!C199</f>
        <v>2.8283574470733908</v>
      </c>
      <c r="C207" s="22">
        <f>Базовый!T199</f>
        <v>1</v>
      </c>
      <c r="D207" s="22">
        <f>Базовый!U199</f>
        <v>3101.7649999999999</v>
      </c>
      <c r="E207" s="22">
        <f t="shared" ref="E207:E213" si="2">B207/C207*D207</f>
        <v>8772.9001368215959</v>
      </c>
      <c r="F207" s="170"/>
    </row>
    <row r="208" spans="1:6" hidden="1" outlineLevel="2" x14ac:dyDescent="0.35">
      <c r="A208" s="48" t="str">
        <f>Базовый!A200</f>
        <v>Теплоэнергия в горячей воде</v>
      </c>
      <c r="B208" s="19">
        <f>Базовый!C200</f>
        <v>0.15612409213123213</v>
      </c>
      <c r="C208" s="22">
        <f>Базовый!T200</f>
        <v>1</v>
      </c>
      <c r="D208" s="22">
        <f>Базовый!U200</f>
        <v>3101.7649999999999</v>
      </c>
      <c r="E208" s="22">
        <f t="shared" si="2"/>
        <v>484.26024462943121</v>
      </c>
      <c r="F208" s="170"/>
    </row>
    <row r="209" spans="1:6" hidden="1" outlineLevel="2" x14ac:dyDescent="0.35">
      <c r="A209" s="48" t="str">
        <f>Базовый!A201</f>
        <v>Теплоноситель</v>
      </c>
      <c r="B209" s="19">
        <f>Базовый!C201</f>
        <v>2.3661380504500134</v>
      </c>
      <c r="C209" s="22">
        <f>Базовый!T201</f>
        <v>1</v>
      </c>
      <c r="D209" s="22">
        <f>Базовый!U201</f>
        <v>19.37</v>
      </c>
      <c r="E209" s="22">
        <f t="shared" si="2"/>
        <v>45.832094037216763</v>
      </c>
      <c r="F209" s="170"/>
    </row>
    <row r="210" spans="1:6" hidden="1" outlineLevel="2" x14ac:dyDescent="0.35">
      <c r="A210" s="48" t="str">
        <f>Базовый!A202</f>
        <v>Электроэнергия</v>
      </c>
      <c r="B210" s="19">
        <f>Базовый!C202</f>
        <v>229.20523552563728</v>
      </c>
      <c r="C210" s="22">
        <f>Базовый!T202</f>
        <v>1</v>
      </c>
      <c r="D210" s="22">
        <f>Базовый!U202</f>
        <v>5.18</v>
      </c>
      <c r="E210" s="22">
        <f t="shared" si="2"/>
        <v>1187.2831200228011</v>
      </c>
      <c r="F210" s="170"/>
    </row>
    <row r="211" spans="1:6" hidden="1" outlineLevel="2" x14ac:dyDescent="0.35">
      <c r="A211" s="48" t="str">
        <f>Базовый!A203</f>
        <v>Холодное водоснабжение</v>
      </c>
      <c r="B211" s="19">
        <f>Базовый!C203</f>
        <v>9.9994760348931244</v>
      </c>
      <c r="C211" s="22">
        <f>Базовый!T203</f>
        <v>1</v>
      </c>
      <c r="D211" s="22">
        <f>Базовый!U203</f>
        <v>19.03</v>
      </c>
      <c r="E211" s="22">
        <f t="shared" si="2"/>
        <v>190.29002894401617</v>
      </c>
      <c r="F211" s="170"/>
    </row>
    <row r="212" spans="1:6" hidden="1" outlineLevel="2" x14ac:dyDescent="0.35">
      <c r="A212" s="48" t="str">
        <f>Базовый!A204</f>
        <v>Водоотведение</v>
      </c>
      <c r="B212" s="19">
        <f>Базовый!C204</f>
        <v>11.380734758842362</v>
      </c>
      <c r="C212" s="22">
        <f>Базовый!T204</f>
        <v>1</v>
      </c>
      <c r="D212" s="22">
        <f>Базовый!U204</f>
        <v>22.03</v>
      </c>
      <c r="E212" s="22">
        <f t="shared" si="2"/>
        <v>250.71758673729724</v>
      </c>
      <c r="F212" s="170"/>
    </row>
    <row r="213" spans="1:6" hidden="1" outlineLevel="2" x14ac:dyDescent="0.35">
      <c r="A213" s="48" t="str">
        <f>Базовый!A205</f>
        <v>Сбросы загрязнений</v>
      </c>
      <c r="B213" s="19">
        <f>Базовый!C205</f>
        <v>7.107203979593355</v>
      </c>
      <c r="C213" s="22">
        <f>Базовый!T205</f>
        <v>1</v>
      </c>
      <c r="D213" s="22">
        <f>Базовый!U205</f>
        <v>1.97</v>
      </c>
      <c r="E213" s="22">
        <f t="shared" si="2"/>
        <v>14.00119183979891</v>
      </c>
      <c r="F213" s="170"/>
    </row>
    <row r="214" spans="1:6" ht="30" customHeight="1" outlineLevel="1" collapsed="1" x14ac:dyDescent="0.35">
      <c r="A214" s="164" t="s">
        <v>36</v>
      </c>
      <c r="B214" s="164"/>
      <c r="C214" s="164"/>
      <c r="D214" s="164"/>
      <c r="E214" s="22">
        <f>SUM(E215:E229)</f>
        <v>1595.3767081987387</v>
      </c>
      <c r="F214" s="170"/>
    </row>
    <row r="215" spans="1:6" hidden="1" outlineLevel="2" x14ac:dyDescent="0.35">
      <c r="A215" s="48" t="str">
        <f>Базовый!A207</f>
        <v>Дератизация</v>
      </c>
      <c r="B215" s="19">
        <f>Базовый!C207</f>
        <v>1.1075219197046609</v>
      </c>
      <c r="C215" s="22">
        <f>Базовый!T207</f>
        <v>1</v>
      </c>
      <c r="D215" s="22">
        <f>Базовый!U207</f>
        <v>1.6500000000000001</v>
      </c>
      <c r="E215" s="22">
        <f t="shared" ref="E215:E229" si="3">B215/C215*D215</f>
        <v>1.8274111675126905</v>
      </c>
      <c r="F215" s="170"/>
    </row>
    <row r="216" spans="1:6" hidden="1" outlineLevel="2" x14ac:dyDescent="0.35">
      <c r="A216" s="48" t="str">
        <f>Базовый!A208</f>
        <v>Дезинсекция</v>
      </c>
      <c r="B216" s="19">
        <f>Базовый!C208</f>
        <v>1.1075219197046609</v>
      </c>
      <c r="C216" s="22">
        <f>Базовый!T208</f>
        <v>1</v>
      </c>
      <c r="D216" s="22">
        <f>Базовый!U208</f>
        <v>3.64</v>
      </c>
      <c r="E216" s="22">
        <f t="shared" si="3"/>
        <v>4.0313797877249655</v>
      </c>
      <c r="F216" s="170"/>
    </row>
    <row r="217" spans="1:6" hidden="1" outlineLevel="2" x14ac:dyDescent="0.35">
      <c r="A217" s="48" t="str">
        <f>Базовый!A209</f>
        <v>Дезинфекция</v>
      </c>
      <c r="B217" s="19">
        <f>Базовый!C209</f>
        <v>0.50761421319796962</v>
      </c>
      <c r="C217" s="22">
        <f>Базовый!T209</f>
        <v>1</v>
      </c>
      <c r="D217" s="22">
        <f>Базовый!U209</f>
        <v>23.352599999999999</v>
      </c>
      <c r="E217" s="22">
        <f t="shared" si="3"/>
        <v>11.854111675126905</v>
      </c>
      <c r="F217" s="170"/>
    </row>
    <row r="218" spans="1:6" hidden="1" outlineLevel="2" x14ac:dyDescent="0.35">
      <c r="A218" s="48" t="str">
        <f>Базовый!A210</f>
        <v>ТО КТС</v>
      </c>
      <c r="B218" s="19">
        <f>Базовый!C210</f>
        <v>4.6146746654360873E-3</v>
      </c>
      <c r="C218" s="22">
        <f>Базовый!T210</f>
        <v>1</v>
      </c>
      <c r="D218" s="22">
        <f>Базовый!U210</f>
        <v>3619.44</v>
      </c>
      <c r="E218" s="22">
        <f t="shared" si="3"/>
        <v>16.702538071065991</v>
      </c>
      <c r="F218" s="170"/>
    </row>
    <row r="219" spans="1:6" hidden="1" outlineLevel="2" x14ac:dyDescent="0.35">
      <c r="A219" s="48" t="str">
        <f>Базовый!A211</f>
        <v>Охрана КТС</v>
      </c>
      <c r="B219" s="19">
        <f>Базовый!C211</f>
        <v>40.424550069220125</v>
      </c>
      <c r="C219" s="22">
        <f>Базовый!T211</f>
        <v>1</v>
      </c>
      <c r="D219" s="22">
        <f>Базовый!U211</f>
        <v>4.7366666666666672</v>
      </c>
      <c r="E219" s="22">
        <f t="shared" si="3"/>
        <v>191.47761882787267</v>
      </c>
      <c r="F219" s="170"/>
    </row>
    <row r="220" spans="1:6" hidden="1" outlineLevel="2" x14ac:dyDescent="0.35">
      <c r="A220" s="48" t="str">
        <f>Базовый!A212</f>
        <v>Пожарная охрана</v>
      </c>
      <c r="B220" s="19">
        <f>Базовый!C212</f>
        <v>40.424550069220125</v>
      </c>
      <c r="C220" s="22">
        <f>Базовый!T212</f>
        <v>1</v>
      </c>
      <c r="D220" s="22">
        <f>Базовый!U212</f>
        <v>5.1466666666666674</v>
      </c>
      <c r="E220" s="22">
        <f t="shared" si="3"/>
        <v>208.05168435625293</v>
      </c>
      <c r="F220" s="170"/>
    </row>
    <row r="221" spans="1:6" hidden="1" outlineLevel="2" x14ac:dyDescent="0.35">
      <c r="A221" s="48" t="str">
        <f>Базовый!A213</f>
        <v>Охрана при помощи ОС</v>
      </c>
      <c r="B221" s="19">
        <f>Базовый!C213</f>
        <v>80.849100138440249</v>
      </c>
      <c r="C221" s="22">
        <f>Базовый!T213</f>
        <v>1</v>
      </c>
      <c r="D221" s="22">
        <f>Базовый!U213</f>
        <v>4.7366666666666672</v>
      </c>
      <c r="E221" s="22">
        <f t="shared" si="3"/>
        <v>382.95523765574535</v>
      </c>
      <c r="F221" s="170"/>
    </row>
    <row r="222" spans="1:6" ht="26" hidden="1" outlineLevel="2" x14ac:dyDescent="0.35">
      <c r="A222" s="48" t="str">
        <f>Базовый!A214</f>
        <v>ТО автоматизированного теплового пункта</v>
      </c>
      <c r="B222" s="19">
        <f>Базовый!C214</f>
        <v>4.6146746654360873E-3</v>
      </c>
      <c r="C222" s="22">
        <f>Базовый!T214</f>
        <v>1</v>
      </c>
      <c r="D222" s="22">
        <f>Базовый!U214</f>
        <v>17631.633333333335</v>
      </c>
      <c r="E222" s="22">
        <f t="shared" si="3"/>
        <v>81.364251653591779</v>
      </c>
      <c r="F222" s="170"/>
    </row>
    <row r="223" spans="1:6" ht="26" hidden="1" outlineLevel="2" x14ac:dyDescent="0.35">
      <c r="A223" s="48" t="str">
        <f>Базовый!A215</f>
        <v>ТО приборов учета тепловой энергии</v>
      </c>
      <c r="B223" s="19">
        <f>Базовый!C215</f>
        <v>4.6146746654360873E-3</v>
      </c>
      <c r="C223" s="22">
        <f>Базовый!T215</f>
        <v>1</v>
      </c>
      <c r="D223" s="22">
        <f>Базовый!U215</f>
        <v>19521.88</v>
      </c>
      <c r="E223" s="22">
        <f t="shared" si="3"/>
        <v>90.087125057683451</v>
      </c>
      <c r="F223" s="170"/>
    </row>
    <row r="224" spans="1:6" hidden="1" outlineLevel="2" x14ac:dyDescent="0.35">
      <c r="A224" s="48" t="str">
        <f>Базовый!A216</f>
        <v>Вывоз ТБО</v>
      </c>
      <c r="B224" s="19">
        <f>Базовый!C216</f>
        <v>0.66109829257037378</v>
      </c>
      <c r="C224" s="22">
        <f>Базовый!T216</f>
        <v>1</v>
      </c>
      <c r="D224" s="22">
        <f>Базовый!U216</f>
        <v>651</v>
      </c>
      <c r="E224" s="22">
        <f t="shared" si="3"/>
        <v>430.37498846331334</v>
      </c>
      <c r="F224" s="170"/>
    </row>
    <row r="225" spans="1:6" hidden="1" outlineLevel="2" x14ac:dyDescent="0.35">
      <c r="A225" s="48" t="str">
        <f>Базовый!A217</f>
        <v>ТО пожарной сигнализации</v>
      </c>
      <c r="B225" s="19">
        <f>Базовый!C217</f>
        <v>4.6146746654360873E-3</v>
      </c>
      <c r="C225" s="22">
        <f>Базовый!T217</f>
        <v>1</v>
      </c>
      <c r="D225" s="22">
        <f>Базовый!U217</f>
        <v>27379.039999999997</v>
      </c>
      <c r="E225" s="22">
        <f t="shared" si="3"/>
        <v>126.34536225196123</v>
      </c>
      <c r="F225" s="170"/>
    </row>
    <row r="226" spans="1:6" ht="26" hidden="1" outlineLevel="2" x14ac:dyDescent="0.35">
      <c r="A226" s="48" t="str">
        <f>Базовый!A218</f>
        <v>Обработка чердачных перекрытий</v>
      </c>
      <c r="B226" s="19">
        <f>Базовый!C218</f>
        <v>0</v>
      </c>
      <c r="C226" s="22">
        <f>Базовый!T218</f>
        <v>1</v>
      </c>
      <c r="D226" s="22">
        <f>Базовый!U218</f>
        <v>38</v>
      </c>
      <c r="E226" s="22">
        <f t="shared" si="3"/>
        <v>0</v>
      </c>
      <c r="F226" s="170"/>
    </row>
    <row r="227" spans="1:6" hidden="1" outlineLevel="2" x14ac:dyDescent="0.35">
      <c r="A227" s="48" t="str">
        <f>Базовый!A219</f>
        <v>Прочистка канализации</v>
      </c>
      <c r="B227" s="19">
        <f>Базовый!C219</f>
        <v>0</v>
      </c>
      <c r="C227" s="22">
        <f>Базовый!T219</f>
        <v>1</v>
      </c>
      <c r="D227" s="22">
        <f>Базовый!U219</f>
        <v>10987</v>
      </c>
      <c r="E227" s="22">
        <f t="shared" si="3"/>
        <v>0</v>
      </c>
      <c r="F227" s="170"/>
    </row>
    <row r="228" spans="1:6" ht="26" hidden="1" outlineLevel="2" x14ac:dyDescent="0.35">
      <c r="A228" s="48" t="str">
        <f>Базовый!A220</f>
        <v>Проверка качества огнезащитной пропитки</v>
      </c>
      <c r="B228" s="19">
        <f>Базовый!C220</f>
        <v>9.2293493308721747E-3</v>
      </c>
      <c r="C228" s="22">
        <f>Базовый!T220</f>
        <v>1</v>
      </c>
      <c r="D228" s="22">
        <f>Базовый!U220</f>
        <v>5450.5466666666662</v>
      </c>
      <c r="E228" s="22">
        <f t="shared" si="3"/>
        <v>50.30499923088756</v>
      </c>
      <c r="F228" s="170"/>
    </row>
    <row r="229" spans="1:6" ht="26" hidden="1" outlineLevel="2" x14ac:dyDescent="0.35">
      <c r="A229" s="48" t="str">
        <f>Базовый!A221</f>
        <v>Замеры сопротивления изоляции</v>
      </c>
      <c r="B229" s="19">
        <f>Базовый!C221</f>
        <v>0</v>
      </c>
      <c r="C229" s="22">
        <f>Базовый!T221</f>
        <v>1</v>
      </c>
      <c r="D229" s="22">
        <f>Базовый!U221</f>
        <v>8966.6666666666661</v>
      </c>
      <c r="E229" s="22">
        <f t="shared" si="3"/>
        <v>0</v>
      </c>
      <c r="F229" s="170"/>
    </row>
    <row r="230" spans="1:6" ht="30" customHeight="1" outlineLevel="1" collapsed="1" x14ac:dyDescent="0.35">
      <c r="A230" s="164" t="s">
        <v>42</v>
      </c>
      <c r="B230" s="164"/>
      <c r="C230" s="164"/>
      <c r="D230" s="164"/>
      <c r="E230" s="22">
        <f>SUM(E231:E232)</f>
        <v>5.6914320873711741</v>
      </c>
      <c r="F230" s="170"/>
    </row>
    <row r="231" spans="1:6" hidden="1" outlineLevel="2" x14ac:dyDescent="0.35">
      <c r="A231" s="48" t="str">
        <f>Базовый!A223</f>
        <v>Ремонт МФУ</v>
      </c>
      <c r="B231" s="19">
        <f>Базовый!C223</f>
        <v>4.6146746654360873E-3</v>
      </c>
      <c r="C231" s="22">
        <f>Базовый!T223</f>
        <v>1</v>
      </c>
      <c r="D231" s="22">
        <f>Базовый!U223</f>
        <v>1233.3333333333333</v>
      </c>
      <c r="E231" s="22">
        <f>B231/C231*D231</f>
        <v>5.6914320873711741</v>
      </c>
      <c r="F231" s="170"/>
    </row>
    <row r="232" spans="1:6" ht="26" hidden="1" outlineLevel="2" x14ac:dyDescent="0.35">
      <c r="A232" s="48" t="str">
        <f>Базовый!A224</f>
        <v>Огнезащитная обработка веранд</v>
      </c>
      <c r="B232" s="19">
        <f>Базовый!C224</f>
        <v>0</v>
      </c>
      <c r="C232" s="22">
        <f>Базовый!T224</f>
        <v>1</v>
      </c>
      <c r="D232" s="22">
        <f>Базовый!U224</f>
        <v>43.333333333333336</v>
      </c>
      <c r="E232" s="22">
        <f>B232/C232*D232</f>
        <v>0</v>
      </c>
      <c r="F232" s="170"/>
    </row>
    <row r="233" spans="1:6" ht="30" customHeight="1" outlineLevel="1" collapsed="1" x14ac:dyDescent="0.35">
      <c r="A233" s="164" t="s">
        <v>44</v>
      </c>
      <c r="B233" s="164"/>
      <c r="C233" s="164"/>
      <c r="D233" s="164"/>
      <c r="E233" s="22">
        <f>SUM(E234:E235)</f>
        <v>129.0539916935856</v>
      </c>
      <c r="F233" s="170"/>
    </row>
    <row r="234" spans="1:6" ht="26" hidden="1" outlineLevel="2" x14ac:dyDescent="0.35">
      <c r="A234" s="48" t="str">
        <f>Базовый!A226</f>
        <v>Ростелеком внутризоновая связь</v>
      </c>
      <c r="B234" s="19">
        <f>Базовый!C226</f>
        <v>4.6146746654360873E-3</v>
      </c>
      <c r="C234" s="22">
        <f>Базовый!T226</f>
        <v>1</v>
      </c>
      <c r="D234" s="22">
        <f>Базовый!U226</f>
        <v>10974</v>
      </c>
      <c r="E234" s="22">
        <f>B234/C234*D234</f>
        <v>50.641439778495624</v>
      </c>
      <c r="F234" s="170"/>
    </row>
    <row r="235" spans="1:6" hidden="1" outlineLevel="2" x14ac:dyDescent="0.35">
      <c r="A235" s="48" t="str">
        <f>Базовый!A227</f>
        <v>Ростелеком интернет</v>
      </c>
      <c r="B235" s="19">
        <f>Базовый!C227</f>
        <v>4.6146746654360873E-3</v>
      </c>
      <c r="C235" s="22">
        <f>Базовый!T227</f>
        <v>1</v>
      </c>
      <c r="D235" s="22">
        <f>Базовый!U227</f>
        <v>16992</v>
      </c>
      <c r="E235" s="22">
        <f>B235/C235*D235</f>
        <v>78.412551915089992</v>
      </c>
      <c r="F235" s="170"/>
    </row>
    <row r="236" spans="1:6" ht="30" customHeight="1" outlineLevel="1" collapsed="1" x14ac:dyDescent="0.35">
      <c r="A236" s="164" t="s">
        <v>49</v>
      </c>
      <c r="B236" s="164"/>
      <c r="C236" s="164"/>
      <c r="D236" s="164"/>
      <c r="E236" s="22">
        <v>0</v>
      </c>
      <c r="F236" s="170"/>
    </row>
    <row r="237" spans="1:6" hidden="1" outlineLevel="2" x14ac:dyDescent="0.35">
      <c r="A237" s="48"/>
      <c r="B237" s="48"/>
      <c r="C237" s="48"/>
      <c r="D237" s="48"/>
      <c r="E237" s="48"/>
      <c r="F237" s="170"/>
    </row>
    <row r="238" spans="1:6" ht="30" customHeight="1" outlineLevel="1" collapsed="1" x14ac:dyDescent="0.35">
      <c r="A238" s="164" t="s">
        <v>65</v>
      </c>
      <c r="B238" s="164"/>
      <c r="C238" s="164"/>
      <c r="D238" s="164"/>
      <c r="E238" s="22">
        <f>SUM(E239:E240)</f>
        <v>0</v>
      </c>
      <c r="F238" s="170"/>
    </row>
    <row r="239" spans="1:6" hidden="1" outlineLevel="2" x14ac:dyDescent="0.35">
      <c r="A239" s="55"/>
      <c r="B239" s="60"/>
      <c r="C239" s="52"/>
      <c r="D239" s="52"/>
      <c r="E239" s="52"/>
      <c r="F239" s="170"/>
    </row>
    <row r="240" spans="1:6" hidden="1" outlineLevel="2" x14ac:dyDescent="0.35">
      <c r="A240" s="55"/>
      <c r="B240" s="60"/>
      <c r="C240" s="52"/>
      <c r="D240" s="52"/>
      <c r="E240" s="52"/>
      <c r="F240" s="170"/>
    </row>
    <row r="241" spans="1:6" ht="16.5" customHeight="1" outlineLevel="1" collapsed="1" x14ac:dyDescent="0.35">
      <c r="A241" s="164" t="s">
        <v>82</v>
      </c>
      <c r="B241" s="164"/>
      <c r="C241" s="164"/>
      <c r="D241" s="164"/>
      <c r="E241" s="22">
        <f>SUM(E242:E274)</f>
        <v>0</v>
      </c>
      <c r="F241" s="170"/>
    </row>
    <row r="242" spans="1:6" hidden="1" outlineLevel="2" x14ac:dyDescent="0.35">
      <c r="A242" s="55"/>
      <c r="B242" s="60"/>
      <c r="C242" s="52"/>
      <c r="D242" s="52"/>
      <c r="E242" s="52"/>
      <c r="F242" s="170"/>
    </row>
    <row r="243" spans="1:6" hidden="1" outlineLevel="2" x14ac:dyDescent="0.35">
      <c r="A243" s="55"/>
      <c r="B243" s="60"/>
      <c r="C243" s="52"/>
      <c r="D243" s="52"/>
      <c r="E243" s="52"/>
      <c r="F243" s="170"/>
    </row>
    <row r="244" spans="1:6" hidden="1" outlineLevel="2" x14ac:dyDescent="0.35">
      <c r="A244" s="55"/>
      <c r="B244" s="60"/>
      <c r="C244" s="52"/>
      <c r="D244" s="52"/>
      <c r="E244" s="52"/>
      <c r="F244" s="170"/>
    </row>
    <row r="245" spans="1:6" hidden="1" outlineLevel="2" x14ac:dyDescent="0.35">
      <c r="A245" s="48" t="str">
        <f>Базовый!A237</f>
        <v>Проверка пожарных кранов</v>
      </c>
      <c r="B245" s="19">
        <f>Базовый!C237</f>
        <v>0</v>
      </c>
      <c r="C245" s="22">
        <f>Базовый!T237</f>
        <v>1</v>
      </c>
      <c r="D245" s="22">
        <f>Базовый!U237</f>
        <v>910</v>
      </c>
      <c r="E245" s="22">
        <f t="shared" ref="E245:E274" si="4">B245/C245*D245</f>
        <v>0</v>
      </c>
      <c r="F245" s="170"/>
    </row>
    <row r="246" spans="1:6" hidden="1" outlineLevel="2" x14ac:dyDescent="0.35">
      <c r="A246" s="48" t="str">
        <f>Базовый!A238</f>
        <v>Испытание пожарного рукава</v>
      </c>
      <c r="B246" s="19">
        <f>Базовый!C238</f>
        <v>0</v>
      </c>
      <c r="C246" s="22">
        <f>Базовый!T238</f>
        <v>1</v>
      </c>
      <c r="D246" s="22">
        <f>Базовый!U238</f>
        <v>633.33333333333337</v>
      </c>
      <c r="E246" s="22">
        <f t="shared" si="4"/>
        <v>0</v>
      </c>
      <c r="F246" s="170"/>
    </row>
    <row r="247" spans="1:6" hidden="1" outlineLevel="2" x14ac:dyDescent="0.35">
      <c r="A247" s="48" t="str">
        <f>Базовый!A239</f>
        <v>Испытание пожарного крана</v>
      </c>
      <c r="B247" s="19">
        <f>Базовый!C239</f>
        <v>0</v>
      </c>
      <c r="C247" s="22">
        <f>Базовый!T239</f>
        <v>1</v>
      </c>
      <c r="D247" s="22">
        <f>Базовый!U239</f>
        <v>950</v>
      </c>
      <c r="E247" s="22">
        <f t="shared" si="4"/>
        <v>0</v>
      </c>
      <c r="F247" s="170"/>
    </row>
    <row r="248" spans="1:6" ht="26" hidden="1" outlineLevel="2" x14ac:dyDescent="0.35">
      <c r="A248" s="48" t="str">
        <f>Базовый!A240</f>
        <v>Перемотка рукава на другое ребро</v>
      </c>
      <c r="B248" s="19">
        <f>Базовый!C240</f>
        <v>0</v>
      </c>
      <c r="C248" s="22">
        <f>Базовый!T240</f>
        <v>1</v>
      </c>
      <c r="D248" s="22">
        <f>Базовый!U240</f>
        <v>400</v>
      </c>
      <c r="E248" s="22">
        <f t="shared" si="4"/>
        <v>0</v>
      </c>
      <c r="F248" s="170"/>
    </row>
    <row r="249" spans="1:6" hidden="1" outlineLevel="2" x14ac:dyDescent="0.35">
      <c r="A249" s="48" t="str">
        <f>Базовый!A241</f>
        <v>Огнетушители</v>
      </c>
      <c r="B249" s="19">
        <f>Базовый!C241</f>
        <v>0</v>
      </c>
      <c r="C249" s="22">
        <f>Базовый!T241</f>
        <v>1</v>
      </c>
      <c r="D249" s="22">
        <f>Базовый!U241</f>
        <v>1089.3333333333333</v>
      </c>
      <c r="E249" s="22">
        <f t="shared" si="4"/>
        <v>0</v>
      </c>
      <c r="F249" s="170"/>
    </row>
    <row r="250" spans="1:6" ht="26" hidden="1" outlineLevel="2" x14ac:dyDescent="0.35">
      <c r="A250" s="48" t="str">
        <f>Базовый!A242</f>
        <v>Поверка и ТО весы настольные циферблатные</v>
      </c>
      <c r="B250" s="19">
        <f>Базовый!C242</f>
        <v>0</v>
      </c>
      <c r="C250" s="22">
        <f>Базовый!T242</f>
        <v>1</v>
      </c>
      <c r="D250" s="22">
        <f>Базовый!U242</f>
        <v>1209.6400000000001</v>
      </c>
      <c r="E250" s="22">
        <f t="shared" si="4"/>
        <v>0</v>
      </c>
      <c r="F250" s="170"/>
    </row>
    <row r="251" spans="1:6" ht="26" hidden="1" outlineLevel="2" x14ac:dyDescent="0.35">
      <c r="A251" s="48" t="str">
        <f>Базовый!A243</f>
        <v>Поверка и ТО весы электронные торговые</v>
      </c>
      <c r="B251" s="19">
        <f>Базовый!C243</f>
        <v>0</v>
      </c>
      <c r="C251" s="22">
        <f>Базовый!T243</f>
        <v>1</v>
      </c>
      <c r="D251" s="22">
        <f>Базовый!U243</f>
        <v>1186.0933333333332</v>
      </c>
      <c r="E251" s="22">
        <f t="shared" si="4"/>
        <v>0</v>
      </c>
      <c r="F251" s="170"/>
    </row>
    <row r="252" spans="1:6" ht="26" hidden="1" outlineLevel="2" x14ac:dyDescent="0.35">
      <c r="A252" s="48" t="str">
        <f>Базовый!A244</f>
        <v>Поверка и ТО весы медицинские</v>
      </c>
      <c r="B252" s="19">
        <f>Базовый!C244</f>
        <v>0</v>
      </c>
      <c r="C252" s="22">
        <f>Базовый!T244</f>
        <v>1</v>
      </c>
      <c r="D252" s="22">
        <f>Базовый!U244</f>
        <v>944.91</v>
      </c>
      <c r="E252" s="22">
        <f t="shared" si="4"/>
        <v>0</v>
      </c>
      <c r="F252" s="170"/>
    </row>
    <row r="253" spans="1:6" ht="39" hidden="1" outlineLevel="2" x14ac:dyDescent="0.35">
      <c r="A253" s="48" t="str">
        <f>Базовый!A245</f>
        <v>Поверка и ТО весы напольные медицинские электронные ВМЭН 150</v>
      </c>
      <c r="B253" s="19">
        <f>Базовый!C245</f>
        <v>0</v>
      </c>
      <c r="C253" s="22">
        <f>Базовый!T245</f>
        <v>1</v>
      </c>
      <c r="D253" s="22">
        <f>Базовый!U245</f>
        <v>1157.73</v>
      </c>
      <c r="E253" s="22">
        <f t="shared" si="4"/>
        <v>0</v>
      </c>
      <c r="F253" s="170"/>
    </row>
    <row r="254" spans="1:6" ht="52" hidden="1" outlineLevel="2" x14ac:dyDescent="0.35">
      <c r="A254" s="48" t="str">
        <f>Базовый!A246</f>
        <v>Поверка и ТО весы электронные длястатистического взвешивания</v>
      </c>
      <c r="B254" s="19">
        <f>Базовый!C246</f>
        <v>0</v>
      </c>
      <c r="C254" s="22">
        <f>Базовый!T246</f>
        <v>1</v>
      </c>
      <c r="D254" s="22">
        <f>Базовый!U246</f>
        <v>1157.9666666666667</v>
      </c>
      <c r="E254" s="22">
        <f t="shared" si="4"/>
        <v>0</v>
      </c>
      <c r="F254" s="170"/>
    </row>
    <row r="255" spans="1:6" ht="39" hidden="1" outlineLevel="2" x14ac:dyDescent="0.35">
      <c r="A255" s="48" t="str">
        <f>Базовый!A247</f>
        <v>Поверка и ТО весы механические для статистического взвешивания</v>
      </c>
      <c r="B255" s="19">
        <f>Базовый!C247</f>
        <v>0</v>
      </c>
      <c r="C255" s="22">
        <f>Базовый!T247</f>
        <v>1</v>
      </c>
      <c r="D255" s="22">
        <f>Базовый!U247</f>
        <v>1017</v>
      </c>
      <c r="E255" s="22">
        <f t="shared" si="4"/>
        <v>0</v>
      </c>
      <c r="F255" s="170"/>
    </row>
    <row r="256" spans="1:6" ht="26" hidden="1" outlineLevel="2" x14ac:dyDescent="0.35">
      <c r="A256" s="48" t="str">
        <f>Базовый!A248</f>
        <v>Поверка и ТО гири общего назначения</v>
      </c>
      <c r="B256" s="19">
        <f>Базовый!C248</f>
        <v>0</v>
      </c>
      <c r="C256" s="22">
        <f>Базовый!T248</f>
        <v>1</v>
      </c>
      <c r="D256" s="22">
        <f>Базовый!U248</f>
        <v>66.47</v>
      </c>
      <c r="E256" s="22">
        <f t="shared" si="4"/>
        <v>0</v>
      </c>
      <c r="F256" s="170"/>
    </row>
    <row r="257" spans="1:6" ht="39" hidden="1" outlineLevel="2" x14ac:dyDescent="0.35">
      <c r="A257" s="48" t="str">
        <f>Базовый!A249</f>
        <v>Поверка динамометры медицинские кистевые механические</v>
      </c>
      <c r="B257" s="19">
        <f>Базовый!C249</f>
        <v>0</v>
      </c>
      <c r="C257" s="22">
        <f>Базовый!T249</f>
        <v>1</v>
      </c>
      <c r="D257" s="22">
        <f>Базовый!U249</f>
        <v>356</v>
      </c>
      <c r="E257" s="22">
        <f t="shared" si="4"/>
        <v>0</v>
      </c>
      <c r="F257" s="170"/>
    </row>
    <row r="258" spans="1:6" ht="26" hidden="1" outlineLevel="2" x14ac:dyDescent="0.35">
      <c r="A258" s="48" t="str">
        <f>Базовый!A250</f>
        <v>Метрологическая аттестация узлов учета</v>
      </c>
      <c r="B258" s="19">
        <f>Базовый!C250</f>
        <v>0</v>
      </c>
      <c r="C258" s="22">
        <f>Базовый!T250</f>
        <v>1</v>
      </c>
      <c r="D258" s="22">
        <f>Базовый!U250</f>
        <v>17500</v>
      </c>
      <c r="E258" s="22">
        <f t="shared" si="4"/>
        <v>0</v>
      </c>
      <c r="F258" s="170"/>
    </row>
    <row r="259" spans="1:6" hidden="1" outlineLevel="2" x14ac:dyDescent="0.35">
      <c r="A259" s="48" t="str">
        <f>Базовый!A251</f>
        <v>Ткань на половые тряпки</v>
      </c>
      <c r="B259" s="19">
        <f>Базовый!C251</f>
        <v>0</v>
      </c>
      <c r="C259" s="22">
        <f>Базовый!T251</f>
        <v>1</v>
      </c>
      <c r="D259" s="22">
        <f>Базовый!U251</f>
        <v>34.67</v>
      </c>
      <c r="E259" s="22">
        <f t="shared" si="4"/>
        <v>0</v>
      </c>
      <c r="F259" s="170"/>
    </row>
    <row r="260" spans="1:6" hidden="1" outlineLevel="2" x14ac:dyDescent="0.35">
      <c r="A260" s="48" t="str">
        <f>Базовый!A252</f>
        <v>Рукавицы ватные</v>
      </c>
      <c r="B260" s="19">
        <f>Базовый!C252</f>
        <v>0</v>
      </c>
      <c r="C260" s="22">
        <f>Базовый!T252</f>
        <v>1</v>
      </c>
      <c r="D260" s="22">
        <f>Базовый!U252</f>
        <v>153.33333333333334</v>
      </c>
      <c r="E260" s="22">
        <f t="shared" si="4"/>
        <v>0</v>
      </c>
      <c r="F260" s="170"/>
    </row>
    <row r="261" spans="1:6" hidden="1" outlineLevel="2" x14ac:dyDescent="0.35">
      <c r="A261" s="48" t="str">
        <f>Базовый!A253</f>
        <v>Перчатки обливные</v>
      </c>
      <c r="B261" s="19">
        <f>Базовый!C253</f>
        <v>0</v>
      </c>
      <c r="C261" s="22">
        <f>Базовый!T253</f>
        <v>1</v>
      </c>
      <c r="D261" s="22">
        <f>Базовый!U253</f>
        <v>80</v>
      </c>
      <c r="E261" s="22">
        <f t="shared" si="4"/>
        <v>0</v>
      </c>
      <c r="F261" s="170"/>
    </row>
    <row r="262" spans="1:6" hidden="1" outlineLevel="2" x14ac:dyDescent="0.35">
      <c r="A262" s="48" t="str">
        <f>Базовый!A254</f>
        <v>Ведро пластик</v>
      </c>
      <c r="B262" s="19">
        <f>Базовый!C254</f>
        <v>0</v>
      </c>
      <c r="C262" s="22">
        <f>Базовый!T254</f>
        <v>5</v>
      </c>
      <c r="D262" s="22">
        <f>Базовый!U254</f>
        <v>183.33333333333334</v>
      </c>
      <c r="E262" s="22">
        <f t="shared" si="4"/>
        <v>0</v>
      </c>
      <c r="F262" s="170"/>
    </row>
    <row r="263" spans="1:6" hidden="1" outlineLevel="2" x14ac:dyDescent="0.35">
      <c r="A263" s="48" t="str">
        <f>Базовый!A255</f>
        <v>Перчатки хозяйственные</v>
      </c>
      <c r="B263" s="19">
        <f>Базовый!C255</f>
        <v>0</v>
      </c>
      <c r="C263" s="22">
        <f>Базовый!T255</f>
        <v>1</v>
      </c>
      <c r="D263" s="22">
        <f>Базовый!U255</f>
        <v>76</v>
      </c>
      <c r="E263" s="22">
        <f t="shared" si="4"/>
        <v>0</v>
      </c>
      <c r="F263" s="170"/>
    </row>
    <row r="264" spans="1:6" hidden="1" outlineLevel="2" x14ac:dyDescent="0.35">
      <c r="A264" s="48" t="str">
        <f>Базовый!A256</f>
        <v>Лопата</v>
      </c>
      <c r="B264" s="19">
        <f>Базовый!C256</f>
        <v>0</v>
      </c>
      <c r="C264" s="22">
        <f>Базовый!T256</f>
        <v>5</v>
      </c>
      <c r="D264" s="22">
        <f>Базовый!U256</f>
        <v>305</v>
      </c>
      <c r="E264" s="22">
        <f t="shared" si="4"/>
        <v>0</v>
      </c>
      <c r="F264" s="170"/>
    </row>
    <row r="265" spans="1:6" hidden="1" outlineLevel="2" x14ac:dyDescent="0.35">
      <c r="A265" s="48" t="str">
        <f>Базовый!A257</f>
        <v>Метла</v>
      </c>
      <c r="B265" s="19">
        <f>Базовый!C257</f>
        <v>0</v>
      </c>
      <c r="C265" s="22">
        <f>Базовый!T257</f>
        <v>1</v>
      </c>
      <c r="D265" s="22">
        <f>Базовый!U257</f>
        <v>139.66666666666666</v>
      </c>
      <c r="E265" s="22">
        <f t="shared" si="4"/>
        <v>0</v>
      </c>
      <c r="F265" s="170"/>
    </row>
    <row r="266" spans="1:6" hidden="1" outlineLevel="2" x14ac:dyDescent="0.35">
      <c r="A266" s="48" t="str">
        <f>Базовый!A258</f>
        <v>Движок для снега</v>
      </c>
      <c r="B266" s="19">
        <f>Базовый!C258</f>
        <v>0</v>
      </c>
      <c r="C266" s="22">
        <f>Базовый!T258</f>
        <v>5</v>
      </c>
      <c r="D266" s="22">
        <f>Базовый!U258</f>
        <v>834.66666666666663</v>
      </c>
      <c r="E266" s="22">
        <f t="shared" si="4"/>
        <v>0</v>
      </c>
      <c r="F266" s="170"/>
    </row>
    <row r="267" spans="1:6" hidden="1" outlineLevel="2" x14ac:dyDescent="0.35">
      <c r="A267" s="48" t="str">
        <f>Базовый!A259</f>
        <v>Веник</v>
      </c>
      <c r="B267" s="19">
        <f>Базовый!C259</f>
        <v>0</v>
      </c>
      <c r="C267" s="22">
        <f>Базовый!T259</f>
        <v>1</v>
      </c>
      <c r="D267" s="22">
        <f>Базовый!U259</f>
        <v>98.13</v>
      </c>
      <c r="E267" s="22">
        <f t="shared" si="4"/>
        <v>0</v>
      </c>
      <c r="F267" s="170"/>
    </row>
    <row r="268" spans="1:6" hidden="1" outlineLevel="2" x14ac:dyDescent="0.35">
      <c r="A268" s="48" t="str">
        <f>Базовый!A260</f>
        <v>Скребок для льда</v>
      </c>
      <c r="B268" s="19">
        <f>Базовый!C260</f>
        <v>0</v>
      </c>
      <c r="C268" s="22">
        <f>Базовый!T260</f>
        <v>5</v>
      </c>
      <c r="D268" s="22">
        <f>Базовый!U260</f>
        <v>975.5</v>
      </c>
      <c r="E268" s="22">
        <f t="shared" si="4"/>
        <v>0</v>
      </c>
      <c r="F268" s="170"/>
    </row>
    <row r="269" spans="1:6" hidden="1" outlineLevel="2" x14ac:dyDescent="0.35">
      <c r="A269" s="48" t="str">
        <f>Базовый!A261</f>
        <v>Грабли</v>
      </c>
      <c r="B269" s="19">
        <f>Базовый!C261</f>
        <v>0</v>
      </c>
      <c r="C269" s="22">
        <f>Базовый!T261</f>
        <v>5</v>
      </c>
      <c r="D269" s="22">
        <f>Базовый!U261</f>
        <v>152.69666666666669</v>
      </c>
      <c r="E269" s="22">
        <f t="shared" si="4"/>
        <v>0</v>
      </c>
      <c r="F269" s="170"/>
    </row>
    <row r="270" spans="1:6" hidden="1" outlineLevel="2" x14ac:dyDescent="0.35">
      <c r="A270" s="48" t="str">
        <f>Базовый!A262</f>
        <v>Тачка садовая</v>
      </c>
      <c r="B270" s="19">
        <f>Базовый!C262</f>
        <v>0</v>
      </c>
      <c r="C270" s="22">
        <f>Базовый!T262</f>
        <v>5</v>
      </c>
      <c r="D270" s="22">
        <f>Базовый!U262</f>
        <v>2326.3333333333335</v>
      </c>
      <c r="E270" s="22">
        <f t="shared" si="4"/>
        <v>0</v>
      </c>
      <c r="F270" s="170"/>
    </row>
    <row r="271" spans="1:6" hidden="1" outlineLevel="2" x14ac:dyDescent="0.35">
      <c r="A271" s="48" t="str">
        <f>Базовый!A263</f>
        <v>Ерш унитазный</v>
      </c>
      <c r="B271" s="19">
        <f>Базовый!C263</f>
        <v>0</v>
      </c>
      <c r="C271" s="22">
        <f>Базовый!T263</f>
        <v>5</v>
      </c>
      <c r="D271" s="22">
        <f>Базовый!U263</f>
        <v>49.666666666666664</v>
      </c>
      <c r="E271" s="22">
        <f t="shared" si="4"/>
        <v>0</v>
      </c>
      <c r="F271" s="170"/>
    </row>
    <row r="272" spans="1:6" hidden="1" outlineLevel="2" x14ac:dyDescent="0.35">
      <c r="A272" s="48" t="str">
        <f>Базовый!A264</f>
        <v>Швабра деревянная в сборе</v>
      </c>
      <c r="B272" s="19">
        <f>Базовый!C264</f>
        <v>0</v>
      </c>
      <c r="C272" s="22">
        <f>Базовый!T264</f>
        <v>5</v>
      </c>
      <c r="D272" s="22">
        <f>Базовый!U264</f>
        <v>93.666666666666671</v>
      </c>
      <c r="E272" s="22">
        <f t="shared" si="4"/>
        <v>0</v>
      </c>
      <c r="F272" s="170"/>
    </row>
    <row r="273" spans="1:6" ht="26" hidden="1" outlineLevel="2" x14ac:dyDescent="0.35">
      <c r="A273" s="48" t="str">
        <f>Базовый!A265</f>
        <v>Ведро эмалированное 12л с крышкой</v>
      </c>
      <c r="B273" s="19">
        <f>Базовый!C265</f>
        <v>0</v>
      </c>
      <c r="C273" s="22">
        <f>Базовый!T265</f>
        <v>5</v>
      </c>
      <c r="D273" s="22">
        <f>Базовый!U265</f>
        <v>869.66666666666663</v>
      </c>
      <c r="E273" s="22">
        <f t="shared" si="4"/>
        <v>0</v>
      </c>
      <c r="F273" s="170"/>
    </row>
    <row r="274" spans="1:6" hidden="1" outlineLevel="2" x14ac:dyDescent="0.35">
      <c r="A274" s="48" t="str">
        <f>Базовый!A266</f>
        <v>Ведро 10л</v>
      </c>
      <c r="B274" s="19">
        <f>Базовый!C266</f>
        <v>0</v>
      </c>
      <c r="C274" s="22">
        <f>Базовый!T266</f>
        <v>5</v>
      </c>
      <c r="D274" s="22">
        <f>Базовый!U266</f>
        <v>153.29999999999998</v>
      </c>
      <c r="E274" s="22">
        <f t="shared" si="4"/>
        <v>0</v>
      </c>
      <c r="F274" s="170"/>
    </row>
    <row r="275" spans="1:6" x14ac:dyDescent="0.35">
      <c r="A275" s="165" t="s">
        <v>382</v>
      </c>
      <c r="B275" s="165"/>
      <c r="C275" s="165"/>
      <c r="D275" s="165"/>
      <c r="E275" s="23">
        <f>E11+E205</f>
        <v>17069.963248942426</v>
      </c>
      <c r="F275" s="171"/>
    </row>
  </sheetData>
  <autoFilter ref="A8:F8"/>
  <mergeCells count="18">
    <mergeCell ref="A241:D241"/>
    <mergeCell ref="A275:D275"/>
    <mergeCell ref="A238:D238"/>
    <mergeCell ref="A236:D236"/>
    <mergeCell ref="A4:F4"/>
    <mergeCell ref="A5:F5"/>
    <mergeCell ref="A9:F9"/>
    <mergeCell ref="A10:F10"/>
    <mergeCell ref="A11:D11"/>
    <mergeCell ref="F11:F275"/>
    <mergeCell ref="A12:D12"/>
    <mergeCell ref="A16:D16"/>
    <mergeCell ref="A205:D205"/>
    <mergeCell ref="A230:D230"/>
    <mergeCell ref="A233:D233"/>
    <mergeCell ref="A107:D107"/>
    <mergeCell ref="A206:D206"/>
    <mergeCell ref="A214:D214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85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24" customWidth="1"/>
    <col min="2" max="2" width="28.81640625" style="24" customWidth="1"/>
    <col min="3" max="4" width="30.7265625" style="24" customWidth="1"/>
    <col min="5" max="16384" width="8.81640625" style="24"/>
  </cols>
  <sheetData>
    <row r="1" spans="1:4" ht="14.5" customHeight="1" x14ac:dyDescent="0.3">
      <c r="D1" s="145" t="s">
        <v>416</v>
      </c>
    </row>
    <row r="2" spans="1:4" ht="69" customHeight="1" x14ac:dyDescent="0.3">
      <c r="D2" s="146" t="s">
        <v>515</v>
      </c>
    </row>
    <row r="4" spans="1:4" x14ac:dyDescent="0.3">
      <c r="A4" s="176" t="s">
        <v>350</v>
      </c>
      <c r="B4" s="176"/>
      <c r="C4" s="176"/>
      <c r="D4" s="176"/>
    </row>
    <row r="5" spans="1:4" x14ac:dyDescent="0.3">
      <c r="A5" s="176" t="s">
        <v>351</v>
      </c>
      <c r="B5" s="176"/>
      <c r="C5" s="176"/>
      <c r="D5" s="176"/>
    </row>
    <row r="6" spans="1:4" x14ac:dyDescent="0.3">
      <c r="A6" s="176" t="s">
        <v>352</v>
      </c>
      <c r="B6" s="176"/>
      <c r="C6" s="176"/>
      <c r="D6" s="176"/>
    </row>
    <row r="7" spans="1:4" x14ac:dyDescent="0.3">
      <c r="A7" s="176" t="s">
        <v>353</v>
      </c>
      <c r="B7" s="176"/>
      <c r="C7" s="176"/>
      <c r="D7" s="176"/>
    </row>
    <row r="8" spans="1:4" x14ac:dyDescent="0.3">
      <c r="A8" s="62"/>
    </row>
    <row r="9" spans="1:4" ht="16.5" customHeight="1" x14ac:dyDescent="0.3">
      <c r="A9" s="58" t="s">
        <v>354</v>
      </c>
      <c r="B9" s="58" t="s">
        <v>355</v>
      </c>
      <c r="C9" s="58" t="s">
        <v>356</v>
      </c>
      <c r="D9" s="58" t="s">
        <v>357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177" t="s">
        <v>358</v>
      </c>
      <c r="B11" s="177"/>
      <c r="C11" s="177"/>
      <c r="D11" s="177"/>
    </row>
    <row r="12" spans="1:4" ht="12.75" customHeight="1" x14ac:dyDescent="0.3">
      <c r="A12" s="167" t="s">
        <v>428</v>
      </c>
      <c r="B12" s="167"/>
      <c r="C12" s="167"/>
      <c r="D12" s="167"/>
    </row>
    <row r="13" spans="1:4" x14ac:dyDescent="0.3">
      <c r="A13" s="177" t="s">
        <v>359</v>
      </c>
      <c r="B13" s="177"/>
      <c r="C13" s="177"/>
      <c r="D13" s="177"/>
    </row>
    <row r="14" spans="1:4" ht="30" customHeight="1" x14ac:dyDescent="0.3">
      <c r="A14" s="167" t="s">
        <v>449</v>
      </c>
      <c r="B14" s="167"/>
      <c r="C14" s="167"/>
      <c r="D14" s="167"/>
    </row>
    <row r="15" spans="1:4" x14ac:dyDescent="0.3">
      <c r="A15" s="175" t="s">
        <v>360</v>
      </c>
      <c r="B15" s="175"/>
      <c r="C15" s="175"/>
      <c r="D15" s="175"/>
    </row>
    <row r="16" spans="1:4" outlineLevel="1" collapsed="1" x14ac:dyDescent="0.3">
      <c r="A16" s="175" t="s">
        <v>361</v>
      </c>
      <c r="B16" s="175"/>
      <c r="C16" s="175"/>
      <c r="D16" s="175"/>
    </row>
    <row r="17" spans="1:4" s="14" customFormat="1" hidden="1" outlineLevel="2" x14ac:dyDescent="0.3">
      <c r="A17" s="48"/>
      <c r="B17" s="16"/>
      <c r="C17" s="19"/>
      <c r="D17" s="169" t="s">
        <v>414</v>
      </c>
    </row>
    <row r="18" spans="1:4" outlineLevel="2" x14ac:dyDescent="0.3">
      <c r="A18" s="55" t="str">
        <f>Базовый!A6</f>
        <v>Средний медицинский персонал</v>
      </c>
      <c r="B18" s="58" t="str">
        <f>Базовый!B6</f>
        <v>шт.ед.</v>
      </c>
      <c r="C18" s="60">
        <f>Базовый!C6</f>
        <v>9.6908167974157824E-3</v>
      </c>
      <c r="D18" s="170"/>
    </row>
    <row r="19" spans="1:4" outlineLevel="2" x14ac:dyDescent="0.3">
      <c r="A19" s="55" t="str">
        <f>Базовый!A7</f>
        <v xml:space="preserve">Учебно-вспомогательный </v>
      </c>
      <c r="B19" s="58" t="str">
        <f>Базовый!B7</f>
        <v>шт.ед.</v>
      </c>
      <c r="C19" s="60">
        <f>Базовый!C7</f>
        <v>4.6146746654360873E-3</v>
      </c>
      <c r="D19" s="171"/>
    </row>
    <row r="20" spans="1:4" outlineLevel="1" x14ac:dyDescent="0.3">
      <c r="A20" s="175" t="s">
        <v>362</v>
      </c>
      <c r="B20" s="175"/>
      <c r="C20" s="175"/>
      <c r="D20" s="175"/>
    </row>
    <row r="21" spans="1:4" outlineLevel="2" x14ac:dyDescent="0.3">
      <c r="A21" s="55" t="str">
        <f>Базовый!A9</f>
        <v>Приобретение продуктов питания</v>
      </c>
      <c r="B21" s="58" t="str">
        <f>Базовый!B9</f>
        <v>х</v>
      </c>
      <c r="C21" s="60" t="str">
        <f>Базовый!C9</f>
        <v>х</v>
      </c>
      <c r="D21" s="169" t="s">
        <v>414</v>
      </c>
    </row>
    <row r="22" spans="1:4" ht="26" outlineLevel="3" x14ac:dyDescent="0.3">
      <c r="A22" s="55" t="str">
        <f>Базовый!A10</f>
        <v>Продукты питания, согласно СанПиН 2.4.1.3049-13.</v>
      </c>
      <c r="B22" s="58" t="str">
        <f>Базовый!B10</f>
        <v>усл. ед.</v>
      </c>
      <c r="C22" s="60">
        <f>Базовый!C10</f>
        <v>135.38070000000002</v>
      </c>
      <c r="D22" s="170"/>
    </row>
    <row r="23" spans="1:4" ht="26" outlineLevel="2" x14ac:dyDescent="0.3">
      <c r="A23" s="55" t="str">
        <f>Базовый!A11</f>
        <v>Приобретение постельных принадлежностей</v>
      </c>
      <c r="B23" s="58" t="str">
        <f>Базовый!B11</f>
        <v>х</v>
      </c>
      <c r="C23" s="60" t="str">
        <f>Базовый!C11</f>
        <v>х</v>
      </c>
      <c r="D23" s="170"/>
    </row>
    <row r="24" spans="1:4" outlineLevel="3" x14ac:dyDescent="0.3">
      <c r="A24" s="55" t="str">
        <f>Базовый!A12</f>
        <v>Приобретение матрасов</v>
      </c>
      <c r="B24" s="58" t="str">
        <f>Базовый!B12</f>
        <v>шт.</v>
      </c>
      <c r="C24" s="60">
        <f>Базовый!C12</f>
        <v>1</v>
      </c>
      <c r="D24" s="170"/>
    </row>
    <row r="25" spans="1:4" outlineLevel="3" x14ac:dyDescent="0.3">
      <c r="A25" s="55" t="str">
        <f>Базовый!A13</f>
        <v>Приобретение подушек</v>
      </c>
      <c r="B25" s="58" t="str">
        <f>Базовый!B13</f>
        <v>шт.</v>
      </c>
      <c r="C25" s="60">
        <f>Базовый!C13</f>
        <v>1</v>
      </c>
      <c r="D25" s="170"/>
    </row>
    <row r="26" spans="1:4" outlineLevel="3" x14ac:dyDescent="0.3">
      <c r="A26" s="55" t="str">
        <f>Базовый!A14</f>
        <v>Одеяло детское</v>
      </c>
      <c r="B26" s="58" t="str">
        <f>Базовый!B14</f>
        <v>шт.</v>
      </c>
      <c r="C26" s="60">
        <f>Базовый!C14</f>
        <v>1</v>
      </c>
      <c r="D26" s="170"/>
    </row>
    <row r="27" spans="1:4" outlineLevel="3" x14ac:dyDescent="0.3">
      <c r="A27" s="55" t="str">
        <f>Базовый!A15</f>
        <v>Наволочки</v>
      </c>
      <c r="B27" s="58" t="str">
        <f>Базовый!B15</f>
        <v>шт.</v>
      </c>
      <c r="C27" s="60">
        <f>Базовый!C15</f>
        <v>1</v>
      </c>
      <c r="D27" s="170"/>
    </row>
    <row r="28" spans="1:4" outlineLevel="3" x14ac:dyDescent="0.3">
      <c r="A28" s="55" t="str">
        <f>Базовый!A16</f>
        <v>Простыни</v>
      </c>
      <c r="B28" s="58" t="str">
        <f>Базовый!B16</f>
        <v>шт.</v>
      </c>
      <c r="C28" s="60">
        <f>Базовый!C16</f>
        <v>1</v>
      </c>
      <c r="D28" s="170"/>
    </row>
    <row r="29" spans="1:4" outlineLevel="3" x14ac:dyDescent="0.3">
      <c r="A29" s="55" t="str">
        <f>Базовый!A17</f>
        <v>Пододеяльники</v>
      </c>
      <c r="B29" s="58" t="str">
        <f>Базовый!B17</f>
        <v>шт.</v>
      </c>
      <c r="C29" s="60">
        <f>Базовый!C17</f>
        <v>1</v>
      </c>
      <c r="D29" s="170"/>
    </row>
    <row r="30" spans="1:4" outlineLevel="3" x14ac:dyDescent="0.3">
      <c r="A30" s="55" t="str">
        <f>Базовый!A18</f>
        <v>Полотенце вафельное</v>
      </c>
      <c r="B30" s="58" t="str">
        <f>Базовый!B18</f>
        <v>шт.</v>
      </c>
      <c r="C30" s="60">
        <f>Базовый!C18</f>
        <v>1</v>
      </c>
      <c r="D30" s="170"/>
    </row>
    <row r="31" spans="1:4" outlineLevel="2" x14ac:dyDescent="0.3">
      <c r="A31" s="55" t="str">
        <f>Базовый!A19</f>
        <v>Мебель детская</v>
      </c>
      <c r="B31" s="58" t="str">
        <f>Базовый!B19</f>
        <v>х</v>
      </c>
      <c r="C31" s="60" t="str">
        <f>Базовый!C19</f>
        <v>х</v>
      </c>
      <c r="D31" s="170"/>
    </row>
    <row r="32" spans="1:4" outlineLevel="3" x14ac:dyDescent="0.3">
      <c r="A32" s="55" t="str">
        <f>Базовый!A20</f>
        <v>Кровать детская</v>
      </c>
      <c r="B32" s="58" t="str">
        <f>Базовый!B20</f>
        <v>шт.</v>
      </c>
      <c r="C32" s="60">
        <f>Базовый!C20</f>
        <v>1</v>
      </c>
      <c r="D32" s="170"/>
    </row>
    <row r="33" spans="1:4" outlineLevel="3" x14ac:dyDescent="0.3">
      <c r="A33" s="55" t="str">
        <f>Базовый!A21</f>
        <v>Стулья детские</v>
      </c>
      <c r="B33" s="58" t="str">
        <f>Базовый!B21</f>
        <v>шт.</v>
      </c>
      <c r="C33" s="60">
        <f>Базовый!C21</f>
        <v>1</v>
      </c>
      <c r="D33" s="170"/>
    </row>
    <row r="34" spans="1:4" outlineLevel="3" x14ac:dyDescent="0.3">
      <c r="A34" s="55" t="str">
        <f>Базовый!A22</f>
        <v>Шкаф для одежды,96*175*37</v>
      </c>
      <c r="B34" s="58" t="str">
        <f>Базовый!B22</f>
        <v>шт.</v>
      </c>
      <c r="C34" s="60">
        <f>Базовый!C22</f>
        <v>0.2</v>
      </c>
      <c r="D34" s="170"/>
    </row>
    <row r="35" spans="1:4" outlineLevel="3" x14ac:dyDescent="0.3">
      <c r="A35" s="55" t="str">
        <f>Базовый!A23</f>
        <v>Скамейка,125*40*25</v>
      </c>
      <c r="B35" s="58" t="str">
        <f>Базовый!B23</f>
        <v>шт.</v>
      </c>
      <c r="C35" s="60">
        <f>Базовый!C23</f>
        <v>0.25</v>
      </c>
      <c r="D35" s="170"/>
    </row>
    <row r="36" spans="1:4" ht="26" outlineLevel="3" x14ac:dyDescent="0.3">
      <c r="A36" s="55" t="str">
        <f>Базовый!A24</f>
        <v>Стол детский прямоугольный регулируемый</v>
      </c>
      <c r="B36" s="58" t="str">
        <f>Базовый!B24</f>
        <v>шт.</v>
      </c>
      <c r="C36" s="60">
        <f>Базовый!C24</f>
        <v>9.8360655737704916E-2</v>
      </c>
      <c r="D36" s="170"/>
    </row>
    <row r="37" spans="1:4" ht="26" outlineLevel="3" x14ac:dyDescent="0.3">
      <c r="A37" s="55" t="str">
        <f>Базовый!A25</f>
        <v>Стол детский квадратный регулируемый</v>
      </c>
      <c r="B37" s="58" t="str">
        <f>Базовый!B25</f>
        <v>шт.</v>
      </c>
      <c r="C37" s="60">
        <f>Базовый!C25</f>
        <v>4.9180327868852458E-2</v>
      </c>
      <c r="D37" s="170"/>
    </row>
    <row r="38" spans="1:4" outlineLevel="3" x14ac:dyDescent="0.3">
      <c r="A38" s="55" t="str">
        <f>Базовый!A26</f>
        <v>Стол разделочный (пищеблок)</v>
      </c>
      <c r="B38" s="58" t="str">
        <f>Базовый!B26</f>
        <v>шт.</v>
      </c>
      <c r="C38" s="60">
        <f>Базовый!C26</f>
        <v>2.7777777777777776E-2</v>
      </c>
      <c r="D38" s="170"/>
    </row>
    <row r="39" spans="1:4" outlineLevel="3" x14ac:dyDescent="0.3">
      <c r="A39" s="55" t="str">
        <f>Базовый!A27</f>
        <v>Стеллаж (пищеблок)</v>
      </c>
      <c r="B39" s="58" t="str">
        <f>Базовый!B27</f>
        <v>шт.</v>
      </c>
      <c r="C39" s="60">
        <f>Базовый!C27</f>
        <v>9.2592592592592587E-3</v>
      </c>
      <c r="D39" s="170"/>
    </row>
    <row r="40" spans="1:4" ht="26" outlineLevel="3" x14ac:dyDescent="0.3">
      <c r="A40" s="55" t="str">
        <f>Базовый!A28</f>
        <v>Кухонный гарнитур со стойкой 100см</v>
      </c>
      <c r="B40" s="58" t="str">
        <f>Базовый!B28</f>
        <v>шт.</v>
      </c>
      <c r="C40" s="60">
        <f>Базовый!C28</f>
        <v>8.4033613445378148E-3</v>
      </c>
      <c r="D40" s="170"/>
    </row>
    <row r="41" spans="1:4" outlineLevel="3" x14ac:dyDescent="0.3">
      <c r="A41" s="55" t="str">
        <f>Базовый!A29</f>
        <v>Стол кухонный со столешницей</v>
      </c>
      <c r="B41" s="58" t="str">
        <f>Базовый!B29</f>
        <v>шт.</v>
      </c>
      <c r="C41" s="60">
        <f>Базовый!C29</f>
        <v>8.5470085470085479E-3</v>
      </c>
      <c r="D41" s="170"/>
    </row>
    <row r="42" spans="1:4" ht="26" outlineLevel="3" x14ac:dyDescent="0.3">
      <c r="A42" s="55" t="str">
        <f>Базовый!A30</f>
        <v>Шкаф для доски и полотенец на металлических ножках,145*100*35</v>
      </c>
      <c r="B42" s="58" t="str">
        <f>Базовый!B30</f>
        <v>шт.</v>
      </c>
      <c r="C42" s="60">
        <f>Базовый!C30</f>
        <v>8.4033613445378148E-3</v>
      </c>
      <c r="D42" s="170"/>
    </row>
    <row r="43" spans="1:4" outlineLevel="3" x14ac:dyDescent="0.3">
      <c r="A43" s="55" t="str">
        <f>Базовый!A31</f>
        <v>Шкаф для книг</v>
      </c>
      <c r="B43" s="58" t="str">
        <f>Базовый!B31</f>
        <v>шт.</v>
      </c>
      <c r="C43" s="60">
        <f>Базовый!C31</f>
        <v>1.680672268907563E-2</v>
      </c>
      <c r="D43" s="170"/>
    </row>
    <row r="44" spans="1:4" outlineLevel="3" x14ac:dyDescent="0.3">
      <c r="A44" s="55" t="str">
        <f>Базовый!A32</f>
        <v>Шкаф для документов</v>
      </c>
      <c r="B44" s="58" t="str">
        <f>Базовый!B32</f>
        <v>шт.</v>
      </c>
      <c r="C44" s="60">
        <f>Базовый!C32</f>
        <v>8.1967213114754103E-3</v>
      </c>
      <c r="D44" s="170"/>
    </row>
    <row r="45" spans="1:4" ht="26" outlineLevel="3" x14ac:dyDescent="0.3">
      <c r="A45" s="55" t="str">
        <f>Базовый!A33</f>
        <v>Шкаф для сотрудников трехстворчатый</v>
      </c>
      <c r="B45" s="58" t="str">
        <f>Базовый!B33</f>
        <v>шт.</v>
      </c>
      <c r="C45" s="60">
        <f>Базовый!C33</f>
        <v>8.5470085470085479E-3</v>
      </c>
      <c r="D45" s="170"/>
    </row>
    <row r="46" spans="1:4" outlineLevel="3" x14ac:dyDescent="0.3">
      <c r="A46" s="55" t="str">
        <f>Базовый!A34</f>
        <v>Стул офисный</v>
      </c>
      <c r="B46" s="58" t="str">
        <f>Базовый!B34</f>
        <v>шт.</v>
      </c>
      <c r="C46" s="60">
        <f>Базовый!C34</f>
        <v>0.12820512820512819</v>
      </c>
      <c r="D46" s="170"/>
    </row>
    <row r="47" spans="1:4" ht="26" outlineLevel="3" x14ac:dyDescent="0.3">
      <c r="A47" s="55" t="str">
        <f>Базовый!A35</f>
        <v>Стол письменный с ящиками на металлических опорах,90*60*75</v>
      </c>
      <c r="B47" s="58" t="str">
        <f>Базовый!B35</f>
        <v>шт.</v>
      </c>
      <c r="C47" s="60">
        <f>Базовый!C35</f>
        <v>4.6296296296296294E-2</v>
      </c>
      <c r="D47" s="170"/>
    </row>
    <row r="48" spans="1:4" outlineLevel="3" x14ac:dyDescent="0.3">
      <c r="A48" s="55" t="str">
        <f>Базовый!A36</f>
        <v>Стол компьютерный угловой</v>
      </c>
      <c r="B48" s="58" t="str">
        <f>Базовый!B36</f>
        <v>шт.</v>
      </c>
      <c r="C48" s="60">
        <f>Базовый!C36</f>
        <v>8.1967213114754103E-3</v>
      </c>
      <c r="D48" s="170"/>
    </row>
    <row r="49" spans="1:4" outlineLevel="3" x14ac:dyDescent="0.3">
      <c r="A49" s="55" t="str">
        <f>Базовый!A37</f>
        <v>Стол журнальный</v>
      </c>
      <c r="B49" s="58" t="str">
        <f>Базовый!B37</f>
        <v>шт.</v>
      </c>
      <c r="C49" s="60">
        <f>Базовый!C37</f>
        <v>8.1967213114754103E-3</v>
      </c>
      <c r="D49" s="170"/>
    </row>
    <row r="50" spans="1:4" outlineLevel="2" x14ac:dyDescent="0.3">
      <c r="A50" s="55" t="str">
        <f>Базовый!A38</f>
        <v>Посуда</v>
      </c>
      <c r="B50" s="58" t="str">
        <f>Базовый!B38</f>
        <v>х</v>
      </c>
      <c r="C50" s="60" t="str">
        <f>Базовый!C38</f>
        <v>х</v>
      </c>
      <c r="D50" s="170"/>
    </row>
    <row r="51" spans="1:4" outlineLevel="3" x14ac:dyDescent="0.3">
      <c r="A51" s="55" t="str">
        <f>Базовый!A39</f>
        <v>Кастрюля 3л</v>
      </c>
      <c r="B51" s="58" t="str">
        <f>Базовый!B39</f>
        <v>шт.</v>
      </c>
      <c r="C51" s="60">
        <f>Базовый!C39</f>
        <v>7.6923076923076927E-2</v>
      </c>
      <c r="D51" s="170"/>
    </row>
    <row r="52" spans="1:4" outlineLevel="3" x14ac:dyDescent="0.3">
      <c r="A52" s="55" t="str">
        <f>Базовый!A40</f>
        <v>Кастрюля 5л</v>
      </c>
      <c r="B52" s="58" t="str">
        <f>Базовый!B40</f>
        <v>шт.</v>
      </c>
      <c r="C52" s="60">
        <f>Базовый!C40</f>
        <v>6.8376068376068383E-2</v>
      </c>
      <c r="D52" s="170"/>
    </row>
    <row r="53" spans="1:4" outlineLevel="3" x14ac:dyDescent="0.3">
      <c r="A53" s="55" t="str">
        <f>Базовый!A41</f>
        <v>Кастрюля 11л</v>
      </c>
      <c r="B53" s="58" t="str">
        <f>Базовый!B41</f>
        <v>шт.</v>
      </c>
      <c r="C53" s="60">
        <f>Базовый!C41</f>
        <v>6.8376068376068383E-2</v>
      </c>
      <c r="D53" s="170"/>
    </row>
    <row r="54" spans="1:4" outlineLevel="3" x14ac:dyDescent="0.3">
      <c r="A54" s="55" t="str">
        <f>Базовый!A42</f>
        <v>Кастрюля 15л</v>
      </c>
      <c r="B54" s="58" t="str">
        <f>Базовый!B42</f>
        <v>шт.</v>
      </c>
      <c r="C54" s="60">
        <f>Базовый!C42</f>
        <v>8.5470085470085479E-3</v>
      </c>
      <c r="D54" s="170"/>
    </row>
    <row r="55" spans="1:4" outlineLevel="3" x14ac:dyDescent="0.3">
      <c r="A55" s="55" t="str">
        <f>Базовый!A43</f>
        <v>Котел 20л</v>
      </c>
      <c r="B55" s="58" t="str">
        <f>Базовый!B43</f>
        <v>шт.</v>
      </c>
      <c r="C55" s="60">
        <f>Базовый!C43</f>
        <v>1.680672268907563E-2</v>
      </c>
      <c r="D55" s="170"/>
    </row>
    <row r="56" spans="1:4" outlineLevel="3" x14ac:dyDescent="0.3">
      <c r="A56" s="55" t="str">
        <f>Базовый!A44</f>
        <v>Котел 30л</v>
      </c>
      <c r="B56" s="58" t="str">
        <f>Базовый!B44</f>
        <v>шт.</v>
      </c>
      <c r="C56" s="60">
        <f>Базовый!C44</f>
        <v>1.680672268907563E-2</v>
      </c>
      <c r="D56" s="170"/>
    </row>
    <row r="57" spans="1:4" outlineLevel="3" x14ac:dyDescent="0.3">
      <c r="A57" s="55" t="str">
        <f>Базовый!A45</f>
        <v>Котел 40л</v>
      </c>
      <c r="B57" s="58" t="str">
        <f>Базовый!B45</f>
        <v>шт.</v>
      </c>
      <c r="C57" s="60">
        <f>Базовый!C45</f>
        <v>1.680672268907563E-2</v>
      </c>
      <c r="D57" s="170"/>
    </row>
    <row r="58" spans="1:4" outlineLevel="3" x14ac:dyDescent="0.3">
      <c r="A58" s="55" t="str">
        <f>Базовый!A46</f>
        <v>Котел 34-37л</v>
      </c>
      <c r="B58" s="58" t="str">
        <f>Базовый!B46</f>
        <v>шт.</v>
      </c>
      <c r="C58" s="60">
        <f>Базовый!C46</f>
        <v>1.680672268907563E-2</v>
      </c>
      <c r="D58" s="170"/>
    </row>
    <row r="59" spans="1:4" outlineLevel="3" x14ac:dyDescent="0.3">
      <c r="A59" s="55" t="str">
        <f>Базовый!A47</f>
        <v>Миска нерж (600мл)</v>
      </c>
      <c r="B59" s="58" t="str">
        <f>Базовый!B47</f>
        <v>шт.</v>
      </c>
      <c r="C59" s="60">
        <f>Базовый!C47</f>
        <v>5.128205128205128E-2</v>
      </c>
      <c r="D59" s="170"/>
    </row>
    <row r="60" spans="1:4" outlineLevel="3" x14ac:dyDescent="0.3">
      <c r="A60" s="55" t="str">
        <f>Базовый!A48</f>
        <v>Миска нерж (6 л)</v>
      </c>
      <c r="B60" s="58" t="str">
        <f>Базовый!B48</f>
        <v>шт.</v>
      </c>
      <c r="C60" s="60">
        <f>Базовый!C48</f>
        <v>4.2735042735042736E-2</v>
      </c>
      <c r="D60" s="170"/>
    </row>
    <row r="61" spans="1:4" outlineLevel="3" x14ac:dyDescent="0.3">
      <c r="A61" s="55" t="str">
        <f>Базовый!A49</f>
        <v>Миска Д-260</v>
      </c>
      <c r="B61" s="58" t="str">
        <f>Базовый!B49</f>
        <v>шт.</v>
      </c>
      <c r="C61" s="60">
        <f>Базовый!C49</f>
        <v>2.5210084033613446E-2</v>
      </c>
      <c r="D61" s="170"/>
    </row>
    <row r="62" spans="1:4" outlineLevel="3" x14ac:dyDescent="0.3">
      <c r="A62" s="55" t="str">
        <f>Базовый!A50</f>
        <v>Миска Д-480</v>
      </c>
      <c r="B62" s="58" t="str">
        <f>Базовый!B50</f>
        <v>шт.</v>
      </c>
      <c r="C62" s="60">
        <f>Базовый!C50</f>
        <v>1.680672268907563E-2</v>
      </c>
      <c r="D62" s="170"/>
    </row>
    <row r="63" spans="1:4" outlineLevel="3" x14ac:dyDescent="0.3">
      <c r="A63" s="55" t="str">
        <f>Базовый!A51</f>
        <v>Таз 20 л</v>
      </c>
      <c r="B63" s="58" t="str">
        <f>Базовый!B51</f>
        <v>шт.</v>
      </c>
      <c r="C63" s="60">
        <f>Базовый!C51</f>
        <v>0.05</v>
      </c>
      <c r="D63" s="170"/>
    </row>
    <row r="64" spans="1:4" outlineLevel="3" x14ac:dyDescent="0.3">
      <c r="A64" s="55" t="str">
        <f>Базовый!A52</f>
        <v>Таз 30 л</v>
      </c>
      <c r="B64" s="58" t="str">
        <f>Базовый!B52</f>
        <v>шт.</v>
      </c>
      <c r="C64" s="60">
        <f>Базовый!C52</f>
        <v>0.05</v>
      </c>
      <c r="D64" s="170"/>
    </row>
    <row r="65" spans="1:4" outlineLevel="3" x14ac:dyDescent="0.3">
      <c r="A65" s="55" t="str">
        <f>Базовый!A53</f>
        <v>Доска разделочная деревянная</v>
      </c>
      <c r="B65" s="58" t="str">
        <f>Базовый!B53</f>
        <v>шт.</v>
      </c>
      <c r="C65" s="60">
        <f>Базовый!C53</f>
        <v>4.4444444444444446E-2</v>
      </c>
      <c r="D65" s="170"/>
    </row>
    <row r="66" spans="1:4" outlineLevel="3" x14ac:dyDescent="0.3">
      <c r="A66" s="55" t="str">
        <f>Базовый!A54</f>
        <v>Кувшин для воды</v>
      </c>
      <c r="B66" s="58" t="str">
        <f>Базовый!B54</f>
        <v>шт.</v>
      </c>
      <c r="C66" s="60">
        <f>Базовый!C54</f>
        <v>8.771929824561403E-3</v>
      </c>
      <c r="D66" s="170"/>
    </row>
    <row r="67" spans="1:4" outlineLevel="3" x14ac:dyDescent="0.3">
      <c r="A67" s="55" t="str">
        <f>Базовый!A55</f>
        <v>Ковш нержавейка</v>
      </c>
      <c r="B67" s="58" t="str">
        <f>Базовый!B55</f>
        <v>шт.</v>
      </c>
      <c r="C67" s="60">
        <f>Базовый!C55</f>
        <v>1.7094017094017096E-2</v>
      </c>
      <c r="D67" s="170"/>
    </row>
    <row r="68" spans="1:4" outlineLevel="3" x14ac:dyDescent="0.3">
      <c r="A68" s="55" t="str">
        <f>Базовый!A56</f>
        <v>Половник 500 мл</v>
      </c>
      <c r="B68" s="58" t="str">
        <f>Базовый!B56</f>
        <v>шт.</v>
      </c>
      <c r="C68" s="60">
        <f>Базовый!C56</f>
        <v>6.8376068376068383E-2</v>
      </c>
      <c r="D68" s="170"/>
    </row>
    <row r="69" spans="1:4" outlineLevel="3" x14ac:dyDescent="0.3">
      <c r="A69" s="55" t="str">
        <f>Базовый!A57</f>
        <v>Салатник</v>
      </c>
      <c r="B69" s="58" t="str">
        <f>Базовый!B57</f>
        <v>шт.</v>
      </c>
      <c r="C69" s="60">
        <f>Базовый!C57</f>
        <v>0.42735042735042733</v>
      </c>
      <c r="D69" s="170"/>
    </row>
    <row r="70" spans="1:4" outlineLevel="3" x14ac:dyDescent="0.3">
      <c r="A70" s="55" t="str">
        <f>Базовый!A58</f>
        <v>Емкость для столовых приборов</v>
      </c>
      <c r="B70" s="58" t="str">
        <f>Базовый!B58</f>
        <v>шт.</v>
      </c>
      <c r="C70" s="60">
        <f>Базовый!C58</f>
        <v>5.128205128205128E-2</v>
      </c>
      <c r="D70" s="170"/>
    </row>
    <row r="71" spans="1:4" outlineLevel="3" x14ac:dyDescent="0.3">
      <c r="A71" s="55" t="str">
        <f>Базовый!A59</f>
        <v>Блюдце</v>
      </c>
      <c r="B71" s="58" t="str">
        <f>Базовый!B59</f>
        <v>шт.</v>
      </c>
      <c r="C71" s="60">
        <f>Базовый!C59</f>
        <v>0.85470085470085466</v>
      </c>
      <c r="D71" s="170"/>
    </row>
    <row r="72" spans="1:4" outlineLevel="3" x14ac:dyDescent="0.3">
      <c r="A72" s="55" t="str">
        <f>Базовый!A60</f>
        <v>Бокал с ручкой</v>
      </c>
      <c r="B72" s="58" t="str">
        <f>Базовый!B60</f>
        <v>шт.</v>
      </c>
      <c r="C72" s="60">
        <f>Базовый!C60</f>
        <v>0.85470085470085466</v>
      </c>
      <c r="D72" s="170"/>
    </row>
    <row r="73" spans="1:4" outlineLevel="3" x14ac:dyDescent="0.3">
      <c r="A73" s="55" t="str">
        <f>Базовый!A61</f>
        <v>Бокал 180 мл</v>
      </c>
      <c r="B73" s="58" t="str">
        <f>Базовый!B61</f>
        <v>шт.</v>
      </c>
      <c r="C73" s="60">
        <f>Базовый!C61</f>
        <v>0.42735042735042733</v>
      </c>
      <c r="D73" s="170"/>
    </row>
    <row r="74" spans="1:4" outlineLevel="3" x14ac:dyDescent="0.3">
      <c r="A74" s="55" t="str">
        <f>Базовый!A62</f>
        <v>Ложка гарнирная</v>
      </c>
      <c r="B74" s="58" t="str">
        <f>Базовый!B62</f>
        <v>шт.</v>
      </c>
      <c r="C74" s="60">
        <f>Базовый!C62</f>
        <v>0.15384615384615385</v>
      </c>
      <c r="D74" s="170"/>
    </row>
    <row r="75" spans="1:4" outlineLevel="3" x14ac:dyDescent="0.3">
      <c r="A75" s="55" t="str">
        <f>Базовый!A63</f>
        <v>Ложка столовая</v>
      </c>
      <c r="B75" s="58" t="str">
        <f>Базовый!B63</f>
        <v>шт.</v>
      </c>
      <c r="C75" s="60">
        <f>Базовый!C63</f>
        <v>0.25210084033613445</v>
      </c>
      <c r="D75" s="170"/>
    </row>
    <row r="76" spans="1:4" outlineLevel="3" x14ac:dyDescent="0.3">
      <c r="A76" s="55" t="str">
        <f>Базовый!A64</f>
        <v>Ложка чайная</v>
      </c>
      <c r="B76" s="58" t="str">
        <f>Базовый!B64</f>
        <v>шт.</v>
      </c>
      <c r="C76" s="60">
        <f>Базовый!C64</f>
        <v>0.42735042735042733</v>
      </c>
      <c r="D76" s="170"/>
    </row>
    <row r="77" spans="1:4" outlineLevel="3" x14ac:dyDescent="0.3">
      <c r="A77" s="55" t="str">
        <f>Базовый!A65</f>
        <v>Вилка столовая</v>
      </c>
      <c r="B77" s="58" t="str">
        <f>Базовый!B65</f>
        <v>шт.</v>
      </c>
      <c r="C77" s="60">
        <f>Базовый!C65</f>
        <v>0.42735042735042733</v>
      </c>
      <c r="D77" s="170"/>
    </row>
    <row r="78" spans="1:4" outlineLevel="3" x14ac:dyDescent="0.3">
      <c r="A78" s="55" t="str">
        <f>Базовый!A66</f>
        <v xml:space="preserve">Нож </v>
      </c>
      <c r="B78" s="58" t="str">
        <f>Базовый!B66</f>
        <v>шт.</v>
      </c>
      <c r="C78" s="60">
        <f>Базовый!C66</f>
        <v>0.17094017094017094</v>
      </c>
      <c r="D78" s="170"/>
    </row>
    <row r="79" spans="1:4" outlineLevel="3" x14ac:dyDescent="0.3">
      <c r="A79" s="55" t="str">
        <f>Базовый!A67</f>
        <v>Тарелка глубокая</v>
      </c>
      <c r="B79" s="58" t="str">
        <f>Базовый!B67</f>
        <v>шт.</v>
      </c>
      <c r="C79" s="60">
        <f>Базовый!C67</f>
        <v>0.85470085470085466</v>
      </c>
      <c r="D79" s="170"/>
    </row>
    <row r="80" spans="1:4" outlineLevel="3" x14ac:dyDescent="0.3">
      <c r="A80" s="55" t="str">
        <f>Базовый!A68</f>
        <v>Тарелка мелкая</v>
      </c>
      <c r="B80" s="58" t="str">
        <f>Базовый!B68</f>
        <v>шт.</v>
      </c>
      <c r="C80" s="60">
        <f>Базовый!C68</f>
        <v>0.85470085470085466</v>
      </c>
      <c r="D80" s="170"/>
    </row>
    <row r="81" spans="1:4" ht="26" outlineLevel="2" x14ac:dyDescent="0.3">
      <c r="A81" s="55" t="str">
        <f>Базовый!A69</f>
        <v>Оборудование (бытовая техника, медицинское оборудование)</v>
      </c>
      <c r="B81" s="58" t="str">
        <f>Базовый!B69</f>
        <v>х</v>
      </c>
      <c r="C81" s="60" t="str">
        <f>Базовый!C69</f>
        <v>х</v>
      </c>
      <c r="D81" s="170"/>
    </row>
    <row r="82" spans="1:4" outlineLevel="3" x14ac:dyDescent="0.3">
      <c r="A82" s="55" t="str">
        <f>Базовый!A70</f>
        <v>Чайник 3л</v>
      </c>
      <c r="B82" s="58" t="str">
        <f>Базовый!B70</f>
        <v>шт.</v>
      </c>
      <c r="C82" s="60">
        <f>Базовый!C70</f>
        <v>2.5210084033613446E-2</v>
      </c>
      <c r="D82" s="170"/>
    </row>
    <row r="83" spans="1:4" outlineLevel="3" x14ac:dyDescent="0.3">
      <c r="A83" s="55" t="str">
        <f>Базовый!A71</f>
        <v xml:space="preserve">Пылесос </v>
      </c>
      <c r="B83" s="58" t="str">
        <f>Базовый!B71</f>
        <v>шт.</v>
      </c>
      <c r="C83" s="60">
        <f>Базовый!C71</f>
        <v>1.680672268907563E-2</v>
      </c>
      <c r="D83" s="170"/>
    </row>
    <row r="84" spans="1:4" outlineLevel="3" x14ac:dyDescent="0.3">
      <c r="A84" s="55" t="str">
        <f>Базовый!A72</f>
        <v>Электроплита четырехконфорочная</v>
      </c>
      <c r="B84" s="58" t="str">
        <f>Базовый!B72</f>
        <v>шт.</v>
      </c>
      <c r="C84" s="60">
        <f>Базовый!C72</f>
        <v>1.1111111111111112E-2</v>
      </c>
      <c r="D84" s="170"/>
    </row>
    <row r="85" spans="1:4" outlineLevel="3" x14ac:dyDescent="0.3">
      <c r="A85" s="55" t="str">
        <f>Базовый!A73</f>
        <v>Электромясорубка</v>
      </c>
      <c r="B85" s="58" t="str">
        <f>Базовый!B73</f>
        <v>шт.</v>
      </c>
      <c r="C85" s="60">
        <f>Базовый!C73</f>
        <v>1.1111111111111112E-2</v>
      </c>
      <c r="D85" s="170"/>
    </row>
    <row r="86" spans="1:4" outlineLevel="3" x14ac:dyDescent="0.3">
      <c r="A86" s="55" t="str">
        <f>Базовый!A74</f>
        <v>Холодильник</v>
      </c>
      <c r="B86" s="58" t="str">
        <f>Базовый!B74</f>
        <v>шт.</v>
      </c>
      <c r="C86" s="60">
        <f>Базовый!C74</f>
        <v>1.0416666666666666E-2</v>
      </c>
      <c r="D86" s="170"/>
    </row>
    <row r="87" spans="1:4" outlineLevel="3" x14ac:dyDescent="0.3">
      <c r="A87" s="55" t="str">
        <f>Базовый!A75</f>
        <v>Водонагреватель</v>
      </c>
      <c r="B87" s="58" t="str">
        <f>Базовый!B75</f>
        <v>шт.</v>
      </c>
      <c r="C87" s="60">
        <f>Базовый!C75</f>
        <v>8.4033613445378148E-3</v>
      </c>
      <c r="D87" s="170"/>
    </row>
    <row r="88" spans="1:4" outlineLevel="2" x14ac:dyDescent="0.3">
      <c r="A88" s="55" t="str">
        <f>Базовый!A76</f>
        <v>Спецодежда</v>
      </c>
      <c r="B88" s="58" t="str">
        <f>Базовый!B76</f>
        <v>х</v>
      </c>
      <c r="C88" s="60" t="str">
        <f>Базовый!C76</f>
        <v>х</v>
      </c>
      <c r="D88" s="170"/>
    </row>
    <row r="89" spans="1:4" outlineLevel="3" x14ac:dyDescent="0.3">
      <c r="A89" s="55" t="str">
        <f>Базовый!A77</f>
        <v>Поварской колпак</v>
      </c>
      <c r="B89" s="58" t="str">
        <f>Базовый!B77</f>
        <v>шт.</v>
      </c>
      <c r="C89" s="60">
        <f>Базовый!C77</f>
        <v>3.4188034188034191E-2</v>
      </c>
      <c r="D89" s="170"/>
    </row>
    <row r="90" spans="1:4" outlineLevel="3" x14ac:dyDescent="0.3">
      <c r="A90" s="55" t="str">
        <f>Базовый!A78</f>
        <v>Фартук для мытья посуды</v>
      </c>
      <c r="B90" s="58" t="str">
        <f>Базовый!B78</f>
        <v>шт.</v>
      </c>
      <c r="C90" s="60">
        <f>Базовый!C78</f>
        <v>5.9829059829059832E-2</v>
      </c>
      <c r="D90" s="170"/>
    </row>
    <row r="91" spans="1:4" outlineLevel="3" x14ac:dyDescent="0.3">
      <c r="A91" s="55" t="str">
        <f>Базовый!A79</f>
        <v>Рабочий фартук</v>
      </c>
      <c r="B91" s="58" t="str">
        <f>Базовый!B79</f>
        <v>шт.</v>
      </c>
      <c r="C91" s="60">
        <f>Базовый!C79</f>
        <v>8.5470085470085472E-2</v>
      </c>
      <c r="D91" s="170"/>
    </row>
    <row r="92" spans="1:4" outlineLevel="3" x14ac:dyDescent="0.3">
      <c r="A92" s="55" t="str">
        <f>Базовый!A80</f>
        <v>Фартук для кормления св.тонов</v>
      </c>
      <c r="B92" s="58" t="str">
        <f>Базовый!B80</f>
        <v>шт.</v>
      </c>
      <c r="C92" s="60">
        <f>Базовый!C80</f>
        <v>5.128205128205128E-2</v>
      </c>
      <c r="D92" s="170"/>
    </row>
    <row r="93" spans="1:4" s="14" customFormat="1" hidden="1" outlineLevel="2" x14ac:dyDescent="0.3">
      <c r="A93" s="48"/>
      <c r="B93" s="16"/>
      <c r="C93" s="19"/>
      <c r="D93" s="170"/>
    </row>
    <row r="94" spans="1:4" s="14" customFormat="1" hidden="1" outlineLevel="3" x14ac:dyDescent="0.3">
      <c r="A94" s="48"/>
      <c r="B94" s="16"/>
      <c r="C94" s="19"/>
      <c r="D94" s="170"/>
    </row>
    <row r="95" spans="1:4" s="14" customFormat="1" hidden="1" outlineLevel="3" x14ac:dyDescent="0.3">
      <c r="A95" s="48"/>
      <c r="B95" s="16"/>
      <c r="C95" s="19"/>
      <c r="D95" s="170"/>
    </row>
    <row r="96" spans="1:4" s="14" customFormat="1" hidden="1" outlineLevel="3" x14ac:dyDescent="0.3">
      <c r="A96" s="48"/>
      <c r="B96" s="16"/>
      <c r="C96" s="19"/>
      <c r="D96" s="170"/>
    </row>
    <row r="97" spans="1:4" s="14" customFormat="1" hidden="1" outlineLevel="3" x14ac:dyDescent="0.3">
      <c r="A97" s="48"/>
      <c r="B97" s="16"/>
      <c r="C97" s="19"/>
      <c r="D97" s="170"/>
    </row>
    <row r="98" spans="1:4" s="14" customFormat="1" hidden="1" outlineLevel="3" x14ac:dyDescent="0.3">
      <c r="A98" s="48"/>
      <c r="B98" s="16"/>
      <c r="C98" s="19"/>
      <c r="D98" s="170"/>
    </row>
    <row r="99" spans="1:4" s="14" customFormat="1" hidden="1" outlineLevel="3" x14ac:dyDescent="0.3">
      <c r="A99" s="48"/>
      <c r="B99" s="16"/>
      <c r="C99" s="19"/>
      <c r="D99" s="170"/>
    </row>
    <row r="100" spans="1:4" s="14" customFormat="1" hidden="1" outlineLevel="3" x14ac:dyDescent="0.3">
      <c r="A100" s="48"/>
      <c r="B100" s="16"/>
      <c r="C100" s="19"/>
      <c r="D100" s="170"/>
    </row>
    <row r="101" spans="1:4" s="14" customFormat="1" hidden="1" outlineLevel="3" x14ac:dyDescent="0.3">
      <c r="A101" s="48"/>
      <c r="B101" s="16"/>
      <c r="C101" s="19"/>
      <c r="D101" s="170"/>
    </row>
    <row r="102" spans="1:4" s="14" customFormat="1" hidden="1" outlineLevel="3" x14ac:dyDescent="0.3">
      <c r="A102" s="48"/>
      <c r="B102" s="16"/>
      <c r="C102" s="19"/>
      <c r="D102" s="170"/>
    </row>
    <row r="103" spans="1:4" s="14" customFormat="1" hidden="1" outlineLevel="3" x14ac:dyDescent="0.3">
      <c r="A103" s="48"/>
      <c r="B103" s="16"/>
      <c r="C103" s="19"/>
      <c r="D103" s="170"/>
    </row>
    <row r="104" spans="1:4" s="14" customFormat="1" hidden="1" outlineLevel="3" x14ac:dyDescent="0.3">
      <c r="A104" s="48"/>
      <c r="B104" s="16"/>
      <c r="C104" s="19"/>
      <c r="D104" s="170"/>
    </row>
    <row r="105" spans="1:4" s="14" customFormat="1" hidden="1" outlineLevel="3" x14ac:dyDescent="0.3">
      <c r="A105" s="48"/>
      <c r="B105" s="16"/>
      <c r="C105" s="19"/>
      <c r="D105" s="170"/>
    </row>
    <row r="106" spans="1:4" s="14" customFormat="1" hidden="1" outlineLevel="3" x14ac:dyDescent="0.3">
      <c r="A106" s="48"/>
      <c r="B106" s="16"/>
      <c r="C106" s="19"/>
      <c r="D106" s="170"/>
    </row>
    <row r="107" spans="1:4" s="14" customFormat="1" hidden="1" outlineLevel="3" x14ac:dyDescent="0.3">
      <c r="A107" s="48"/>
      <c r="B107" s="16"/>
      <c r="C107" s="19"/>
      <c r="D107" s="170"/>
    </row>
    <row r="108" spans="1:4" outlineLevel="2" x14ac:dyDescent="0.3">
      <c r="A108" s="55" t="str">
        <f>Базовый!A96</f>
        <v>Средства личной гигиены</v>
      </c>
      <c r="B108" s="58" t="str">
        <f>Базовый!B96</f>
        <v>х</v>
      </c>
      <c r="C108" s="60" t="str">
        <f>Базовый!C96</f>
        <v>х</v>
      </c>
      <c r="D108" s="170"/>
    </row>
    <row r="109" spans="1:4" outlineLevel="3" x14ac:dyDescent="0.3">
      <c r="A109" s="55" t="str">
        <f>Базовый!A97</f>
        <v>Туалетная бумага</v>
      </c>
      <c r="B109" s="58" t="str">
        <f>Базовый!B97</f>
        <v>шт.</v>
      </c>
      <c r="C109" s="60">
        <f>Базовый!C97</f>
        <v>2.5641025641025643</v>
      </c>
      <c r="D109" s="170"/>
    </row>
    <row r="110" spans="1:4" outlineLevel="3" x14ac:dyDescent="0.3">
      <c r="A110" s="55" t="str">
        <f>Базовый!A98</f>
        <v>Салфетки бумажные</v>
      </c>
      <c r="B110" s="58" t="str">
        <f>Базовый!B98</f>
        <v>шт.</v>
      </c>
      <c r="C110" s="60">
        <f>Базовый!C98</f>
        <v>1.7094017094017093</v>
      </c>
      <c r="D110" s="171"/>
    </row>
    <row r="111" spans="1:4" outlineLevel="1" collapsed="1" x14ac:dyDescent="0.3">
      <c r="A111" s="175" t="s">
        <v>363</v>
      </c>
      <c r="B111" s="175"/>
      <c r="C111" s="175"/>
      <c r="D111" s="175"/>
    </row>
    <row r="112" spans="1:4" s="14" customFormat="1" hidden="1" outlineLevel="2" x14ac:dyDescent="0.3">
      <c r="A112" s="48"/>
      <c r="B112" s="16"/>
      <c r="C112" s="19"/>
      <c r="D112" s="169" t="s">
        <v>414</v>
      </c>
    </row>
    <row r="113" spans="1:4" s="14" customFormat="1" hidden="1" outlineLevel="3" x14ac:dyDescent="0.3">
      <c r="A113" s="48"/>
      <c r="B113" s="16"/>
      <c r="C113" s="19"/>
      <c r="D113" s="170"/>
    </row>
    <row r="114" spans="1:4" s="14" customFormat="1" hidden="1" outlineLevel="3" x14ac:dyDescent="0.3">
      <c r="A114" s="48"/>
      <c r="B114" s="16"/>
      <c r="C114" s="19"/>
      <c r="D114" s="170"/>
    </row>
    <row r="115" spans="1:4" s="14" customFormat="1" hidden="1" outlineLevel="3" x14ac:dyDescent="0.3">
      <c r="A115" s="48"/>
      <c r="B115" s="16"/>
      <c r="C115" s="19"/>
      <c r="D115" s="170"/>
    </row>
    <row r="116" spans="1:4" s="14" customFormat="1" hidden="1" outlineLevel="3" x14ac:dyDescent="0.3">
      <c r="A116" s="48"/>
      <c r="B116" s="16"/>
      <c r="C116" s="19"/>
      <c r="D116" s="170"/>
    </row>
    <row r="117" spans="1:4" s="14" customFormat="1" hidden="1" outlineLevel="3" x14ac:dyDescent="0.3">
      <c r="A117" s="48"/>
      <c r="B117" s="16"/>
      <c r="C117" s="19"/>
      <c r="D117" s="170"/>
    </row>
    <row r="118" spans="1:4" s="14" customFormat="1" hidden="1" outlineLevel="3" x14ac:dyDescent="0.3">
      <c r="A118" s="48"/>
      <c r="B118" s="16"/>
      <c r="C118" s="19"/>
      <c r="D118" s="170"/>
    </row>
    <row r="119" spans="1:4" s="14" customFormat="1" hidden="1" outlineLevel="3" x14ac:dyDescent="0.3">
      <c r="A119" s="48"/>
      <c r="B119" s="16"/>
      <c r="C119" s="19"/>
      <c r="D119" s="170"/>
    </row>
    <row r="120" spans="1:4" s="14" customFormat="1" hidden="1" outlineLevel="3" x14ac:dyDescent="0.3">
      <c r="A120" s="48"/>
      <c r="B120" s="16"/>
      <c r="C120" s="19"/>
      <c r="D120" s="170"/>
    </row>
    <row r="121" spans="1:4" s="14" customFormat="1" hidden="1" outlineLevel="3" x14ac:dyDescent="0.3">
      <c r="A121" s="48"/>
      <c r="B121" s="16"/>
      <c r="C121" s="19"/>
      <c r="D121" s="170"/>
    </row>
    <row r="122" spans="1:4" s="14" customFormat="1" hidden="1" outlineLevel="3" x14ac:dyDescent="0.3">
      <c r="A122" s="48"/>
      <c r="B122" s="16"/>
      <c r="C122" s="19"/>
      <c r="D122" s="170"/>
    </row>
    <row r="123" spans="1:4" s="14" customFormat="1" hidden="1" outlineLevel="2" x14ac:dyDescent="0.3">
      <c r="A123" s="48"/>
      <c r="B123" s="16"/>
      <c r="C123" s="19"/>
      <c r="D123" s="170"/>
    </row>
    <row r="124" spans="1:4" s="14" customFormat="1" hidden="1" outlineLevel="3" x14ac:dyDescent="0.3">
      <c r="A124" s="48"/>
      <c r="B124" s="16"/>
      <c r="C124" s="19"/>
      <c r="D124" s="170"/>
    </row>
    <row r="125" spans="1:4" s="14" customFormat="1" hidden="1" outlineLevel="3" x14ac:dyDescent="0.3">
      <c r="A125" s="48"/>
      <c r="B125" s="16"/>
      <c r="C125" s="19"/>
      <c r="D125" s="170"/>
    </row>
    <row r="126" spans="1:4" s="14" customFormat="1" hidden="1" outlineLevel="3" x14ac:dyDescent="0.3">
      <c r="A126" s="48"/>
      <c r="B126" s="16"/>
      <c r="C126" s="19"/>
      <c r="D126" s="170"/>
    </row>
    <row r="127" spans="1:4" s="14" customFormat="1" hidden="1" outlineLevel="3" x14ac:dyDescent="0.3">
      <c r="A127" s="48"/>
      <c r="B127" s="16"/>
      <c r="C127" s="19"/>
      <c r="D127" s="170"/>
    </row>
    <row r="128" spans="1:4" s="14" customFormat="1" hidden="1" outlineLevel="3" x14ac:dyDescent="0.3">
      <c r="A128" s="48"/>
      <c r="B128" s="16"/>
      <c r="C128" s="19"/>
      <c r="D128" s="170"/>
    </row>
    <row r="129" spans="1:4" s="14" customFormat="1" hidden="1" outlineLevel="3" x14ac:dyDescent="0.3">
      <c r="A129" s="48"/>
      <c r="B129" s="16"/>
      <c r="C129" s="19"/>
      <c r="D129" s="170"/>
    </row>
    <row r="130" spans="1:4" s="14" customFormat="1" hidden="1" outlineLevel="3" x14ac:dyDescent="0.3">
      <c r="A130" s="48"/>
      <c r="B130" s="16"/>
      <c r="C130" s="19"/>
      <c r="D130" s="170"/>
    </row>
    <row r="131" spans="1:4" s="14" customFormat="1" hidden="1" outlineLevel="3" x14ac:dyDescent="0.3">
      <c r="A131" s="48"/>
      <c r="B131" s="16"/>
      <c r="C131" s="19"/>
      <c r="D131" s="170"/>
    </row>
    <row r="132" spans="1:4" s="14" customFormat="1" hidden="1" outlineLevel="3" x14ac:dyDescent="0.3">
      <c r="A132" s="48"/>
      <c r="B132" s="16"/>
      <c r="C132" s="19"/>
      <c r="D132" s="170"/>
    </row>
    <row r="133" spans="1:4" s="14" customFormat="1" hidden="1" outlineLevel="3" x14ac:dyDescent="0.3">
      <c r="A133" s="48"/>
      <c r="B133" s="16"/>
      <c r="C133" s="19"/>
      <c r="D133" s="170"/>
    </row>
    <row r="134" spans="1:4" s="14" customFormat="1" hidden="1" outlineLevel="3" x14ac:dyDescent="0.3">
      <c r="A134" s="48"/>
      <c r="B134" s="16"/>
      <c r="C134" s="19"/>
      <c r="D134" s="170"/>
    </row>
    <row r="135" spans="1:4" s="14" customFormat="1" hidden="1" outlineLevel="3" x14ac:dyDescent="0.3">
      <c r="A135" s="48"/>
      <c r="B135" s="16"/>
      <c r="C135" s="19"/>
      <c r="D135" s="170"/>
    </row>
    <row r="136" spans="1:4" s="14" customFormat="1" hidden="1" outlineLevel="3" x14ac:dyDescent="0.3">
      <c r="A136" s="48"/>
      <c r="B136" s="16"/>
      <c r="C136" s="19"/>
      <c r="D136" s="170"/>
    </row>
    <row r="137" spans="1:4" s="14" customFormat="1" hidden="1" outlineLevel="3" x14ac:dyDescent="0.3">
      <c r="A137" s="48"/>
      <c r="B137" s="16"/>
      <c r="C137" s="19"/>
      <c r="D137" s="170"/>
    </row>
    <row r="138" spans="1:4" s="14" customFormat="1" hidden="1" outlineLevel="3" x14ac:dyDescent="0.3">
      <c r="A138" s="48"/>
      <c r="B138" s="16"/>
      <c r="C138" s="19"/>
      <c r="D138" s="170"/>
    </row>
    <row r="139" spans="1:4" s="14" customFormat="1" hidden="1" outlineLevel="3" x14ac:dyDescent="0.3">
      <c r="A139" s="48"/>
      <c r="B139" s="16"/>
      <c r="C139" s="19"/>
      <c r="D139" s="170"/>
    </row>
    <row r="140" spans="1:4" s="14" customFormat="1" hidden="1" outlineLevel="3" x14ac:dyDescent="0.3">
      <c r="A140" s="48"/>
      <c r="B140" s="16"/>
      <c r="C140" s="19"/>
      <c r="D140" s="170"/>
    </row>
    <row r="141" spans="1:4" s="14" customFormat="1" hidden="1" outlineLevel="3" x14ac:dyDescent="0.3">
      <c r="A141" s="48"/>
      <c r="B141" s="16"/>
      <c r="C141" s="19"/>
      <c r="D141" s="170"/>
    </row>
    <row r="142" spans="1:4" s="14" customFormat="1" hidden="1" outlineLevel="3" x14ac:dyDescent="0.3">
      <c r="A142" s="48"/>
      <c r="B142" s="16"/>
      <c r="C142" s="19"/>
      <c r="D142" s="170"/>
    </row>
    <row r="143" spans="1:4" s="14" customFormat="1" hidden="1" outlineLevel="3" x14ac:dyDescent="0.3">
      <c r="A143" s="48"/>
      <c r="B143" s="16"/>
      <c r="C143" s="19"/>
      <c r="D143" s="170"/>
    </row>
    <row r="144" spans="1:4" s="14" customFormat="1" hidden="1" outlineLevel="3" x14ac:dyDescent="0.3">
      <c r="A144" s="48"/>
      <c r="B144" s="16"/>
      <c r="C144" s="19"/>
      <c r="D144" s="170"/>
    </row>
    <row r="145" spans="1:4" outlineLevel="2" x14ac:dyDescent="0.3">
      <c r="A145" s="55" t="str">
        <f>Базовый!A133</f>
        <v>Медикаменты</v>
      </c>
      <c r="B145" s="58" t="str">
        <f>Базовый!B133</f>
        <v>х</v>
      </c>
      <c r="C145" s="60" t="str">
        <f>Базовый!C133</f>
        <v>х</v>
      </c>
      <c r="D145" s="170"/>
    </row>
    <row r="146" spans="1:4" outlineLevel="3" x14ac:dyDescent="0.3">
      <c r="A146" s="55" t="str">
        <f>Базовый!A134</f>
        <v>Анальгин</v>
      </c>
      <c r="B146" s="58" t="str">
        <f>Базовый!B134</f>
        <v>уп.</v>
      </c>
      <c r="C146" s="60">
        <f>Базовый!C134</f>
        <v>5.2083333333333336E-2</v>
      </c>
      <c r="D146" s="170"/>
    </row>
    <row r="147" spans="1:4" outlineLevel="3" x14ac:dyDescent="0.3">
      <c r="A147" s="55" t="str">
        <f>Базовый!A135</f>
        <v>Парацетамол</v>
      </c>
      <c r="B147" s="58" t="str">
        <f>Базовый!B135</f>
        <v>уп.</v>
      </c>
      <c r="C147" s="60">
        <f>Базовый!C135</f>
        <v>5.2083333333333336E-2</v>
      </c>
      <c r="D147" s="170"/>
    </row>
    <row r="148" spans="1:4" outlineLevel="3" x14ac:dyDescent="0.3">
      <c r="A148" s="55" t="str">
        <f>Базовый!A136</f>
        <v>Активированный уголь</v>
      </c>
      <c r="B148" s="58" t="str">
        <f>Базовый!B136</f>
        <v>уп.</v>
      </c>
      <c r="C148" s="60">
        <f>Базовый!C136</f>
        <v>4.807692307692308E-2</v>
      </c>
      <c r="D148" s="170"/>
    </row>
    <row r="149" spans="1:4" outlineLevel="3" x14ac:dyDescent="0.3">
      <c r="A149" s="55" t="str">
        <f>Базовый!A137</f>
        <v>Аскорбиновая кислота</v>
      </c>
      <c r="B149" s="58" t="str">
        <f>Базовый!B137</f>
        <v>уп.</v>
      </c>
      <c r="C149" s="60">
        <f>Базовый!C137</f>
        <v>1.5625</v>
      </c>
      <c r="D149" s="170"/>
    </row>
    <row r="150" spans="1:4" outlineLevel="3" x14ac:dyDescent="0.3">
      <c r="A150" s="55" t="str">
        <f>Базовый!A138</f>
        <v>Аскорбиновая кислота (драже)</v>
      </c>
      <c r="B150" s="58" t="str">
        <f>Базовый!B138</f>
        <v>уп.</v>
      </c>
      <c r="C150" s="60">
        <f>Базовый!C138</f>
        <v>0.52083333333333337</v>
      </c>
      <c r="D150" s="170"/>
    </row>
    <row r="151" spans="1:4" outlineLevel="3" x14ac:dyDescent="0.3">
      <c r="A151" s="55" t="str">
        <f>Базовый!A139</f>
        <v>Аммиак</v>
      </c>
      <c r="B151" s="58" t="str">
        <f>Базовый!B139</f>
        <v>уп.</v>
      </c>
      <c r="C151" s="60">
        <f>Базовый!C139</f>
        <v>2.8571428571428571E-2</v>
      </c>
      <c r="D151" s="170"/>
    </row>
    <row r="152" spans="1:4" outlineLevel="3" x14ac:dyDescent="0.3">
      <c r="A152" s="55" t="str">
        <f>Базовый!A140</f>
        <v>Пантенол спрей</v>
      </c>
      <c r="B152" s="58" t="str">
        <f>Базовый!B140</f>
        <v>уп.</v>
      </c>
      <c r="C152" s="60">
        <f>Базовый!C140</f>
        <v>1.4285714285714285E-2</v>
      </c>
      <c r="D152" s="170"/>
    </row>
    <row r="153" spans="1:4" outlineLevel="3" x14ac:dyDescent="0.3">
      <c r="A153" s="55" t="str">
        <f>Базовый!A141</f>
        <v>Ингалипт аэрозоль</v>
      </c>
      <c r="B153" s="58" t="str">
        <f>Базовый!B141</f>
        <v>уп.</v>
      </c>
      <c r="C153" s="60">
        <f>Базовый!C141</f>
        <v>1.4285714285714285E-2</v>
      </c>
      <c r="D153" s="170"/>
    </row>
    <row r="154" spans="1:4" outlineLevel="3" x14ac:dyDescent="0.3">
      <c r="A154" s="55" t="str">
        <f>Базовый!A142</f>
        <v>Фурацилин</v>
      </c>
      <c r="B154" s="58" t="str">
        <f>Базовый!B142</f>
        <v>уп.</v>
      </c>
      <c r="C154" s="60">
        <f>Базовый!C142</f>
        <v>2.8571428571428571E-2</v>
      </c>
      <c r="D154" s="170"/>
    </row>
    <row r="155" spans="1:4" outlineLevel="3" x14ac:dyDescent="0.3">
      <c r="A155" s="55" t="str">
        <f>Базовый!A143</f>
        <v>Витамин "С"</v>
      </c>
      <c r="B155" s="58" t="str">
        <f>Базовый!B143</f>
        <v>уп.</v>
      </c>
      <c r="C155" s="60">
        <f>Базовый!C143</f>
        <v>2.8846153846153848E-2</v>
      </c>
      <c r="D155" s="170"/>
    </row>
    <row r="156" spans="1:4" outlineLevel="3" x14ac:dyDescent="0.3">
      <c r="A156" s="55" t="str">
        <f>Базовый!A144</f>
        <v>Ревит</v>
      </c>
      <c r="B156" s="58" t="str">
        <f>Базовый!B144</f>
        <v>уп.</v>
      </c>
      <c r="C156" s="60">
        <f>Базовый!C144</f>
        <v>0.48076923076923078</v>
      </c>
      <c r="D156" s="170"/>
    </row>
    <row r="157" spans="1:4" outlineLevel="3" x14ac:dyDescent="0.3">
      <c r="A157" s="55" t="str">
        <f>Базовый!A145</f>
        <v>Нафтизин</v>
      </c>
      <c r="B157" s="58" t="str">
        <f>Базовый!B145</f>
        <v>уп.</v>
      </c>
      <c r="C157" s="60">
        <f>Базовый!C145</f>
        <v>2.0833333333333332E-2</v>
      </c>
      <c r="D157" s="170"/>
    </row>
    <row r="158" spans="1:4" outlineLevel="3" x14ac:dyDescent="0.3">
      <c r="A158" s="55" t="str">
        <f>Базовый!A146</f>
        <v>Ксилен</v>
      </c>
      <c r="B158" s="58" t="str">
        <f>Базовый!B146</f>
        <v>уп.</v>
      </c>
      <c r="C158" s="60">
        <f>Базовый!C146</f>
        <v>4.807692307692308E-2</v>
      </c>
      <c r="D158" s="170"/>
    </row>
    <row r="159" spans="1:4" outlineLevel="3" x14ac:dyDescent="0.3">
      <c r="A159" s="55" t="str">
        <f>Базовый!A147</f>
        <v>Риностоп</v>
      </c>
      <c r="B159" s="58" t="str">
        <f>Базовый!B147</f>
        <v>уп.</v>
      </c>
      <c r="C159" s="60">
        <f>Базовый!C147</f>
        <v>2.0833333333333332E-2</v>
      </c>
      <c r="D159" s="170"/>
    </row>
    <row r="160" spans="1:4" outlineLevel="3" x14ac:dyDescent="0.3">
      <c r="A160" s="55" t="str">
        <f>Базовый!A148</f>
        <v>Тавегин</v>
      </c>
      <c r="B160" s="58" t="str">
        <f>Базовый!B148</f>
        <v>уп.</v>
      </c>
      <c r="C160" s="60">
        <f>Базовый!C148</f>
        <v>9.6153846153846159E-3</v>
      </c>
      <c r="D160" s="170"/>
    </row>
    <row r="161" spans="1:4" outlineLevel="3" x14ac:dyDescent="0.3">
      <c r="A161" s="55" t="str">
        <f>Базовый!A149</f>
        <v>Сульфацил-натрия</v>
      </c>
      <c r="B161" s="58" t="str">
        <f>Базовый!B149</f>
        <v>уп.</v>
      </c>
      <c r="C161" s="60">
        <f>Базовый!C149</f>
        <v>9.6153846153846159E-3</v>
      </c>
      <c r="D161" s="170"/>
    </row>
    <row r="162" spans="1:4" outlineLevel="3" x14ac:dyDescent="0.3">
      <c r="A162" s="55" t="str">
        <f>Базовый!A150</f>
        <v>Валосердин</v>
      </c>
      <c r="B162" s="58" t="str">
        <f>Базовый!B150</f>
        <v>уп.</v>
      </c>
      <c r="C162" s="60">
        <f>Базовый!C150</f>
        <v>1.0416666666666666E-2</v>
      </c>
      <c r="D162" s="170"/>
    </row>
    <row r="163" spans="1:4" outlineLevel="3" x14ac:dyDescent="0.3">
      <c r="A163" s="55" t="str">
        <f>Базовый!A151</f>
        <v>Нурофен</v>
      </c>
      <c r="B163" s="58" t="str">
        <f>Базовый!B151</f>
        <v>шт.</v>
      </c>
      <c r="C163" s="60">
        <f>Базовый!C151</f>
        <v>1.4285714285714285E-2</v>
      </c>
      <c r="D163" s="170"/>
    </row>
    <row r="164" spans="1:4" outlineLevel="3" x14ac:dyDescent="0.3">
      <c r="A164" s="55" t="str">
        <f>Базовый!A152</f>
        <v>Дротаверин</v>
      </c>
      <c r="B164" s="58" t="str">
        <f>Базовый!B152</f>
        <v>уп.</v>
      </c>
      <c r="C164" s="60">
        <f>Базовый!C152</f>
        <v>2.0833333333333332E-2</v>
      </c>
      <c r="D164" s="170"/>
    </row>
    <row r="165" spans="1:4" outlineLevel="3" x14ac:dyDescent="0.3">
      <c r="A165" s="55" t="str">
        <f>Базовый!A153</f>
        <v>Диазолин</v>
      </c>
      <c r="B165" s="58" t="str">
        <f>Базовый!B153</f>
        <v>уп.</v>
      </c>
      <c r="C165" s="60">
        <f>Базовый!C153</f>
        <v>4.1666666666666664E-2</v>
      </c>
      <c r="D165" s="170"/>
    </row>
    <row r="166" spans="1:4" outlineLevel="3" x14ac:dyDescent="0.3">
      <c r="A166" s="55" t="str">
        <f>Базовый!A154</f>
        <v>Тетрациклиновая глазная мазь</v>
      </c>
      <c r="B166" s="58" t="str">
        <f>Базовый!B154</f>
        <v>уп.</v>
      </c>
      <c r="C166" s="60">
        <f>Базовый!C154</f>
        <v>1.9230769230769232E-2</v>
      </c>
      <c r="D166" s="170"/>
    </row>
    <row r="167" spans="1:4" outlineLevel="3" x14ac:dyDescent="0.3">
      <c r="A167" s="55" t="str">
        <f>Базовый!A155</f>
        <v>Оксолиновая мазь</v>
      </c>
      <c r="B167" s="58" t="str">
        <f>Базовый!B155</f>
        <v>уп.</v>
      </c>
      <c r="C167" s="60">
        <f>Базовый!C155</f>
        <v>4.807692307692308E-2</v>
      </c>
      <c r="D167" s="170"/>
    </row>
    <row r="168" spans="1:4" outlineLevel="3" x14ac:dyDescent="0.3">
      <c r="A168" s="55" t="str">
        <f>Базовый!A156</f>
        <v>Цитрамон</v>
      </c>
      <c r="B168" s="58" t="str">
        <f>Базовый!B156</f>
        <v>уп.</v>
      </c>
      <c r="C168" s="60">
        <f>Базовый!C156</f>
        <v>4.2857142857142858E-2</v>
      </c>
      <c r="D168" s="170"/>
    </row>
    <row r="169" spans="1:4" outlineLevel="3" x14ac:dyDescent="0.3">
      <c r="A169" s="55" t="str">
        <f>Базовый!A157</f>
        <v>Напальчник</v>
      </c>
      <c r="B169" s="58" t="str">
        <f>Базовый!B157</f>
        <v>уп.</v>
      </c>
      <c r="C169" s="60">
        <f>Базовый!C157</f>
        <v>0.28846153846153844</v>
      </c>
      <c r="D169" s="170"/>
    </row>
    <row r="170" spans="1:4" outlineLevel="3" x14ac:dyDescent="0.3">
      <c r="A170" s="55" t="str">
        <f>Базовый!A158</f>
        <v>Л/П бактериц.</v>
      </c>
      <c r="B170" s="58" t="str">
        <f>Базовый!B158</f>
        <v>уп.</v>
      </c>
      <c r="C170" s="60">
        <f>Базовый!C158</f>
        <v>0.33653846153846156</v>
      </c>
      <c r="D170" s="170"/>
    </row>
    <row r="171" spans="1:4" outlineLevel="3" x14ac:dyDescent="0.3">
      <c r="A171" s="55" t="str">
        <f>Базовый!A159</f>
        <v>Вата</v>
      </c>
      <c r="B171" s="58" t="str">
        <f>Базовый!B159</f>
        <v>уп.</v>
      </c>
      <c r="C171" s="60">
        <f>Базовый!C159</f>
        <v>8.6538461538461536E-2</v>
      </c>
      <c r="D171" s="170"/>
    </row>
    <row r="172" spans="1:4" outlineLevel="3" x14ac:dyDescent="0.3">
      <c r="A172" s="55" t="str">
        <f>Базовый!A160</f>
        <v>Лейкопластырь</v>
      </c>
      <c r="B172" s="58" t="str">
        <f>Базовый!B160</f>
        <v>уп.</v>
      </c>
      <c r="C172" s="60">
        <f>Базовый!C160</f>
        <v>1.680672268907563</v>
      </c>
      <c r="D172" s="170"/>
    </row>
    <row r="173" spans="1:4" outlineLevel="3" x14ac:dyDescent="0.3">
      <c r="A173" s="55" t="str">
        <f>Базовый!A161</f>
        <v>Бинт</v>
      </c>
      <c r="B173" s="58" t="str">
        <f>Базовый!B161</f>
        <v>уп.</v>
      </c>
      <c r="C173" s="60">
        <f>Базовый!C161</f>
        <v>0.19230769230769232</v>
      </c>
      <c r="D173" s="170"/>
    </row>
    <row r="174" spans="1:4" outlineLevel="3" x14ac:dyDescent="0.3">
      <c r="A174" s="55" t="str">
        <f>Базовый!A162</f>
        <v xml:space="preserve">Шпатель </v>
      </c>
      <c r="B174" s="58" t="str">
        <f>Базовый!B162</f>
        <v>уп.</v>
      </c>
      <c r="C174" s="60">
        <f>Базовый!C162</f>
        <v>7.1428571428571432</v>
      </c>
      <c r="D174" s="170"/>
    </row>
    <row r="175" spans="1:4" outlineLevel="3" x14ac:dyDescent="0.3">
      <c r="A175" s="55" t="str">
        <f>Базовый!A163</f>
        <v>Перекись водорода</v>
      </c>
      <c r="B175" s="58" t="str">
        <f>Базовый!B163</f>
        <v>флакон</v>
      </c>
      <c r="C175" s="60">
        <f>Базовый!C163</f>
        <v>9.6153846153846159E-2</v>
      </c>
      <c r="D175" s="170"/>
    </row>
    <row r="176" spans="1:4" outlineLevel="3" x14ac:dyDescent="0.3">
      <c r="A176" s="55" t="str">
        <f>Базовый!A164</f>
        <v>Бриллиантовый зеленый</v>
      </c>
      <c r="B176" s="58" t="str">
        <f>Базовый!B164</f>
        <v>флакон</v>
      </c>
      <c r="C176" s="60">
        <f>Базовый!C164</f>
        <v>9.6153846153846159E-2</v>
      </c>
      <c r="D176" s="170"/>
    </row>
    <row r="177" spans="1:4" outlineLevel="3" x14ac:dyDescent="0.3">
      <c r="A177" s="55" t="str">
        <f>Базовый!A165</f>
        <v>Клей БФ</v>
      </c>
      <c r="B177" s="58" t="str">
        <f>Базовый!B165</f>
        <v>уп.</v>
      </c>
      <c r="C177" s="60">
        <f>Базовый!C165</f>
        <v>6.25E-2</v>
      </c>
      <c r="D177" s="170"/>
    </row>
    <row r="178" spans="1:4" outlineLevel="3" x14ac:dyDescent="0.3">
      <c r="A178" s="55" t="str">
        <f>Базовый!A166</f>
        <v>Уголь активированный</v>
      </c>
      <c r="B178" s="58" t="str">
        <f>Базовый!B166</f>
        <v>уп.</v>
      </c>
      <c r="C178" s="60">
        <f>Базовый!C166</f>
        <v>3.125E-2</v>
      </c>
      <c r="D178" s="170"/>
    </row>
    <row r="179" spans="1:4" outlineLevel="3" x14ac:dyDescent="0.3">
      <c r="A179" s="55" t="str">
        <f>Базовый!A167</f>
        <v>Нитроглицерин</v>
      </c>
      <c r="B179" s="58" t="str">
        <f>Базовый!B167</f>
        <v>уп.</v>
      </c>
      <c r="C179" s="60">
        <f>Базовый!C167</f>
        <v>1.0416666666666666E-2</v>
      </c>
      <c r="D179" s="170"/>
    </row>
    <row r="180" spans="1:4" outlineLevel="3" x14ac:dyDescent="0.3">
      <c r="A180" s="55" t="str">
        <f>Базовый!A168</f>
        <v>Настойка пустырника</v>
      </c>
      <c r="B180" s="58" t="str">
        <f>Базовый!B168</f>
        <v>флакон</v>
      </c>
      <c r="C180" s="60">
        <f>Базовый!C168</f>
        <v>3.8461538461538464E-2</v>
      </c>
      <c r="D180" s="170"/>
    </row>
    <row r="181" spans="1:4" outlineLevel="3" x14ac:dyDescent="0.3">
      <c r="A181" s="55" t="str">
        <f>Базовый!A169</f>
        <v>Валерианы эк-т</v>
      </c>
      <c r="B181" s="58" t="str">
        <f>Базовый!B169</f>
        <v>уп.</v>
      </c>
      <c r="C181" s="60">
        <f>Базовый!C169</f>
        <v>3.125E-2</v>
      </c>
      <c r="D181" s="170"/>
    </row>
    <row r="182" spans="1:4" outlineLevel="3" x14ac:dyDescent="0.3">
      <c r="A182" s="55" t="str">
        <f>Базовый!A170</f>
        <v>Салициловый к-ты спирт</v>
      </c>
      <c r="B182" s="58" t="str">
        <f>Базовый!B170</f>
        <v>флакон</v>
      </c>
      <c r="C182" s="60">
        <f>Базовый!C170</f>
        <v>0.20833333333333334</v>
      </c>
      <c r="D182" s="170"/>
    </row>
    <row r="183" spans="1:4" outlineLevel="3" x14ac:dyDescent="0.3">
      <c r="A183" s="55" t="str">
        <f>Базовый!A171</f>
        <v>Адреналина г/х</v>
      </c>
      <c r="B183" s="58" t="str">
        <f>Базовый!B171</f>
        <v>уп.</v>
      </c>
      <c r="C183" s="60">
        <f>Базовый!C171</f>
        <v>1.0416666666666666E-2</v>
      </c>
      <c r="D183" s="170"/>
    </row>
    <row r="184" spans="1:4" outlineLevel="3" x14ac:dyDescent="0.3">
      <c r="A184" s="55" t="str">
        <f>Базовый!A172</f>
        <v>Йод спиртовой 5%</v>
      </c>
      <c r="B184" s="58" t="str">
        <f>Базовый!B172</f>
        <v>флакон</v>
      </c>
      <c r="C184" s="60">
        <f>Базовый!C172</f>
        <v>0.10416666666666667</v>
      </c>
      <c r="D184" s="170"/>
    </row>
    <row r="185" spans="1:4" ht="26" outlineLevel="2" x14ac:dyDescent="0.3">
      <c r="A185" s="55" t="str">
        <f>Базовый!A173</f>
        <v>Чистящие, моющие, дезинфицирующие средства</v>
      </c>
      <c r="B185" s="58" t="str">
        <f>Базовый!B173</f>
        <v>х</v>
      </c>
      <c r="C185" s="60" t="str">
        <f>Базовый!C173</f>
        <v>х</v>
      </c>
      <c r="D185" s="170"/>
    </row>
    <row r="186" spans="1:4" outlineLevel="3" x14ac:dyDescent="0.3">
      <c r="A186" s="55" t="str">
        <f>Базовый!A174</f>
        <v>Мыло хозяйственное 72%(200гр)</v>
      </c>
      <c r="B186" s="58" t="str">
        <f>Базовый!B174</f>
        <v>шт.</v>
      </c>
      <c r="C186" s="60">
        <f>Базовый!C174</f>
        <v>1.7094017094017093</v>
      </c>
      <c r="D186" s="170"/>
    </row>
    <row r="187" spans="1:4" ht="26" outlineLevel="3" x14ac:dyDescent="0.3">
      <c r="A187" s="55" t="str">
        <f>Базовый!A175</f>
        <v>Порошок стиральный автомат (о,4 кг)</v>
      </c>
      <c r="B187" s="58" t="str">
        <f>Базовый!B175</f>
        <v>уп.</v>
      </c>
      <c r="C187" s="60">
        <f>Базовый!C175</f>
        <v>0.85470085470085466</v>
      </c>
      <c r="D187" s="170"/>
    </row>
    <row r="188" spans="1:4" outlineLevel="3" x14ac:dyDescent="0.3">
      <c r="A188" s="55" t="str">
        <f>Базовый!A176</f>
        <v>Кондиционер для белья</v>
      </c>
      <c r="B188" s="58" t="str">
        <f>Базовый!B176</f>
        <v>шт.</v>
      </c>
      <c r="C188" s="60">
        <f>Базовый!C176</f>
        <v>0.2857142857142857</v>
      </c>
      <c r="D188" s="170"/>
    </row>
    <row r="189" spans="1:4" outlineLevel="3" x14ac:dyDescent="0.3">
      <c r="A189" s="55" t="str">
        <f>Базовый!A177</f>
        <v>Сода 400 гр.</v>
      </c>
      <c r="B189" s="58" t="str">
        <f>Базовый!B177</f>
        <v>шт.</v>
      </c>
      <c r="C189" s="60">
        <f>Базовый!C177</f>
        <v>1.7094017094017093</v>
      </c>
      <c r="D189" s="170"/>
    </row>
    <row r="190" spans="1:4" outlineLevel="3" x14ac:dyDescent="0.3">
      <c r="A190" s="55" t="str">
        <f>Базовый!A178</f>
        <v>Чистящее средство (400гр)</v>
      </c>
      <c r="B190" s="58" t="str">
        <f>Базовый!B178</f>
        <v>банка</v>
      </c>
      <c r="C190" s="60">
        <f>Базовый!C178</f>
        <v>0.85470085470085466</v>
      </c>
      <c r="D190" s="170"/>
    </row>
    <row r="191" spans="1:4" outlineLevel="3" x14ac:dyDescent="0.3">
      <c r="A191" s="55" t="str">
        <f>Базовый!A179</f>
        <v>Мыло детское 90 гр.</v>
      </c>
      <c r="B191" s="58" t="str">
        <f>Базовый!B179</f>
        <v>шт.</v>
      </c>
      <c r="C191" s="60">
        <f>Базовый!C179</f>
        <v>3.4188034188034186</v>
      </c>
      <c r="D191" s="170"/>
    </row>
    <row r="192" spans="1:4" outlineLevel="3" x14ac:dyDescent="0.3">
      <c r="A192" s="55" t="str">
        <f>Базовый!A180</f>
        <v>Мыло жидкое(300мл)</v>
      </c>
      <c r="B192" s="58" t="str">
        <f>Базовый!B180</f>
        <v>шт.</v>
      </c>
      <c r="C192" s="60">
        <f>Базовый!C180</f>
        <v>0.44300876788186433</v>
      </c>
      <c r="D192" s="170"/>
    </row>
    <row r="193" spans="1:4" outlineLevel="3" x14ac:dyDescent="0.3">
      <c r="A193" s="55" t="str">
        <f>Базовый!A181</f>
        <v>Мыло жидкое(500 мл)</v>
      </c>
      <c r="B193" s="58" t="str">
        <f>Базовый!B181</f>
        <v>банка</v>
      </c>
      <c r="C193" s="60">
        <f>Базовый!C181</f>
        <v>8.4033613445378158E-2</v>
      </c>
      <c r="D193" s="170"/>
    </row>
    <row r="194" spans="1:4" outlineLevel="3" x14ac:dyDescent="0.3">
      <c r="A194" s="55" t="str">
        <f>Базовый!A182</f>
        <v>Мыло жидкое(1000мл)</v>
      </c>
      <c r="B194" s="58" t="str">
        <f>Базовый!B182</f>
        <v>банка</v>
      </c>
      <c r="C194" s="60">
        <f>Базовый!C182</f>
        <v>5.8823529411764705E-2</v>
      </c>
      <c r="D194" s="170"/>
    </row>
    <row r="195" spans="1:4" outlineLevel="3" x14ac:dyDescent="0.3">
      <c r="A195" s="55" t="str">
        <f>Базовый!A183</f>
        <v>Средство для мытья посуды(500мл)</v>
      </c>
      <c r="B195" s="58" t="str">
        <f>Базовый!B183</f>
        <v>банка</v>
      </c>
      <c r="C195" s="60">
        <f>Базовый!C183</f>
        <v>0.33613445378151263</v>
      </c>
      <c r="D195" s="170"/>
    </row>
    <row r="196" spans="1:4" outlineLevel="3" x14ac:dyDescent="0.3">
      <c r="A196" s="55" t="str">
        <f>Базовый!A184</f>
        <v>Средство для обработки яиц</v>
      </c>
      <c r="B196" s="58" t="str">
        <f>Базовый!B184</f>
        <v>шт.</v>
      </c>
      <c r="C196" s="60">
        <f>Базовый!C184</f>
        <v>0</v>
      </c>
      <c r="D196" s="170"/>
    </row>
    <row r="197" spans="1:4" outlineLevel="3" x14ac:dyDescent="0.3">
      <c r="A197" s="55" t="str">
        <f>Базовый!A185</f>
        <v xml:space="preserve">Чистящее средство для окон </v>
      </c>
      <c r="B197" s="58" t="str">
        <f>Базовый!B185</f>
        <v>банка</v>
      </c>
      <c r="C197" s="60">
        <f>Базовый!C185</f>
        <v>0.42735042735042733</v>
      </c>
      <c r="D197" s="170"/>
    </row>
    <row r="198" spans="1:4" outlineLevel="3" x14ac:dyDescent="0.3">
      <c r="A198" s="55" t="str">
        <f>Базовый!A186</f>
        <v>Тест-полоска Оптимакс 50 шт</v>
      </c>
      <c r="B198" s="58" t="str">
        <f>Базовый!B186</f>
        <v>уп.</v>
      </c>
      <c r="C198" s="60">
        <f>Базовый!C186</f>
        <v>8.5470085470085479E-3</v>
      </c>
      <c r="D198" s="170"/>
    </row>
    <row r="199" spans="1:4" outlineLevel="3" x14ac:dyDescent="0.3">
      <c r="A199" s="55" t="str">
        <f>Базовый!A187</f>
        <v>Дезсредство Оптимакс (1л)</v>
      </c>
      <c r="B199" s="58" t="str">
        <f>Базовый!B187</f>
        <v>банка</v>
      </c>
      <c r="C199" s="60">
        <f>Базовый!C187</f>
        <v>0.85470085470085466</v>
      </c>
      <c r="D199" s="170"/>
    </row>
    <row r="200" spans="1:4" outlineLevel="3" x14ac:dyDescent="0.3">
      <c r="A200" s="55" t="str">
        <f>Базовый!A188</f>
        <v>Отбеливатель Белизна 0,9 л</v>
      </c>
      <c r="B200" s="58" t="str">
        <f>Базовый!B188</f>
        <v>шт.</v>
      </c>
      <c r="C200" s="60">
        <f>Базовый!C188</f>
        <v>0.17094017094017094</v>
      </c>
      <c r="D200" s="170"/>
    </row>
    <row r="201" spans="1:4" outlineLevel="2" x14ac:dyDescent="0.3">
      <c r="A201" s="55" t="str">
        <f>Базовый!A189</f>
        <v>Прочие хозяйственные товары</v>
      </c>
      <c r="B201" s="58" t="str">
        <f>Базовый!B189</f>
        <v>х</v>
      </c>
      <c r="C201" s="60" t="str">
        <f>Базовый!C189</f>
        <v>х</v>
      </c>
      <c r="D201" s="170"/>
    </row>
    <row r="202" spans="1:4" outlineLevel="3" x14ac:dyDescent="0.3">
      <c r="A202" s="55" t="str">
        <f>Базовый!A190</f>
        <v>Салфетка микрофибра</v>
      </c>
      <c r="B202" s="58" t="str">
        <f>Базовый!B190</f>
        <v>шт.</v>
      </c>
      <c r="C202" s="60">
        <f>Базовый!C190</f>
        <v>0.7407407407407407</v>
      </c>
      <c r="D202" s="170"/>
    </row>
    <row r="203" spans="1:4" outlineLevel="3" x14ac:dyDescent="0.3">
      <c r="A203" s="55" t="str">
        <f>Базовый!A191</f>
        <v>Салфетка для пола х/б</v>
      </c>
      <c r="B203" s="58" t="str">
        <f>Базовый!B191</f>
        <v>шт.</v>
      </c>
      <c r="C203" s="60">
        <f>Базовый!C191</f>
        <v>0.61728395061728392</v>
      </c>
      <c r="D203" s="170"/>
    </row>
    <row r="204" spans="1:4" outlineLevel="3" x14ac:dyDescent="0.3">
      <c r="A204" s="55" t="str">
        <f>Базовый!A192</f>
        <v>Мешки для мусора</v>
      </c>
      <c r="B204" s="58" t="str">
        <f>Базовый!B192</f>
        <v>рул.</v>
      </c>
      <c r="C204" s="60">
        <f>Базовый!C192</f>
        <v>0.17094017094017094</v>
      </c>
      <c r="D204" s="170"/>
    </row>
    <row r="205" spans="1:4" s="14" customFormat="1" hidden="1" outlineLevel="2" x14ac:dyDescent="0.3">
      <c r="A205" s="48"/>
      <c r="B205" s="16"/>
      <c r="C205" s="19"/>
      <c r="D205" s="170"/>
    </row>
    <row r="206" spans="1:4" s="14" customFormat="1" hidden="1" outlineLevel="3" x14ac:dyDescent="0.3">
      <c r="A206" s="48"/>
      <c r="B206" s="16"/>
      <c r="C206" s="19"/>
      <c r="D206" s="170"/>
    </row>
    <row r="207" spans="1:4" s="14" customFormat="1" hidden="1" outlineLevel="3" x14ac:dyDescent="0.3">
      <c r="A207" s="48"/>
      <c r="B207" s="16"/>
      <c r="C207" s="19"/>
      <c r="D207" s="170"/>
    </row>
    <row r="208" spans="1:4" s="14" customFormat="1" hidden="1" outlineLevel="3" x14ac:dyDescent="0.3">
      <c r="A208" s="48"/>
      <c r="B208" s="16"/>
      <c r="C208" s="19"/>
      <c r="D208" s="170"/>
    </row>
    <row r="209" spans="1:4" x14ac:dyDescent="0.3">
      <c r="A209" s="178" t="s">
        <v>364</v>
      </c>
      <c r="B209" s="178"/>
      <c r="C209" s="178"/>
      <c r="D209" s="178"/>
    </row>
    <row r="210" spans="1:4" outlineLevel="1" collapsed="1" x14ac:dyDescent="0.3">
      <c r="A210" s="178" t="s">
        <v>365</v>
      </c>
      <c r="B210" s="178"/>
      <c r="C210" s="178"/>
      <c r="D210" s="178"/>
    </row>
    <row r="211" spans="1:4" s="14" customFormat="1" hidden="1" outlineLevel="2" x14ac:dyDescent="0.3">
      <c r="A211" s="48"/>
      <c r="B211" s="16"/>
      <c r="C211" s="19"/>
      <c r="D211" s="169" t="s">
        <v>414</v>
      </c>
    </row>
    <row r="212" spans="1:4" s="14" customFormat="1" hidden="1" outlineLevel="2" x14ac:dyDescent="0.3">
      <c r="A212" s="48"/>
      <c r="B212" s="16"/>
      <c r="C212" s="19"/>
      <c r="D212" s="170"/>
    </row>
    <row r="213" spans="1:4" s="14" customFormat="1" hidden="1" outlineLevel="2" x14ac:dyDescent="0.3">
      <c r="A213" s="48"/>
      <c r="B213" s="16"/>
      <c r="C213" s="19"/>
      <c r="D213" s="170"/>
    </row>
    <row r="214" spans="1:4" s="14" customFormat="1" hidden="1" outlineLevel="2" x14ac:dyDescent="0.3">
      <c r="A214" s="48"/>
      <c r="B214" s="16"/>
      <c r="C214" s="19"/>
      <c r="D214" s="170"/>
    </row>
    <row r="215" spans="1:4" s="14" customFormat="1" hidden="1" outlineLevel="2" x14ac:dyDescent="0.3">
      <c r="A215" s="48"/>
      <c r="B215" s="16"/>
      <c r="C215" s="19"/>
      <c r="D215" s="170"/>
    </row>
    <row r="216" spans="1:4" s="14" customFormat="1" hidden="1" outlineLevel="2" x14ac:dyDescent="0.3">
      <c r="A216" s="48"/>
      <c r="B216" s="16"/>
      <c r="C216" s="19"/>
      <c r="D216" s="170"/>
    </row>
    <row r="217" spans="1:4" s="14" customFormat="1" hidden="1" outlineLevel="2" x14ac:dyDescent="0.3">
      <c r="A217" s="48"/>
      <c r="B217" s="16"/>
      <c r="C217" s="19"/>
      <c r="D217" s="171"/>
    </row>
    <row r="218" spans="1:4" outlineLevel="1" collapsed="1" x14ac:dyDescent="0.3">
      <c r="A218" s="178" t="s">
        <v>366</v>
      </c>
      <c r="B218" s="178"/>
      <c r="C218" s="178"/>
      <c r="D218" s="178"/>
    </row>
    <row r="219" spans="1:4" s="14" customFormat="1" hidden="1" outlineLevel="2" x14ac:dyDescent="0.3">
      <c r="A219" s="48"/>
      <c r="B219" s="16"/>
      <c r="C219" s="19"/>
      <c r="D219" s="169" t="s">
        <v>414</v>
      </c>
    </row>
    <row r="220" spans="1:4" s="14" customFormat="1" hidden="1" outlineLevel="2" x14ac:dyDescent="0.3">
      <c r="A220" s="48"/>
      <c r="B220" s="16"/>
      <c r="C220" s="19"/>
      <c r="D220" s="170"/>
    </row>
    <row r="221" spans="1:4" s="14" customFormat="1" hidden="1" outlineLevel="2" x14ac:dyDescent="0.3">
      <c r="A221" s="48"/>
      <c r="B221" s="16"/>
      <c r="C221" s="19"/>
      <c r="D221" s="170"/>
    </row>
    <row r="222" spans="1:4" s="14" customFormat="1" hidden="1" outlineLevel="2" x14ac:dyDescent="0.3">
      <c r="A222" s="48"/>
      <c r="B222" s="16"/>
      <c r="C222" s="19"/>
      <c r="D222" s="170"/>
    </row>
    <row r="223" spans="1:4" s="14" customFormat="1" hidden="1" outlineLevel="2" x14ac:dyDescent="0.3">
      <c r="A223" s="48"/>
      <c r="B223" s="16"/>
      <c r="C223" s="19"/>
      <c r="D223" s="170"/>
    </row>
    <row r="224" spans="1:4" s="14" customFormat="1" hidden="1" outlineLevel="2" x14ac:dyDescent="0.3">
      <c r="A224" s="48"/>
      <c r="B224" s="16"/>
      <c r="C224" s="19"/>
      <c r="D224" s="170"/>
    </row>
    <row r="225" spans="1:4" s="14" customFormat="1" hidden="1" outlineLevel="2" x14ac:dyDescent="0.3">
      <c r="A225" s="48"/>
      <c r="B225" s="16"/>
      <c r="C225" s="19"/>
      <c r="D225" s="170"/>
    </row>
    <row r="226" spans="1:4" s="14" customFormat="1" hidden="1" outlineLevel="2" x14ac:dyDescent="0.3">
      <c r="A226" s="48"/>
      <c r="B226" s="16"/>
      <c r="C226" s="19"/>
      <c r="D226" s="170"/>
    </row>
    <row r="227" spans="1:4" s="14" customFormat="1" hidden="1" outlineLevel="2" x14ac:dyDescent="0.3">
      <c r="A227" s="48"/>
      <c r="B227" s="16"/>
      <c r="C227" s="19"/>
      <c r="D227" s="170"/>
    </row>
    <row r="228" spans="1:4" s="14" customFormat="1" hidden="1" outlineLevel="2" x14ac:dyDescent="0.3">
      <c r="A228" s="48"/>
      <c r="B228" s="16"/>
      <c r="C228" s="19"/>
      <c r="D228" s="170"/>
    </row>
    <row r="229" spans="1:4" s="14" customFormat="1" hidden="1" outlineLevel="2" x14ac:dyDescent="0.3">
      <c r="A229" s="48"/>
      <c r="B229" s="16"/>
      <c r="C229" s="19"/>
      <c r="D229" s="170"/>
    </row>
    <row r="230" spans="1:4" s="14" customFormat="1" hidden="1" outlineLevel="2" x14ac:dyDescent="0.3">
      <c r="A230" s="48"/>
      <c r="B230" s="16"/>
      <c r="C230" s="19"/>
      <c r="D230" s="170"/>
    </row>
    <row r="231" spans="1:4" s="14" customFormat="1" hidden="1" outlineLevel="2" x14ac:dyDescent="0.3">
      <c r="A231" s="48"/>
      <c r="B231" s="16"/>
      <c r="C231" s="19"/>
      <c r="D231" s="170"/>
    </row>
    <row r="232" spans="1:4" s="14" customFormat="1" hidden="1" outlineLevel="2" x14ac:dyDescent="0.3">
      <c r="A232" s="48"/>
      <c r="B232" s="16"/>
      <c r="C232" s="19"/>
      <c r="D232" s="170"/>
    </row>
    <row r="233" spans="1:4" s="14" customFormat="1" hidden="1" outlineLevel="2" x14ac:dyDescent="0.3">
      <c r="A233" s="48"/>
      <c r="B233" s="16"/>
      <c r="C233" s="19"/>
      <c r="D233" s="170"/>
    </row>
    <row r="234" spans="1:4" outlineLevel="1" collapsed="1" x14ac:dyDescent="0.3">
      <c r="A234" s="178" t="s">
        <v>367</v>
      </c>
      <c r="B234" s="178"/>
      <c r="C234" s="178"/>
      <c r="D234" s="178"/>
    </row>
    <row r="235" spans="1:4" s="14" customFormat="1" hidden="1" outlineLevel="2" x14ac:dyDescent="0.3">
      <c r="A235" s="48"/>
      <c r="B235" s="16"/>
      <c r="C235" s="19"/>
      <c r="D235" s="169" t="s">
        <v>414</v>
      </c>
    </row>
    <row r="236" spans="1:4" s="14" customFormat="1" hidden="1" outlineLevel="2" x14ac:dyDescent="0.3">
      <c r="A236" s="48"/>
      <c r="B236" s="16"/>
      <c r="C236" s="19"/>
      <c r="D236" s="171"/>
    </row>
    <row r="237" spans="1:4" outlineLevel="1" collapsed="1" x14ac:dyDescent="0.3">
      <c r="A237" s="178" t="s">
        <v>368</v>
      </c>
      <c r="B237" s="178"/>
      <c r="C237" s="178"/>
      <c r="D237" s="178"/>
    </row>
    <row r="238" spans="1:4" s="14" customFormat="1" hidden="1" outlineLevel="2" x14ac:dyDescent="0.3">
      <c r="A238" s="48"/>
      <c r="B238" s="16"/>
      <c r="C238" s="19"/>
      <c r="D238" s="169" t="s">
        <v>414</v>
      </c>
    </row>
    <row r="239" spans="1:4" s="14" customFormat="1" hidden="1" outlineLevel="2" x14ac:dyDescent="0.3">
      <c r="A239" s="48"/>
      <c r="B239" s="16"/>
      <c r="C239" s="19"/>
      <c r="D239" s="171"/>
    </row>
    <row r="240" spans="1:4" outlineLevel="1" collapsed="1" x14ac:dyDescent="0.3">
      <c r="A240" s="178" t="s">
        <v>369</v>
      </c>
      <c r="B240" s="178"/>
      <c r="C240" s="178"/>
      <c r="D240" s="178"/>
    </row>
    <row r="241" spans="1:4" s="14" customFormat="1" ht="26" hidden="1" outlineLevel="2" x14ac:dyDescent="0.3">
      <c r="A241" s="48"/>
      <c r="B241" s="48"/>
      <c r="C241" s="48"/>
      <c r="D241" s="48" t="s">
        <v>414</v>
      </c>
    </row>
    <row r="242" spans="1:4" outlineLevel="1" x14ac:dyDescent="0.3">
      <c r="A242" s="178" t="s">
        <v>370</v>
      </c>
      <c r="B242" s="178"/>
      <c r="C242" s="178"/>
      <c r="D242" s="178"/>
    </row>
    <row r="243" spans="1:4" ht="26" outlineLevel="2" x14ac:dyDescent="0.3">
      <c r="A243" s="55" t="str">
        <f>Базовый!A231</f>
        <v>Административно-управленческий персонал</v>
      </c>
      <c r="B243" s="58" t="str">
        <f>Базовый!B231</f>
        <v>шт.ед.</v>
      </c>
      <c r="C243" s="60">
        <f>Базовый!C231</f>
        <v>9.2293493308721747E-3</v>
      </c>
      <c r="D243" s="55"/>
    </row>
    <row r="244" spans="1:4" outlineLevel="2" x14ac:dyDescent="0.3">
      <c r="A244" s="55" t="str">
        <f>Базовый!A232</f>
        <v>Обслуживающий персонал</v>
      </c>
      <c r="B244" s="58" t="str">
        <f>Базовый!B232</f>
        <v>шт.ед.</v>
      </c>
      <c r="C244" s="60">
        <f>Базовый!C232</f>
        <v>6.2298107983387176E-2</v>
      </c>
      <c r="D244" s="55"/>
    </row>
    <row r="245" spans="1:4" outlineLevel="1" x14ac:dyDescent="0.3">
      <c r="A245" s="178" t="s">
        <v>371</v>
      </c>
      <c r="B245" s="178"/>
      <c r="C245" s="178"/>
      <c r="D245" s="178"/>
    </row>
    <row r="246" spans="1:4" outlineLevel="2" x14ac:dyDescent="0.3">
      <c r="A246" s="55" t="str">
        <f>Базовый!A234</f>
        <v>Исследование воды (питьевая)</v>
      </c>
      <c r="B246" s="58" t="str">
        <f>Базовый!B234</f>
        <v>усл. ед.</v>
      </c>
      <c r="C246" s="60">
        <f>Базовый!C234</f>
        <v>4.6146746654360873E-3</v>
      </c>
      <c r="D246" s="169" t="s">
        <v>414</v>
      </c>
    </row>
    <row r="247" spans="1:4" outlineLevel="2" x14ac:dyDescent="0.3">
      <c r="A247" s="55" t="str">
        <f>Базовый!A235</f>
        <v>Исследование песка</v>
      </c>
      <c r="B247" s="58" t="str">
        <f>Базовый!B235</f>
        <v>усл. ед.</v>
      </c>
      <c r="C247" s="60">
        <f>Базовый!C235</f>
        <v>4.6146746654360873E-3</v>
      </c>
      <c r="D247" s="170"/>
    </row>
    <row r="248" spans="1:4" ht="26" outlineLevel="2" x14ac:dyDescent="0.3">
      <c r="A248" s="55" t="str">
        <f>Базовый!A236</f>
        <v>Услуги СЭС (дезинфекция при ротовирусе)</v>
      </c>
      <c r="B248" s="58" t="str">
        <f>Базовый!B236</f>
        <v>усл. ед.</v>
      </c>
      <c r="C248" s="60">
        <f>Базовый!C236</f>
        <v>0</v>
      </c>
      <c r="D248" s="170"/>
    </row>
    <row r="249" spans="1:4" s="14" customFormat="1" hidden="1" outlineLevel="2" x14ac:dyDescent="0.3">
      <c r="A249" s="48"/>
      <c r="B249" s="16"/>
      <c r="C249" s="19"/>
      <c r="D249" s="170"/>
    </row>
    <row r="250" spans="1:4" s="14" customFormat="1" hidden="1" outlineLevel="2" x14ac:dyDescent="0.3">
      <c r="A250" s="48"/>
      <c r="B250" s="16"/>
      <c r="C250" s="19"/>
      <c r="D250" s="170"/>
    </row>
    <row r="251" spans="1:4" s="14" customFormat="1" hidden="1" outlineLevel="2" x14ac:dyDescent="0.3">
      <c r="A251" s="48"/>
      <c r="B251" s="16"/>
      <c r="C251" s="19"/>
      <c r="D251" s="170"/>
    </row>
    <row r="252" spans="1:4" s="14" customFormat="1" hidden="1" outlineLevel="2" x14ac:dyDescent="0.3">
      <c r="A252" s="48"/>
      <c r="B252" s="16"/>
      <c r="C252" s="19"/>
      <c r="D252" s="170"/>
    </row>
    <row r="253" spans="1:4" s="14" customFormat="1" hidden="1" outlineLevel="2" x14ac:dyDescent="0.3">
      <c r="A253" s="48"/>
      <c r="B253" s="16"/>
      <c r="C253" s="19"/>
      <c r="D253" s="170"/>
    </row>
    <row r="254" spans="1:4" s="14" customFormat="1" hidden="1" outlineLevel="2" x14ac:dyDescent="0.3">
      <c r="A254" s="48"/>
      <c r="B254" s="16"/>
      <c r="C254" s="19"/>
      <c r="D254" s="170"/>
    </row>
    <row r="255" spans="1:4" s="14" customFormat="1" hidden="1" outlineLevel="2" x14ac:dyDescent="0.3">
      <c r="A255" s="48"/>
      <c r="B255" s="16"/>
      <c r="C255" s="19"/>
      <c r="D255" s="170"/>
    </row>
    <row r="256" spans="1:4" s="14" customFormat="1" hidden="1" outlineLevel="2" x14ac:dyDescent="0.3">
      <c r="A256" s="48"/>
      <c r="B256" s="16"/>
      <c r="C256" s="19"/>
      <c r="D256" s="170"/>
    </row>
    <row r="257" spans="1:4" s="14" customFormat="1" hidden="1" outlineLevel="2" x14ac:dyDescent="0.3">
      <c r="A257" s="48"/>
      <c r="B257" s="16"/>
      <c r="C257" s="19"/>
      <c r="D257" s="170"/>
    </row>
    <row r="258" spans="1:4" s="14" customFormat="1" hidden="1" outlineLevel="2" x14ac:dyDescent="0.3">
      <c r="A258" s="48"/>
      <c r="B258" s="16"/>
      <c r="C258" s="19"/>
      <c r="D258" s="170"/>
    </row>
    <row r="259" spans="1:4" s="14" customFormat="1" hidden="1" outlineLevel="2" x14ac:dyDescent="0.3">
      <c r="A259" s="48"/>
      <c r="B259" s="16"/>
      <c r="C259" s="19"/>
      <c r="D259" s="170"/>
    </row>
    <row r="260" spans="1:4" s="14" customFormat="1" hidden="1" outlineLevel="2" x14ac:dyDescent="0.3">
      <c r="A260" s="48"/>
      <c r="B260" s="16"/>
      <c r="C260" s="19"/>
      <c r="D260" s="170"/>
    </row>
    <row r="261" spans="1:4" s="14" customFormat="1" hidden="1" outlineLevel="2" x14ac:dyDescent="0.3">
      <c r="A261" s="48"/>
      <c r="B261" s="16"/>
      <c r="C261" s="19"/>
      <c r="D261" s="170"/>
    </row>
    <row r="262" spans="1:4" s="14" customFormat="1" hidden="1" outlineLevel="2" x14ac:dyDescent="0.3">
      <c r="A262" s="48"/>
      <c r="B262" s="16"/>
      <c r="C262" s="19"/>
      <c r="D262" s="170"/>
    </row>
    <row r="263" spans="1:4" s="14" customFormat="1" hidden="1" outlineLevel="2" x14ac:dyDescent="0.3">
      <c r="A263" s="48"/>
      <c r="B263" s="16"/>
      <c r="C263" s="19"/>
      <c r="D263" s="170"/>
    </row>
    <row r="264" spans="1:4" s="14" customFormat="1" hidden="1" outlineLevel="2" x14ac:dyDescent="0.3">
      <c r="A264" s="48"/>
      <c r="B264" s="16"/>
      <c r="C264" s="19"/>
      <c r="D264" s="170"/>
    </row>
    <row r="265" spans="1:4" s="14" customFormat="1" hidden="1" outlineLevel="2" x14ac:dyDescent="0.3">
      <c r="A265" s="48"/>
      <c r="B265" s="16"/>
      <c r="C265" s="19"/>
      <c r="D265" s="170"/>
    </row>
    <row r="266" spans="1:4" s="14" customFormat="1" hidden="1" outlineLevel="2" x14ac:dyDescent="0.3">
      <c r="A266" s="48"/>
      <c r="B266" s="16"/>
      <c r="C266" s="19"/>
      <c r="D266" s="170"/>
    </row>
    <row r="267" spans="1:4" s="14" customFormat="1" hidden="1" outlineLevel="2" x14ac:dyDescent="0.3">
      <c r="A267" s="48"/>
      <c r="B267" s="16"/>
      <c r="C267" s="19"/>
      <c r="D267" s="170"/>
    </row>
    <row r="268" spans="1:4" s="14" customFormat="1" hidden="1" outlineLevel="2" x14ac:dyDescent="0.3">
      <c r="A268" s="48"/>
      <c r="B268" s="16"/>
      <c r="C268" s="19"/>
      <c r="D268" s="170"/>
    </row>
    <row r="269" spans="1:4" s="14" customFormat="1" hidden="1" outlineLevel="2" x14ac:dyDescent="0.3">
      <c r="A269" s="48"/>
      <c r="B269" s="16"/>
      <c r="C269" s="19"/>
      <c r="D269" s="170"/>
    </row>
    <row r="270" spans="1:4" s="14" customFormat="1" hidden="1" outlineLevel="2" x14ac:dyDescent="0.3">
      <c r="A270" s="48"/>
      <c r="B270" s="16"/>
      <c r="C270" s="19"/>
      <c r="D270" s="170"/>
    </row>
    <row r="271" spans="1:4" s="14" customFormat="1" hidden="1" outlineLevel="2" x14ac:dyDescent="0.3">
      <c r="A271" s="48"/>
      <c r="B271" s="16"/>
      <c r="C271" s="19"/>
      <c r="D271" s="170"/>
    </row>
    <row r="272" spans="1:4" s="14" customFormat="1" hidden="1" outlineLevel="2" x14ac:dyDescent="0.3">
      <c r="A272" s="48"/>
      <c r="B272" s="16"/>
      <c r="C272" s="19"/>
      <c r="D272" s="170"/>
    </row>
    <row r="273" spans="1:4" s="14" customFormat="1" hidden="1" outlineLevel="2" x14ac:dyDescent="0.3">
      <c r="A273" s="48"/>
      <c r="B273" s="16"/>
      <c r="C273" s="19"/>
      <c r="D273" s="170"/>
    </row>
    <row r="274" spans="1:4" s="14" customFormat="1" hidden="1" outlineLevel="2" x14ac:dyDescent="0.3">
      <c r="A274" s="48"/>
      <c r="B274" s="16"/>
      <c r="C274" s="19"/>
      <c r="D274" s="170"/>
    </row>
    <row r="275" spans="1:4" s="14" customFormat="1" hidden="1" outlineLevel="2" x14ac:dyDescent="0.3">
      <c r="A275" s="48"/>
      <c r="B275" s="16"/>
      <c r="C275" s="19"/>
      <c r="D275" s="170"/>
    </row>
    <row r="276" spans="1:4" s="14" customFormat="1" hidden="1" outlineLevel="2" x14ac:dyDescent="0.3">
      <c r="A276" s="48"/>
      <c r="B276" s="16"/>
      <c r="C276" s="19"/>
      <c r="D276" s="170"/>
    </row>
    <row r="277" spans="1:4" s="14" customFormat="1" hidden="1" outlineLevel="2" x14ac:dyDescent="0.3">
      <c r="A277" s="48"/>
      <c r="B277" s="16"/>
      <c r="C277" s="19"/>
      <c r="D277" s="170"/>
    </row>
    <row r="278" spans="1:4" s="14" customFormat="1" hidden="1" outlineLevel="2" x14ac:dyDescent="0.3">
      <c r="A278" s="48"/>
      <c r="B278" s="16"/>
      <c r="C278" s="19"/>
      <c r="D278" s="170"/>
    </row>
    <row r="279" spans="1:4" x14ac:dyDescent="0.3">
      <c r="A279" s="62"/>
    </row>
    <row r="280" spans="1:4" ht="37.5" customHeight="1" x14ac:dyDescent="0.3">
      <c r="A280" s="62" t="s">
        <v>372</v>
      </c>
      <c r="B280" s="63"/>
      <c r="C280" s="63"/>
    </row>
    <row r="281" spans="1:4" ht="17.25" customHeight="1" x14ac:dyDescent="0.3">
      <c r="A281" s="179" t="s">
        <v>373</v>
      </c>
      <c r="B281" s="179"/>
      <c r="C281" s="179"/>
      <c r="D281" s="179"/>
    </row>
    <row r="282" spans="1:4" ht="44.25" customHeight="1" x14ac:dyDescent="0.3">
      <c r="A282" s="179" t="s">
        <v>374</v>
      </c>
      <c r="B282" s="179"/>
      <c r="C282" s="179"/>
      <c r="D282" s="179"/>
    </row>
    <row r="283" spans="1:4" ht="42.75" customHeight="1" x14ac:dyDescent="0.3">
      <c r="A283" s="179" t="s">
        <v>374</v>
      </c>
      <c r="B283" s="179"/>
      <c r="C283" s="179"/>
      <c r="D283" s="179"/>
    </row>
    <row r="284" spans="1:4" ht="19.899999999999999" customHeight="1" x14ac:dyDescent="0.3">
      <c r="A284" s="179" t="s">
        <v>375</v>
      </c>
      <c r="B284" s="179"/>
      <c r="C284" s="179"/>
      <c r="D284" s="179"/>
    </row>
    <row r="285" spans="1:4" ht="36.65" customHeight="1" x14ac:dyDescent="0.3">
      <c r="A285" s="179" t="s">
        <v>376</v>
      </c>
      <c r="B285" s="179"/>
      <c r="C285" s="179"/>
      <c r="D285" s="179"/>
    </row>
  </sheetData>
  <autoFilter ref="A10:D278">
    <filterColumn colId="0">
      <customFilters>
        <customFilter operator="notEqual" val=" "/>
      </customFilters>
    </filterColumn>
  </autoFilter>
  <mergeCells count="33">
    <mergeCell ref="A284:D284"/>
    <mergeCell ref="A285:D285"/>
    <mergeCell ref="A240:D240"/>
    <mergeCell ref="A242:D242"/>
    <mergeCell ref="A245:D245"/>
    <mergeCell ref="D246:D278"/>
    <mergeCell ref="A281:D281"/>
    <mergeCell ref="A282:D282"/>
    <mergeCell ref="A283:D283"/>
    <mergeCell ref="A16:D16"/>
    <mergeCell ref="A20:D20"/>
    <mergeCell ref="D17:D19"/>
    <mergeCell ref="A13:D13"/>
    <mergeCell ref="A12:D12"/>
    <mergeCell ref="A14:D14"/>
    <mergeCell ref="A15:D15"/>
    <mergeCell ref="D238:D239"/>
    <mergeCell ref="D21:D110"/>
    <mergeCell ref="A111:D111"/>
    <mergeCell ref="D112:D208"/>
    <mergeCell ref="A209:D209"/>
    <mergeCell ref="A210:D210"/>
    <mergeCell ref="A218:D218"/>
    <mergeCell ref="D235:D236"/>
    <mergeCell ref="A237:D237"/>
    <mergeCell ref="D219:D233"/>
    <mergeCell ref="D211:D217"/>
    <mergeCell ref="A234:D234"/>
    <mergeCell ref="A4:D4"/>
    <mergeCell ref="A5:D5"/>
    <mergeCell ref="A6:D6"/>
    <mergeCell ref="A7:D7"/>
    <mergeCell ref="A11:D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75"/>
  <sheetViews>
    <sheetView view="pageBreakPreview" zoomScale="85" zoomScaleNormal="100" zoomScaleSheetLayoutView="85" workbookViewId="0">
      <pane ySplit="8" topLeftCell="A206" activePane="bottomLeft" state="frozen"/>
      <selection activeCell="A285" sqref="A285:D285"/>
      <selection pane="bottomLeft" activeCell="B240" sqref="B240"/>
    </sheetView>
  </sheetViews>
  <sheetFormatPr defaultColWidth="9.1796875" defaultRowHeight="13" outlineLevelRow="3" x14ac:dyDescent="0.35"/>
  <cols>
    <col min="1" max="6" width="25.7265625" style="53" customWidth="1"/>
    <col min="7" max="16384" width="9.1796875" style="53"/>
  </cols>
  <sheetData>
    <row r="1" spans="1:6" x14ac:dyDescent="0.35">
      <c r="A1" s="65"/>
      <c r="F1" s="66" t="s">
        <v>377</v>
      </c>
    </row>
    <row r="2" spans="1:6" ht="14.5" customHeight="1" x14ac:dyDescent="0.35">
      <c r="A2" s="65"/>
      <c r="F2" s="61" t="s">
        <v>378</v>
      </c>
    </row>
    <row r="3" spans="1:6" x14ac:dyDescent="0.35">
      <c r="A3" s="67"/>
    </row>
    <row r="4" spans="1:6" x14ac:dyDescent="0.35">
      <c r="A4" s="180" t="s">
        <v>379</v>
      </c>
      <c r="B4" s="180"/>
      <c r="C4" s="180"/>
      <c r="D4" s="180"/>
      <c r="E4" s="180"/>
      <c r="F4" s="180"/>
    </row>
    <row r="5" spans="1:6" x14ac:dyDescent="0.35">
      <c r="A5" s="180" t="s">
        <v>380</v>
      </c>
      <c r="B5" s="180"/>
      <c r="C5" s="180"/>
      <c r="D5" s="180"/>
      <c r="E5" s="180"/>
      <c r="F5" s="180"/>
    </row>
    <row r="6" spans="1:6" x14ac:dyDescent="0.35">
      <c r="A6" s="67"/>
    </row>
    <row r="7" spans="1:6" ht="26" x14ac:dyDescent="0.35">
      <c r="A7" s="58" t="s">
        <v>0</v>
      </c>
      <c r="B7" s="58" t="s">
        <v>255</v>
      </c>
      <c r="C7" s="58" t="s">
        <v>257</v>
      </c>
      <c r="D7" s="58" t="s">
        <v>258</v>
      </c>
      <c r="E7" s="58" t="s">
        <v>259</v>
      </c>
      <c r="F7" s="58" t="s">
        <v>381</v>
      </c>
    </row>
    <row r="8" spans="1:6" x14ac:dyDescent="0.35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</row>
    <row r="9" spans="1:6" ht="28.9" customHeight="1" x14ac:dyDescent="0.35">
      <c r="A9" s="175" t="s">
        <v>430</v>
      </c>
      <c r="B9" s="175"/>
      <c r="C9" s="175"/>
      <c r="D9" s="175"/>
      <c r="E9" s="175"/>
      <c r="F9" s="175"/>
    </row>
    <row r="10" spans="1:6" ht="28.9" customHeight="1" x14ac:dyDescent="0.35">
      <c r="A10" s="175" t="s">
        <v>431</v>
      </c>
      <c r="B10" s="175"/>
      <c r="C10" s="175"/>
      <c r="D10" s="175"/>
      <c r="E10" s="175"/>
      <c r="F10" s="175"/>
    </row>
    <row r="11" spans="1:6" ht="30" customHeight="1" x14ac:dyDescent="0.35">
      <c r="A11" s="175" t="s">
        <v>4</v>
      </c>
      <c r="B11" s="175"/>
      <c r="C11" s="175"/>
      <c r="D11" s="175"/>
      <c r="E11" s="68">
        <f>E12+E16+E107</f>
        <v>30897.080569784204</v>
      </c>
      <c r="F11" s="181" t="s">
        <v>414</v>
      </c>
    </row>
    <row r="12" spans="1:6" ht="30" customHeight="1" outlineLevel="1" collapsed="1" x14ac:dyDescent="0.35">
      <c r="A12" s="175" t="s">
        <v>5</v>
      </c>
      <c r="B12" s="175"/>
      <c r="C12" s="175"/>
      <c r="D12" s="175"/>
      <c r="E12" s="52">
        <f>SUM(E13:E15)</f>
        <v>6390.5722196585139</v>
      </c>
      <c r="F12" s="182"/>
    </row>
    <row r="13" spans="1:6" hidden="1" outlineLevel="2" x14ac:dyDescent="0.35">
      <c r="A13" s="55"/>
      <c r="B13" s="60"/>
      <c r="C13" s="52"/>
      <c r="D13" s="52"/>
      <c r="E13" s="52"/>
      <c r="F13" s="182"/>
    </row>
    <row r="14" spans="1:6" ht="26" outlineLevel="2" x14ac:dyDescent="0.35">
      <c r="A14" s="55" t="str">
        <f>Базовый!A6</f>
        <v>Средний медицинский персонал</v>
      </c>
      <c r="B14" s="60">
        <f>Базовый!C6</f>
        <v>9.6908167974157824E-3</v>
      </c>
      <c r="C14" s="52">
        <f>Базовый!T6</f>
        <v>1</v>
      </c>
      <c r="D14" s="52">
        <f>Базовый!U6</f>
        <v>557890</v>
      </c>
      <c r="E14" s="52">
        <f>B14/C14*D14</f>
        <v>5406.4097831102908</v>
      </c>
      <c r="F14" s="182"/>
    </row>
    <row r="15" spans="1:6" outlineLevel="2" x14ac:dyDescent="0.35">
      <c r="A15" s="55" t="str">
        <f>Базовый!A7</f>
        <v xml:space="preserve">Учебно-вспомогательный </v>
      </c>
      <c r="B15" s="60">
        <f>Базовый!C7</f>
        <v>4.6146746654360873E-3</v>
      </c>
      <c r="C15" s="52">
        <f>Базовый!T7</f>
        <v>1</v>
      </c>
      <c r="D15" s="52">
        <f>Базовый!U7</f>
        <v>213268</v>
      </c>
      <c r="E15" s="52">
        <f>B15/C15*D15</f>
        <v>984.16243654822347</v>
      </c>
      <c r="F15" s="182"/>
    </row>
    <row r="16" spans="1:6" ht="45" customHeight="1" outlineLevel="1" x14ac:dyDescent="0.35">
      <c r="A16" s="175" t="s">
        <v>6</v>
      </c>
      <c r="B16" s="175"/>
      <c r="C16" s="175"/>
      <c r="D16" s="175"/>
      <c r="E16" s="52">
        <f>E17+E19+E27+E46+E77+E84+E89+E104</f>
        <v>23595.413160589978</v>
      </c>
      <c r="F16" s="182"/>
    </row>
    <row r="17" spans="1:6" ht="26" outlineLevel="2" x14ac:dyDescent="0.35">
      <c r="A17" s="55" t="str">
        <f>Базовый!A9</f>
        <v>Приобретение продуктов питания</v>
      </c>
      <c r="B17" s="60" t="str">
        <f>Базовый!C9</f>
        <v>х</v>
      </c>
      <c r="C17" s="52" t="str">
        <f>Базовый!T9</f>
        <v>х</v>
      </c>
      <c r="D17" s="52" t="str">
        <f>Базовый!U9</f>
        <v>х</v>
      </c>
      <c r="E17" s="52">
        <f>E18</f>
        <v>21208.431010613753</v>
      </c>
      <c r="F17" s="182"/>
    </row>
    <row r="18" spans="1:6" ht="26" outlineLevel="3" x14ac:dyDescent="0.35">
      <c r="A18" s="55" t="str">
        <f>Базовый!A10</f>
        <v>Продукты питания, согласно СанПиН 2.4.1.3049-13.</v>
      </c>
      <c r="B18" s="60">
        <f>Базовый!C10</f>
        <v>135.38070000000002</v>
      </c>
      <c r="C18" s="52">
        <f>Базовый!T10</f>
        <v>1</v>
      </c>
      <c r="D18" s="52">
        <f>Базовый!U10</f>
        <v>156.6577142134274</v>
      </c>
      <c r="E18" s="52">
        <f>B18/C18*D18</f>
        <v>21208.431010613753</v>
      </c>
      <c r="F18" s="182"/>
    </row>
    <row r="19" spans="1:6" ht="26" outlineLevel="2" x14ac:dyDescent="0.35">
      <c r="A19" s="55" t="str">
        <f>Базовый!A11</f>
        <v>Приобретение постельных принадлежностей</v>
      </c>
      <c r="B19" s="60" t="str">
        <f>Базовый!C11</f>
        <v>х</v>
      </c>
      <c r="C19" s="52" t="str">
        <f>Базовый!T11</f>
        <v>х</v>
      </c>
      <c r="D19" s="52" t="str">
        <f>Базовый!U11</f>
        <v>х</v>
      </c>
      <c r="E19" s="52">
        <f>SUM(E20:E26)</f>
        <v>815.47666666666669</v>
      </c>
      <c r="F19" s="182"/>
    </row>
    <row r="20" spans="1:6" outlineLevel="3" x14ac:dyDescent="0.35">
      <c r="A20" s="55" t="str">
        <f>Базовый!A12</f>
        <v>Приобретение матрасов</v>
      </c>
      <c r="B20" s="60">
        <f>Базовый!C12</f>
        <v>1</v>
      </c>
      <c r="C20" s="52">
        <f>Базовый!T12</f>
        <v>10</v>
      </c>
      <c r="D20" s="52">
        <f>Базовый!U12</f>
        <v>766.66666666666663</v>
      </c>
      <c r="E20" s="52">
        <f>B20/C20*D20</f>
        <v>76.666666666666671</v>
      </c>
      <c r="F20" s="182"/>
    </row>
    <row r="21" spans="1:6" outlineLevel="3" x14ac:dyDescent="0.35">
      <c r="A21" s="55" t="str">
        <f>Базовый!A13</f>
        <v>Приобретение подушек</v>
      </c>
      <c r="B21" s="60">
        <f>Базовый!C13</f>
        <v>1</v>
      </c>
      <c r="C21" s="52">
        <f>Базовый!T13</f>
        <v>5</v>
      </c>
      <c r="D21" s="52">
        <f>Базовый!U13</f>
        <v>176.5</v>
      </c>
      <c r="E21" s="52">
        <f>B21/C21*D21</f>
        <v>35.300000000000004</v>
      </c>
      <c r="F21" s="182"/>
    </row>
    <row r="22" spans="1:6" outlineLevel="3" x14ac:dyDescent="0.35">
      <c r="A22" s="55" t="str">
        <f>Базовый!A14</f>
        <v>Одеяло детское</v>
      </c>
      <c r="B22" s="60">
        <f>Базовый!C14</f>
        <v>1</v>
      </c>
      <c r="C22" s="52">
        <f>Базовый!T14</f>
        <v>10</v>
      </c>
      <c r="D22" s="52">
        <f>Базовый!U14</f>
        <v>430</v>
      </c>
      <c r="E22" s="52">
        <f>B22/C22*D22</f>
        <v>43</v>
      </c>
      <c r="F22" s="182"/>
    </row>
    <row r="23" spans="1:6" outlineLevel="3" x14ac:dyDescent="0.35">
      <c r="A23" s="55" t="str">
        <f>Базовый!A15</f>
        <v>Наволочки</v>
      </c>
      <c r="B23" s="60">
        <f>Базовый!C15</f>
        <v>1</v>
      </c>
      <c r="C23" s="52">
        <f>Базовый!T15</f>
        <v>1</v>
      </c>
      <c r="D23" s="52">
        <f>Базовый!U15</f>
        <v>90</v>
      </c>
      <c r="E23" s="52">
        <f t="shared" ref="E23:E86" si="0">B23/C23*D23</f>
        <v>90</v>
      </c>
      <c r="F23" s="182"/>
    </row>
    <row r="24" spans="1:6" outlineLevel="3" x14ac:dyDescent="0.35">
      <c r="A24" s="55" t="str">
        <f>Базовый!A16</f>
        <v>Простыни</v>
      </c>
      <c r="B24" s="60">
        <f>Базовый!C16</f>
        <v>1</v>
      </c>
      <c r="C24" s="52">
        <f>Базовый!T16</f>
        <v>1</v>
      </c>
      <c r="D24" s="52">
        <f>Базовый!U16</f>
        <v>161.66666666666666</v>
      </c>
      <c r="E24" s="52">
        <f t="shared" si="0"/>
        <v>161.66666666666666</v>
      </c>
      <c r="F24" s="182"/>
    </row>
    <row r="25" spans="1:6" outlineLevel="3" x14ac:dyDescent="0.35">
      <c r="A25" s="55" t="str">
        <f>Базовый!A17</f>
        <v>Пододеяльники</v>
      </c>
      <c r="B25" s="60">
        <f>Базовый!C17</f>
        <v>1</v>
      </c>
      <c r="C25" s="52">
        <f>Базовый!T17</f>
        <v>1</v>
      </c>
      <c r="D25" s="52">
        <f>Базовый!U17</f>
        <v>314.33333333333331</v>
      </c>
      <c r="E25" s="52">
        <f t="shared" si="0"/>
        <v>314.33333333333331</v>
      </c>
      <c r="F25" s="182"/>
    </row>
    <row r="26" spans="1:6" outlineLevel="3" x14ac:dyDescent="0.35">
      <c r="A26" s="55" t="str">
        <f>Базовый!A18</f>
        <v>Полотенце вафельное</v>
      </c>
      <c r="B26" s="60">
        <f>Базовый!C18</f>
        <v>1</v>
      </c>
      <c r="C26" s="52">
        <f>Базовый!T18</f>
        <v>1</v>
      </c>
      <c r="D26" s="52">
        <f>Базовый!U18</f>
        <v>94.509999999999991</v>
      </c>
      <c r="E26" s="52">
        <f t="shared" si="0"/>
        <v>94.509999999999991</v>
      </c>
      <c r="F26" s="182"/>
    </row>
    <row r="27" spans="1:6" outlineLevel="2" x14ac:dyDescent="0.35">
      <c r="A27" s="55" t="str">
        <f>Базовый!A19</f>
        <v>Мебель детская</v>
      </c>
      <c r="B27" s="60" t="str">
        <f>Базовый!C19</f>
        <v>х</v>
      </c>
      <c r="C27" s="52" t="str">
        <f>Базовый!T19</f>
        <v>х</v>
      </c>
      <c r="D27" s="52" t="str">
        <f>Базовый!U19</f>
        <v>х</v>
      </c>
      <c r="E27" s="52">
        <f>SUM(E28:E45)</f>
        <v>999.61285519452747</v>
      </c>
      <c r="F27" s="182"/>
    </row>
    <row r="28" spans="1:6" outlineLevel="3" x14ac:dyDescent="0.35">
      <c r="A28" s="55" t="str">
        <f>Базовый!A20</f>
        <v>Кровать детская</v>
      </c>
      <c r="B28" s="60">
        <f>Базовый!C20</f>
        <v>1</v>
      </c>
      <c r="C28" s="52">
        <f>Базовый!T20</f>
        <v>5</v>
      </c>
      <c r="D28" s="52">
        <f>Базовый!U20</f>
        <v>2410</v>
      </c>
      <c r="E28" s="52">
        <f t="shared" si="0"/>
        <v>482</v>
      </c>
      <c r="F28" s="182"/>
    </row>
    <row r="29" spans="1:6" outlineLevel="3" x14ac:dyDescent="0.35">
      <c r="A29" s="55" t="str">
        <f>Базовый!A21</f>
        <v>Стулья детские</v>
      </c>
      <c r="B29" s="60">
        <f>Базовый!C21</f>
        <v>1</v>
      </c>
      <c r="C29" s="52">
        <f>Базовый!T21</f>
        <v>5</v>
      </c>
      <c r="D29" s="52">
        <f>Базовый!U21</f>
        <v>540</v>
      </c>
      <c r="E29" s="52">
        <f t="shared" si="0"/>
        <v>108</v>
      </c>
      <c r="F29" s="182"/>
    </row>
    <row r="30" spans="1:6" outlineLevel="3" x14ac:dyDescent="0.35">
      <c r="A30" s="55" t="str">
        <f>Базовый!A22</f>
        <v>Шкаф для одежды,96*175*37</v>
      </c>
      <c r="B30" s="60">
        <f>Базовый!C22</f>
        <v>0.2</v>
      </c>
      <c r="C30" s="52">
        <f>Базовый!T22</f>
        <v>5</v>
      </c>
      <c r="D30" s="52">
        <f>Базовый!U22</f>
        <v>1208.2</v>
      </c>
      <c r="E30" s="52">
        <f t="shared" si="0"/>
        <v>48.328000000000003</v>
      </c>
      <c r="F30" s="182"/>
    </row>
    <row r="31" spans="1:6" outlineLevel="3" x14ac:dyDescent="0.35">
      <c r="A31" s="55" t="str">
        <f>Базовый!A23</f>
        <v>Скамейка,125*40*25</v>
      </c>
      <c r="B31" s="60">
        <f>Базовый!C23</f>
        <v>0.25</v>
      </c>
      <c r="C31" s="52">
        <f>Базовый!T23</f>
        <v>5</v>
      </c>
      <c r="D31" s="52">
        <f>Базовый!U23</f>
        <v>1070</v>
      </c>
      <c r="E31" s="52">
        <f t="shared" si="0"/>
        <v>53.5</v>
      </c>
      <c r="F31" s="182"/>
    </row>
    <row r="32" spans="1:6" ht="26" outlineLevel="3" x14ac:dyDescent="0.35">
      <c r="A32" s="55" t="str">
        <f>Базовый!A24</f>
        <v>Стол детский прямоугольный регулируемый</v>
      </c>
      <c r="B32" s="60">
        <f>Базовый!C24</f>
        <v>9.8360655737704916E-2</v>
      </c>
      <c r="C32" s="52">
        <f>Базовый!T24</f>
        <v>5</v>
      </c>
      <c r="D32" s="52">
        <f>Базовый!U24</f>
        <v>2158.3333333333335</v>
      </c>
      <c r="E32" s="52">
        <f t="shared" si="0"/>
        <v>42.459016393442624</v>
      </c>
      <c r="F32" s="182"/>
    </row>
    <row r="33" spans="1:6" ht="26" outlineLevel="3" x14ac:dyDescent="0.35">
      <c r="A33" s="55" t="str">
        <f>Базовый!A25</f>
        <v>Стол детский квадратный регулируемый</v>
      </c>
      <c r="B33" s="60">
        <f>Базовый!C25</f>
        <v>4.9180327868852458E-2</v>
      </c>
      <c r="C33" s="52">
        <f>Базовый!T25</f>
        <v>5</v>
      </c>
      <c r="D33" s="52">
        <f>Базовый!U25</f>
        <v>2233.3333333333335</v>
      </c>
      <c r="E33" s="52">
        <f t="shared" si="0"/>
        <v>21.967213114754099</v>
      </c>
      <c r="F33" s="182"/>
    </row>
    <row r="34" spans="1:6" outlineLevel="3" x14ac:dyDescent="0.35">
      <c r="A34" s="55" t="str">
        <f>Базовый!A26</f>
        <v>Стол разделочный (пищеблок)</v>
      </c>
      <c r="B34" s="60">
        <f>Базовый!C26</f>
        <v>2.7777777777777776E-2</v>
      </c>
      <c r="C34" s="52">
        <f>Базовый!T26</f>
        <v>5</v>
      </c>
      <c r="D34" s="52">
        <f>Базовый!U26</f>
        <v>5937.3</v>
      </c>
      <c r="E34" s="52">
        <f t="shared" si="0"/>
        <v>32.984999999999999</v>
      </c>
      <c r="F34" s="182"/>
    </row>
    <row r="35" spans="1:6" outlineLevel="3" x14ac:dyDescent="0.35">
      <c r="A35" s="55" t="str">
        <f>Базовый!A27</f>
        <v>Стеллаж (пищеблок)</v>
      </c>
      <c r="B35" s="60">
        <f>Базовый!C27</f>
        <v>9.2592592592592587E-3</v>
      </c>
      <c r="C35" s="52">
        <f>Базовый!T27</f>
        <v>5</v>
      </c>
      <c r="D35" s="52">
        <f>Базовый!U27</f>
        <v>11826.763333333334</v>
      </c>
      <c r="E35" s="52">
        <f t="shared" si="0"/>
        <v>21.901413580246913</v>
      </c>
      <c r="F35" s="182"/>
    </row>
    <row r="36" spans="1:6" ht="26" outlineLevel="3" x14ac:dyDescent="0.35">
      <c r="A36" s="55" t="str">
        <f>Базовый!A28</f>
        <v>Кухонный гарнитур со стойкой 100см</v>
      </c>
      <c r="B36" s="60">
        <f>Базовый!C28</f>
        <v>8.4033613445378148E-3</v>
      </c>
      <c r="C36" s="52">
        <f>Базовый!T28</f>
        <v>5</v>
      </c>
      <c r="D36" s="52">
        <f>Базовый!U28</f>
        <v>24083.333333333332</v>
      </c>
      <c r="E36" s="52">
        <f t="shared" si="0"/>
        <v>40.476190476190474</v>
      </c>
      <c r="F36" s="182"/>
    </row>
    <row r="37" spans="1:6" ht="26" outlineLevel="3" x14ac:dyDescent="0.35">
      <c r="A37" s="55" t="str">
        <f>Базовый!A29</f>
        <v>Стол кухонный со столешницей</v>
      </c>
      <c r="B37" s="60">
        <f>Базовый!C29</f>
        <v>8.5470085470085479E-3</v>
      </c>
      <c r="C37" s="52">
        <f>Базовый!T29</f>
        <v>5</v>
      </c>
      <c r="D37" s="52">
        <f>Базовый!U29</f>
        <v>8660</v>
      </c>
      <c r="E37" s="52">
        <f t="shared" si="0"/>
        <v>14.803418803418806</v>
      </c>
      <c r="F37" s="182"/>
    </row>
    <row r="38" spans="1:6" ht="39" outlineLevel="3" x14ac:dyDescent="0.35">
      <c r="A38" s="55" t="str">
        <f>Базовый!A30</f>
        <v>Шкаф для доски и полотенец на металлических ножках,145*100*35</v>
      </c>
      <c r="B38" s="60">
        <f>Базовый!C30</f>
        <v>8.4033613445378148E-3</v>
      </c>
      <c r="C38" s="52">
        <f>Базовый!T30</f>
        <v>5</v>
      </c>
      <c r="D38" s="52">
        <f>Базовый!U30</f>
        <v>7996.666666666667</v>
      </c>
      <c r="E38" s="52">
        <f t="shared" si="0"/>
        <v>13.439775910364146</v>
      </c>
      <c r="F38" s="182"/>
    </row>
    <row r="39" spans="1:6" outlineLevel="3" x14ac:dyDescent="0.35">
      <c r="A39" s="55" t="str">
        <f>Базовый!A31</f>
        <v>Шкаф для книг</v>
      </c>
      <c r="B39" s="60">
        <f>Базовый!C31</f>
        <v>1.680672268907563E-2</v>
      </c>
      <c r="C39" s="52">
        <f>Базовый!T31</f>
        <v>5</v>
      </c>
      <c r="D39" s="52">
        <f>Базовый!U31</f>
        <v>4156.666666666667</v>
      </c>
      <c r="E39" s="52">
        <f t="shared" si="0"/>
        <v>13.971988795518207</v>
      </c>
      <c r="F39" s="182"/>
    </row>
    <row r="40" spans="1:6" outlineLevel="3" x14ac:dyDescent="0.35">
      <c r="A40" s="55" t="str">
        <f>Базовый!A32</f>
        <v>Шкаф для документов</v>
      </c>
      <c r="B40" s="60">
        <f>Базовый!C32</f>
        <v>8.1967213114754103E-3</v>
      </c>
      <c r="C40" s="52">
        <f>Базовый!T32</f>
        <v>5</v>
      </c>
      <c r="D40" s="52">
        <f>Базовый!U32</f>
        <v>5410</v>
      </c>
      <c r="E40" s="52">
        <f t="shared" si="0"/>
        <v>8.8688524590163933</v>
      </c>
      <c r="F40" s="182"/>
    </row>
    <row r="41" spans="1:6" ht="26" outlineLevel="3" x14ac:dyDescent="0.35">
      <c r="A41" s="55" t="str">
        <f>Базовый!A33</f>
        <v>Шкаф для сотрудников трехстворчатый</v>
      </c>
      <c r="B41" s="60">
        <f>Базовый!C33</f>
        <v>8.5470085470085479E-3</v>
      </c>
      <c r="C41" s="52">
        <f>Базовый!T33</f>
        <v>5</v>
      </c>
      <c r="D41" s="52">
        <f>Базовый!U33</f>
        <v>12450</v>
      </c>
      <c r="E41" s="52">
        <f t="shared" si="0"/>
        <v>21.282051282051285</v>
      </c>
      <c r="F41" s="182"/>
    </row>
    <row r="42" spans="1:6" outlineLevel="3" x14ac:dyDescent="0.35">
      <c r="A42" s="55" t="str">
        <f>Базовый!A34</f>
        <v>Стул офисный</v>
      </c>
      <c r="B42" s="60">
        <f>Базовый!C34</f>
        <v>0.12820512820512819</v>
      </c>
      <c r="C42" s="52">
        <f>Базовый!T34</f>
        <v>5</v>
      </c>
      <c r="D42" s="52">
        <f>Базовый!U34</f>
        <v>893</v>
      </c>
      <c r="E42" s="52">
        <f t="shared" si="0"/>
        <v>22.897435897435898</v>
      </c>
      <c r="F42" s="182"/>
    </row>
    <row r="43" spans="1:6" ht="39" outlineLevel="3" x14ac:dyDescent="0.35">
      <c r="A43" s="55" t="str">
        <f>Базовый!A35</f>
        <v>Стол письменный с ящиками на металлических опорах,90*60*75</v>
      </c>
      <c r="B43" s="60">
        <f>Базовый!C35</f>
        <v>4.6296296296296294E-2</v>
      </c>
      <c r="C43" s="52">
        <f>Базовый!T35</f>
        <v>5</v>
      </c>
      <c r="D43" s="52">
        <f>Базовый!U35</f>
        <v>3787.7000000000003</v>
      </c>
      <c r="E43" s="52">
        <f t="shared" si="0"/>
        <v>35.071296296296296</v>
      </c>
      <c r="F43" s="182"/>
    </row>
    <row r="44" spans="1:6" outlineLevel="3" x14ac:dyDescent="0.35">
      <c r="A44" s="55" t="str">
        <f>Базовый!A36</f>
        <v>Стол компьютерный угловой</v>
      </c>
      <c r="B44" s="60">
        <f>Базовый!C36</f>
        <v>8.1967213114754103E-3</v>
      </c>
      <c r="C44" s="52">
        <f>Базовый!T36</f>
        <v>5</v>
      </c>
      <c r="D44" s="52">
        <f>Базовый!U36</f>
        <v>6563.333333333333</v>
      </c>
      <c r="E44" s="52">
        <f t="shared" si="0"/>
        <v>10.759562841530053</v>
      </c>
      <c r="F44" s="182"/>
    </row>
    <row r="45" spans="1:6" outlineLevel="3" x14ac:dyDescent="0.35">
      <c r="A45" s="55" t="str">
        <f>Базовый!A37</f>
        <v>Стол журнальный</v>
      </c>
      <c r="B45" s="60">
        <f>Базовый!C37</f>
        <v>8.1967213114754103E-3</v>
      </c>
      <c r="C45" s="52">
        <f>Базовый!T37</f>
        <v>5</v>
      </c>
      <c r="D45" s="52">
        <f>Базовый!U37</f>
        <v>4210</v>
      </c>
      <c r="E45" s="52">
        <f t="shared" si="0"/>
        <v>6.9016393442622954</v>
      </c>
      <c r="F45" s="182"/>
    </row>
    <row r="46" spans="1:6" outlineLevel="2" x14ac:dyDescent="0.35">
      <c r="A46" s="55" t="str">
        <f>Базовый!A38</f>
        <v>Посуда</v>
      </c>
      <c r="B46" s="60" t="str">
        <f>Базовый!C38</f>
        <v>х</v>
      </c>
      <c r="C46" s="52" t="str">
        <f>Базовый!T38</f>
        <v>х</v>
      </c>
      <c r="D46" s="52" t="str">
        <f>Базовый!U38</f>
        <v>х</v>
      </c>
      <c r="E46" s="52">
        <f>SUM(E47:E76)</f>
        <v>246.23308144166347</v>
      </c>
      <c r="F46" s="182"/>
    </row>
    <row r="47" spans="1:6" outlineLevel="3" x14ac:dyDescent="0.35">
      <c r="A47" s="55" t="str">
        <f>Базовый!A39</f>
        <v>Кастрюля 3л</v>
      </c>
      <c r="B47" s="60">
        <f>Базовый!C39</f>
        <v>7.6923076923076927E-2</v>
      </c>
      <c r="C47" s="52">
        <f>Базовый!T39</f>
        <v>5</v>
      </c>
      <c r="D47" s="52">
        <f>Базовый!U39</f>
        <v>917.66666666666663</v>
      </c>
      <c r="E47" s="52">
        <f t="shared" si="0"/>
        <v>14.117948717948718</v>
      </c>
      <c r="F47" s="182"/>
    </row>
    <row r="48" spans="1:6" outlineLevel="3" x14ac:dyDescent="0.35">
      <c r="A48" s="55" t="str">
        <f>Базовый!A40</f>
        <v>Кастрюля 5л</v>
      </c>
      <c r="B48" s="60">
        <f>Базовый!C40</f>
        <v>6.8376068376068383E-2</v>
      </c>
      <c r="C48" s="52">
        <f>Базовый!T40</f>
        <v>5</v>
      </c>
      <c r="D48" s="52">
        <f>Базовый!U40</f>
        <v>1378.3333333333333</v>
      </c>
      <c r="E48" s="52">
        <f t="shared" si="0"/>
        <v>18.849002849002851</v>
      </c>
      <c r="F48" s="182"/>
    </row>
    <row r="49" spans="1:6" outlineLevel="3" x14ac:dyDescent="0.35">
      <c r="A49" s="55" t="str">
        <f>Базовый!A41</f>
        <v>Кастрюля 11л</v>
      </c>
      <c r="B49" s="60">
        <f>Базовый!C41</f>
        <v>6.8376068376068383E-2</v>
      </c>
      <c r="C49" s="52">
        <f>Базовый!T41</f>
        <v>5</v>
      </c>
      <c r="D49" s="52">
        <f>Базовый!U41</f>
        <v>2472.3333333333335</v>
      </c>
      <c r="E49" s="52">
        <f t="shared" si="0"/>
        <v>33.809686609686615</v>
      </c>
      <c r="F49" s="182"/>
    </row>
    <row r="50" spans="1:6" outlineLevel="3" x14ac:dyDescent="0.35">
      <c r="A50" s="55" t="str">
        <f>Базовый!A42</f>
        <v>Кастрюля 15л</v>
      </c>
      <c r="B50" s="60">
        <f>Базовый!C42</f>
        <v>8.5470085470085479E-3</v>
      </c>
      <c r="C50" s="52">
        <f>Базовый!T42</f>
        <v>5</v>
      </c>
      <c r="D50" s="52">
        <f>Базовый!U42</f>
        <v>3291.6666666666665</v>
      </c>
      <c r="E50" s="52">
        <f t="shared" si="0"/>
        <v>5.6267806267806275</v>
      </c>
      <c r="F50" s="182"/>
    </row>
    <row r="51" spans="1:6" outlineLevel="3" x14ac:dyDescent="0.35">
      <c r="A51" s="55" t="str">
        <f>Базовый!A43</f>
        <v>Котел 20л</v>
      </c>
      <c r="B51" s="60">
        <f>Базовый!C43</f>
        <v>1.680672268907563E-2</v>
      </c>
      <c r="C51" s="52">
        <f>Базовый!T43</f>
        <v>5</v>
      </c>
      <c r="D51" s="52">
        <f>Базовый!U43</f>
        <v>3910</v>
      </c>
      <c r="E51" s="52">
        <f t="shared" si="0"/>
        <v>13.142857142857142</v>
      </c>
      <c r="F51" s="182"/>
    </row>
    <row r="52" spans="1:6" outlineLevel="3" x14ac:dyDescent="0.35">
      <c r="A52" s="55" t="str">
        <f>Базовый!A44</f>
        <v>Котел 30л</v>
      </c>
      <c r="B52" s="60">
        <f>Базовый!C44</f>
        <v>1.680672268907563E-2</v>
      </c>
      <c r="C52" s="52">
        <f>Базовый!T44</f>
        <v>5</v>
      </c>
      <c r="D52" s="52">
        <f>Базовый!U44</f>
        <v>4261</v>
      </c>
      <c r="E52" s="52">
        <f t="shared" si="0"/>
        <v>14.322689075630251</v>
      </c>
      <c r="F52" s="182"/>
    </row>
    <row r="53" spans="1:6" outlineLevel="3" x14ac:dyDescent="0.35">
      <c r="A53" s="55" t="str">
        <f>Базовый!A45</f>
        <v>Котел 40л</v>
      </c>
      <c r="B53" s="60">
        <f>Базовый!C45</f>
        <v>1.680672268907563E-2</v>
      </c>
      <c r="C53" s="52">
        <f>Базовый!T45</f>
        <v>5</v>
      </c>
      <c r="D53" s="52">
        <f>Базовый!U45</f>
        <v>5915</v>
      </c>
      <c r="E53" s="52">
        <f t="shared" si="0"/>
        <v>19.882352941176467</v>
      </c>
      <c r="F53" s="182"/>
    </row>
    <row r="54" spans="1:6" outlineLevel="3" x14ac:dyDescent="0.35">
      <c r="A54" s="55" t="str">
        <f>Базовый!A46</f>
        <v>Котел 34-37л</v>
      </c>
      <c r="B54" s="60">
        <f>Базовый!C46</f>
        <v>1.680672268907563E-2</v>
      </c>
      <c r="C54" s="52">
        <f>Базовый!T46</f>
        <v>5</v>
      </c>
      <c r="D54" s="52">
        <f>Базовый!U46</f>
        <v>5372</v>
      </c>
      <c r="E54" s="52">
        <f t="shared" si="0"/>
        <v>18.057142857142857</v>
      </c>
      <c r="F54" s="182"/>
    </row>
    <row r="55" spans="1:6" outlineLevel="3" x14ac:dyDescent="0.35">
      <c r="A55" s="55" t="str">
        <f>Базовый!A47</f>
        <v>Миска нерж (600мл)</v>
      </c>
      <c r="B55" s="60">
        <f>Базовый!C47</f>
        <v>5.128205128205128E-2</v>
      </c>
      <c r="C55" s="52">
        <f>Базовый!T47</f>
        <v>5</v>
      </c>
      <c r="D55" s="52">
        <f>Базовый!U47</f>
        <v>744.77</v>
      </c>
      <c r="E55" s="52">
        <f t="shared" si="0"/>
        <v>7.6386666666666665</v>
      </c>
      <c r="F55" s="182"/>
    </row>
    <row r="56" spans="1:6" outlineLevel="3" x14ac:dyDescent="0.35">
      <c r="A56" s="55" t="str">
        <f>Базовый!A48</f>
        <v>Миска нерж (6 л)</v>
      </c>
      <c r="B56" s="60">
        <f>Базовый!C48</f>
        <v>4.2735042735042736E-2</v>
      </c>
      <c r="C56" s="52">
        <f>Базовый!T48</f>
        <v>5</v>
      </c>
      <c r="D56" s="52">
        <f>Базовый!U48</f>
        <v>456.33</v>
      </c>
      <c r="E56" s="52">
        <f t="shared" si="0"/>
        <v>3.9002564102564103</v>
      </c>
      <c r="F56" s="182"/>
    </row>
    <row r="57" spans="1:6" outlineLevel="3" x14ac:dyDescent="0.35">
      <c r="A57" s="55" t="str">
        <f>Базовый!A49</f>
        <v>Миска Д-260</v>
      </c>
      <c r="B57" s="60">
        <f>Базовый!C49</f>
        <v>2.5210084033613446E-2</v>
      </c>
      <c r="C57" s="52">
        <f>Базовый!T49</f>
        <v>5</v>
      </c>
      <c r="D57" s="52">
        <f>Базовый!U49</f>
        <v>221.66666666666666</v>
      </c>
      <c r="E57" s="52">
        <f t="shared" si="0"/>
        <v>1.1176470588235294</v>
      </c>
      <c r="F57" s="182"/>
    </row>
    <row r="58" spans="1:6" outlineLevel="3" x14ac:dyDescent="0.35">
      <c r="A58" s="55" t="str">
        <f>Базовый!A50</f>
        <v>Миска Д-480</v>
      </c>
      <c r="B58" s="60">
        <f>Базовый!C50</f>
        <v>1.680672268907563E-2</v>
      </c>
      <c r="C58" s="52">
        <f>Базовый!T50</f>
        <v>5</v>
      </c>
      <c r="D58" s="52">
        <f>Базовый!U50</f>
        <v>712.66666666666663</v>
      </c>
      <c r="E58" s="52">
        <f t="shared" si="0"/>
        <v>2.3955182072829131</v>
      </c>
      <c r="F58" s="182"/>
    </row>
    <row r="59" spans="1:6" outlineLevel="3" x14ac:dyDescent="0.35">
      <c r="A59" s="55" t="str">
        <f>Базовый!A51</f>
        <v>Таз 20 л</v>
      </c>
      <c r="B59" s="60">
        <f>Базовый!C51</f>
        <v>0.05</v>
      </c>
      <c r="C59" s="52">
        <f>Базовый!T51</f>
        <v>5</v>
      </c>
      <c r="D59" s="52">
        <f>Базовый!U51</f>
        <v>368.66666666666669</v>
      </c>
      <c r="E59" s="52">
        <f t="shared" si="0"/>
        <v>3.686666666666667</v>
      </c>
      <c r="F59" s="182"/>
    </row>
    <row r="60" spans="1:6" outlineLevel="3" x14ac:dyDescent="0.35">
      <c r="A60" s="55" t="str">
        <f>Базовый!A52</f>
        <v>Таз 30 л</v>
      </c>
      <c r="B60" s="60">
        <f>Базовый!C52</f>
        <v>0.05</v>
      </c>
      <c r="C60" s="52">
        <f>Базовый!T52</f>
        <v>5</v>
      </c>
      <c r="D60" s="52">
        <f>Базовый!U52</f>
        <v>409</v>
      </c>
      <c r="E60" s="52">
        <f t="shared" si="0"/>
        <v>4.09</v>
      </c>
      <c r="F60" s="182"/>
    </row>
    <row r="61" spans="1:6" outlineLevel="3" x14ac:dyDescent="0.35">
      <c r="A61" s="55" t="str">
        <f>Базовый!A53</f>
        <v>Доска разделочная деревянная</v>
      </c>
      <c r="B61" s="60">
        <f>Базовый!C53</f>
        <v>4.4444444444444446E-2</v>
      </c>
      <c r="C61" s="52">
        <f>Базовый!T53</f>
        <v>5</v>
      </c>
      <c r="D61" s="52">
        <f>Базовый!U53</f>
        <v>234</v>
      </c>
      <c r="E61" s="52">
        <f t="shared" si="0"/>
        <v>2.08</v>
      </c>
      <c r="F61" s="182"/>
    </row>
    <row r="62" spans="1:6" outlineLevel="3" x14ac:dyDescent="0.35">
      <c r="A62" s="55" t="str">
        <f>Базовый!A54</f>
        <v>Кувшин для воды</v>
      </c>
      <c r="B62" s="60">
        <f>Базовый!C54</f>
        <v>8.771929824561403E-3</v>
      </c>
      <c r="C62" s="52">
        <f>Базовый!T54</f>
        <v>5</v>
      </c>
      <c r="D62" s="52">
        <f>Базовый!U54</f>
        <v>252</v>
      </c>
      <c r="E62" s="52">
        <f t="shared" si="0"/>
        <v>0.44210526315789467</v>
      </c>
      <c r="F62" s="182"/>
    </row>
    <row r="63" spans="1:6" outlineLevel="3" x14ac:dyDescent="0.35">
      <c r="A63" s="55" t="str">
        <f>Базовый!A55</f>
        <v>Ковш нержавейка</v>
      </c>
      <c r="B63" s="60">
        <f>Базовый!C55</f>
        <v>1.7094017094017096E-2</v>
      </c>
      <c r="C63" s="52">
        <f>Базовый!T55</f>
        <v>5</v>
      </c>
      <c r="D63" s="52">
        <f>Базовый!U55</f>
        <v>704</v>
      </c>
      <c r="E63" s="52">
        <f t="shared" si="0"/>
        <v>2.4068376068376072</v>
      </c>
      <c r="F63" s="182"/>
    </row>
    <row r="64" spans="1:6" outlineLevel="3" x14ac:dyDescent="0.35">
      <c r="A64" s="55" t="str">
        <f>Базовый!A56</f>
        <v>Половник 500 мл</v>
      </c>
      <c r="B64" s="60">
        <f>Базовый!C56</f>
        <v>6.8376068376068383E-2</v>
      </c>
      <c r="C64" s="52">
        <f>Базовый!T56</f>
        <v>5</v>
      </c>
      <c r="D64" s="52">
        <f>Базовый!U56</f>
        <v>510</v>
      </c>
      <c r="E64" s="52">
        <f t="shared" si="0"/>
        <v>6.9743589743589753</v>
      </c>
      <c r="F64" s="182"/>
    </row>
    <row r="65" spans="1:6" outlineLevel="3" x14ac:dyDescent="0.35">
      <c r="A65" s="55" t="str">
        <f>Базовый!A57</f>
        <v>Салатник</v>
      </c>
      <c r="B65" s="60">
        <f>Базовый!C57</f>
        <v>0.42735042735042733</v>
      </c>
      <c r="C65" s="52">
        <f>Базовый!T57</f>
        <v>5</v>
      </c>
      <c r="D65" s="52">
        <f>Базовый!U57</f>
        <v>79</v>
      </c>
      <c r="E65" s="52">
        <f t="shared" si="0"/>
        <v>6.7521367521367521</v>
      </c>
      <c r="F65" s="182"/>
    </row>
    <row r="66" spans="1:6" ht="26" outlineLevel="3" x14ac:dyDescent="0.35">
      <c r="A66" s="55" t="str">
        <f>Базовый!A58</f>
        <v>Емкость для столовых приборов</v>
      </c>
      <c r="B66" s="60">
        <f>Базовый!C58</f>
        <v>5.128205128205128E-2</v>
      </c>
      <c r="C66" s="52">
        <f>Базовый!T58</f>
        <v>5</v>
      </c>
      <c r="D66" s="52">
        <f>Базовый!U58</f>
        <v>966.05666666666673</v>
      </c>
      <c r="E66" s="52">
        <f t="shared" si="0"/>
        <v>9.9082735042735042</v>
      </c>
      <c r="F66" s="182"/>
    </row>
    <row r="67" spans="1:6" outlineLevel="3" x14ac:dyDescent="0.35">
      <c r="A67" s="55" t="str">
        <f>Базовый!A59</f>
        <v>Блюдце</v>
      </c>
      <c r="B67" s="60">
        <f>Базовый!C59</f>
        <v>0.85470085470085466</v>
      </c>
      <c r="C67" s="52">
        <f>Базовый!T59</f>
        <v>5</v>
      </c>
      <c r="D67" s="52">
        <f>Базовый!U59</f>
        <v>40.266666666666666</v>
      </c>
      <c r="E67" s="52">
        <f t="shared" si="0"/>
        <v>6.883190883190883</v>
      </c>
      <c r="F67" s="182"/>
    </row>
    <row r="68" spans="1:6" outlineLevel="3" x14ac:dyDescent="0.35">
      <c r="A68" s="55" t="str">
        <f>Базовый!A60</f>
        <v>Бокал с ручкой</v>
      </c>
      <c r="B68" s="60">
        <f>Базовый!C60</f>
        <v>0.85470085470085466</v>
      </c>
      <c r="C68" s="52">
        <f>Базовый!T60</f>
        <v>5</v>
      </c>
      <c r="D68" s="52">
        <f>Базовый!U60</f>
        <v>58</v>
      </c>
      <c r="E68" s="52">
        <f t="shared" si="0"/>
        <v>9.9145299145299148</v>
      </c>
      <c r="F68" s="182"/>
    </row>
    <row r="69" spans="1:6" outlineLevel="3" x14ac:dyDescent="0.35">
      <c r="A69" s="55" t="str">
        <f>Базовый!A61</f>
        <v>Бокал 180 мл</v>
      </c>
      <c r="B69" s="60">
        <f>Базовый!C61</f>
        <v>0.42735042735042733</v>
      </c>
      <c r="C69" s="52">
        <f>Базовый!T61</f>
        <v>5</v>
      </c>
      <c r="D69" s="52">
        <f>Базовый!U61</f>
        <v>69.33</v>
      </c>
      <c r="E69" s="52">
        <f t="shared" si="0"/>
        <v>5.9256410256410259</v>
      </c>
      <c r="F69" s="182"/>
    </row>
    <row r="70" spans="1:6" outlineLevel="3" x14ac:dyDescent="0.35">
      <c r="A70" s="55" t="str">
        <f>Базовый!A62</f>
        <v>Ложка гарнирная</v>
      </c>
      <c r="B70" s="60">
        <f>Базовый!C62</f>
        <v>0.15384615384615385</v>
      </c>
      <c r="C70" s="52">
        <f>Базовый!T62</f>
        <v>5</v>
      </c>
      <c r="D70" s="52">
        <f>Базовый!U62</f>
        <v>243.33333333333334</v>
      </c>
      <c r="E70" s="52">
        <f t="shared" si="0"/>
        <v>7.4871794871794881</v>
      </c>
      <c r="F70" s="182"/>
    </row>
    <row r="71" spans="1:6" outlineLevel="3" x14ac:dyDescent="0.35">
      <c r="A71" s="55" t="str">
        <f>Базовый!A63</f>
        <v>Ложка столовая</v>
      </c>
      <c r="B71" s="60">
        <f>Базовый!C63</f>
        <v>0.25210084033613445</v>
      </c>
      <c r="C71" s="52">
        <f>Базовый!T63</f>
        <v>5</v>
      </c>
      <c r="D71" s="52">
        <f>Базовый!U63</f>
        <v>49.233333333333327</v>
      </c>
      <c r="E71" s="52">
        <f t="shared" si="0"/>
        <v>2.4823529411764702</v>
      </c>
      <c r="F71" s="182"/>
    </row>
    <row r="72" spans="1:6" outlineLevel="3" x14ac:dyDescent="0.35">
      <c r="A72" s="55" t="str">
        <f>Базовый!A64</f>
        <v>Ложка чайная</v>
      </c>
      <c r="B72" s="60">
        <f>Базовый!C64</f>
        <v>0.42735042735042733</v>
      </c>
      <c r="C72" s="52">
        <f>Базовый!T64</f>
        <v>5</v>
      </c>
      <c r="D72" s="52">
        <f>Базовый!U64</f>
        <v>38.800000000000004</v>
      </c>
      <c r="E72" s="52">
        <f t="shared" si="0"/>
        <v>3.3162393162393164</v>
      </c>
      <c r="F72" s="182"/>
    </row>
    <row r="73" spans="1:6" outlineLevel="3" x14ac:dyDescent="0.35">
      <c r="A73" s="55" t="str">
        <f>Базовый!A65</f>
        <v>Вилка столовая</v>
      </c>
      <c r="B73" s="60">
        <f>Базовый!C65</f>
        <v>0.42735042735042733</v>
      </c>
      <c r="C73" s="52">
        <f>Базовый!T65</f>
        <v>5</v>
      </c>
      <c r="D73" s="52">
        <f>Базовый!U65</f>
        <v>50.199999999999996</v>
      </c>
      <c r="E73" s="52">
        <f t="shared" si="0"/>
        <v>4.2905982905982905</v>
      </c>
      <c r="F73" s="182"/>
    </row>
    <row r="74" spans="1:6" outlineLevel="3" x14ac:dyDescent="0.35">
      <c r="A74" s="55" t="str">
        <f>Базовый!A66</f>
        <v xml:space="preserve">Нож </v>
      </c>
      <c r="B74" s="60">
        <f>Базовый!C66</f>
        <v>0.17094017094017094</v>
      </c>
      <c r="C74" s="52">
        <f>Базовый!T66</f>
        <v>5</v>
      </c>
      <c r="D74" s="52">
        <f>Базовый!U66</f>
        <v>55.423333333333325</v>
      </c>
      <c r="E74" s="52">
        <f t="shared" si="0"/>
        <v>1.8948148148148147</v>
      </c>
      <c r="F74" s="182"/>
    </row>
    <row r="75" spans="1:6" outlineLevel="3" x14ac:dyDescent="0.35">
      <c r="A75" s="55" t="str">
        <f>Базовый!A67</f>
        <v>Тарелка глубокая</v>
      </c>
      <c r="B75" s="60">
        <f>Базовый!C67</f>
        <v>0.85470085470085466</v>
      </c>
      <c r="C75" s="52">
        <f>Базовый!T67</f>
        <v>5</v>
      </c>
      <c r="D75" s="52">
        <f>Базовый!U67</f>
        <v>50</v>
      </c>
      <c r="E75" s="52">
        <f t="shared" si="0"/>
        <v>8.5470085470085468</v>
      </c>
      <c r="F75" s="182"/>
    </row>
    <row r="76" spans="1:6" outlineLevel="3" x14ac:dyDescent="0.35">
      <c r="A76" s="55" t="str">
        <f>Базовый!A68</f>
        <v>Тарелка мелкая</v>
      </c>
      <c r="B76" s="60">
        <f>Базовый!C68</f>
        <v>0.85470085470085466</v>
      </c>
      <c r="C76" s="52">
        <f>Базовый!T68</f>
        <v>5</v>
      </c>
      <c r="D76" s="52">
        <f>Базовый!U68</f>
        <v>36.799999999999997</v>
      </c>
      <c r="E76" s="52">
        <f t="shared" si="0"/>
        <v>6.2905982905982905</v>
      </c>
      <c r="F76" s="182"/>
    </row>
    <row r="77" spans="1:6" ht="39" outlineLevel="2" x14ac:dyDescent="0.35">
      <c r="A77" s="55" t="str">
        <f>Базовый!A69</f>
        <v>Оборудование (бытовая техника, медицинское оборудование)</v>
      </c>
      <c r="B77" s="60" t="str">
        <f>Базовый!C69</f>
        <v>х</v>
      </c>
      <c r="C77" s="52" t="str">
        <f>Базовый!T69</f>
        <v>х</v>
      </c>
      <c r="D77" s="52" t="str">
        <f>Базовый!U69</f>
        <v>х</v>
      </c>
      <c r="E77" s="52">
        <f>SUM(E78:E83)</f>
        <v>227.73772331154686</v>
      </c>
      <c r="F77" s="182"/>
    </row>
    <row r="78" spans="1:6" outlineLevel="3" x14ac:dyDescent="0.35">
      <c r="A78" s="55" t="str">
        <f>Базовый!A70</f>
        <v>Чайник 3л</v>
      </c>
      <c r="B78" s="60">
        <f>Базовый!C70</f>
        <v>2.5210084033613446E-2</v>
      </c>
      <c r="C78" s="52">
        <f>Базовый!T70</f>
        <v>5</v>
      </c>
      <c r="D78" s="52">
        <f>Базовый!U70</f>
        <v>736</v>
      </c>
      <c r="E78" s="52">
        <f t="shared" si="0"/>
        <v>3.7109243697478993</v>
      </c>
      <c r="F78" s="182"/>
    </row>
    <row r="79" spans="1:6" outlineLevel="3" x14ac:dyDescent="0.35">
      <c r="A79" s="55" t="str">
        <f>Базовый!A71</f>
        <v xml:space="preserve">Пылесос </v>
      </c>
      <c r="B79" s="60">
        <f>Базовый!C71</f>
        <v>1.680672268907563E-2</v>
      </c>
      <c r="C79" s="52">
        <f>Базовый!T71</f>
        <v>5</v>
      </c>
      <c r="D79" s="52">
        <f>Базовый!U71</f>
        <v>5271.333333333333</v>
      </c>
      <c r="E79" s="52">
        <f t="shared" si="0"/>
        <v>17.718767507002799</v>
      </c>
      <c r="F79" s="182"/>
    </row>
    <row r="80" spans="1:6" ht="26" outlineLevel="3" x14ac:dyDescent="0.35">
      <c r="A80" s="55" t="str">
        <f>Базовый!A72</f>
        <v>Электроплита четырехконфорочная</v>
      </c>
      <c r="B80" s="60">
        <f>Базовый!C72</f>
        <v>1.1111111111111112E-2</v>
      </c>
      <c r="C80" s="52">
        <f>Базовый!T72</f>
        <v>5</v>
      </c>
      <c r="D80" s="52">
        <f>Базовый!U72</f>
        <v>48223.666666666664</v>
      </c>
      <c r="E80" s="52">
        <f t="shared" si="0"/>
        <v>107.1637037037037</v>
      </c>
      <c r="F80" s="182"/>
    </row>
    <row r="81" spans="1:6" outlineLevel="3" x14ac:dyDescent="0.35">
      <c r="A81" s="55" t="str">
        <f>Базовый!A73</f>
        <v>Электромясорубка</v>
      </c>
      <c r="B81" s="60">
        <f>Базовый!C73</f>
        <v>1.1111111111111112E-2</v>
      </c>
      <c r="C81" s="52">
        <f>Базовый!T73</f>
        <v>5</v>
      </c>
      <c r="D81" s="52">
        <f>Базовый!U73</f>
        <v>18840</v>
      </c>
      <c r="E81" s="52">
        <f t="shared" si="0"/>
        <v>41.866666666666667</v>
      </c>
      <c r="F81" s="182"/>
    </row>
    <row r="82" spans="1:6" outlineLevel="3" x14ac:dyDescent="0.35">
      <c r="A82" s="55" t="str">
        <f>Базовый!A74</f>
        <v>Холодильник</v>
      </c>
      <c r="B82" s="60">
        <f>Базовый!C74</f>
        <v>1.0416666666666666E-2</v>
      </c>
      <c r="C82" s="52">
        <f>Базовый!T74</f>
        <v>5</v>
      </c>
      <c r="D82" s="52">
        <f>Базовый!U74</f>
        <v>18700</v>
      </c>
      <c r="E82" s="52">
        <f t="shared" si="0"/>
        <v>38.958333333333336</v>
      </c>
      <c r="F82" s="182"/>
    </row>
    <row r="83" spans="1:6" outlineLevel="3" x14ac:dyDescent="0.35">
      <c r="A83" s="55" t="str">
        <f>Базовый!A75</f>
        <v>Водонагреватель</v>
      </c>
      <c r="B83" s="60">
        <f>Базовый!C75</f>
        <v>8.4033613445378148E-3</v>
      </c>
      <c r="C83" s="52">
        <f>Базовый!T75</f>
        <v>5</v>
      </c>
      <c r="D83" s="52">
        <f>Базовый!U75</f>
        <v>10900</v>
      </c>
      <c r="E83" s="52">
        <f t="shared" si="0"/>
        <v>18.319327731092436</v>
      </c>
      <c r="F83" s="182"/>
    </row>
    <row r="84" spans="1:6" outlineLevel="2" x14ac:dyDescent="0.35">
      <c r="A84" s="55" t="str">
        <f>Базовый!A76</f>
        <v>Спецодежда</v>
      </c>
      <c r="B84" s="60" t="str">
        <f>Базовый!C76</f>
        <v>х</v>
      </c>
      <c r="C84" s="52" t="str">
        <f>Базовый!T76</f>
        <v>х</v>
      </c>
      <c r="D84" s="52" t="str">
        <f>Базовый!U76</f>
        <v>х</v>
      </c>
      <c r="E84" s="52">
        <f>SUM(E85:E88)</f>
        <v>49.705299145299151</v>
      </c>
      <c r="F84" s="182"/>
    </row>
    <row r="85" spans="1:6" outlineLevel="3" x14ac:dyDescent="0.35">
      <c r="A85" s="55" t="str">
        <f>Базовый!A77</f>
        <v>Поварской колпак</v>
      </c>
      <c r="B85" s="60">
        <f>Базовый!C77</f>
        <v>3.4188034188034191E-2</v>
      </c>
      <c r="C85" s="52">
        <f>Базовый!T77</f>
        <v>1</v>
      </c>
      <c r="D85" s="52">
        <f>Базовый!U77</f>
        <v>205</v>
      </c>
      <c r="E85" s="52">
        <f t="shared" si="0"/>
        <v>7.0085470085470094</v>
      </c>
      <c r="F85" s="182"/>
    </row>
    <row r="86" spans="1:6" outlineLevel="3" x14ac:dyDescent="0.35">
      <c r="A86" s="55" t="str">
        <f>Базовый!A78</f>
        <v>Фартук для мытья посуды</v>
      </c>
      <c r="B86" s="60">
        <f>Базовый!C78</f>
        <v>5.9829059829059832E-2</v>
      </c>
      <c r="C86" s="52">
        <f>Базовый!T78</f>
        <v>1</v>
      </c>
      <c r="D86" s="52">
        <f>Базовый!U78</f>
        <v>146.5</v>
      </c>
      <c r="E86" s="52">
        <f t="shared" si="0"/>
        <v>8.7649572649572658</v>
      </c>
      <c r="F86" s="182"/>
    </row>
    <row r="87" spans="1:6" outlineLevel="3" x14ac:dyDescent="0.35">
      <c r="A87" s="55" t="str">
        <f>Базовый!A79</f>
        <v>Рабочий фартук</v>
      </c>
      <c r="B87" s="60">
        <f>Базовый!C79</f>
        <v>8.5470085470085472E-2</v>
      </c>
      <c r="C87" s="52">
        <f>Базовый!T79</f>
        <v>1</v>
      </c>
      <c r="D87" s="52">
        <f>Базовый!U79</f>
        <v>243</v>
      </c>
      <c r="E87" s="52">
        <f>B87/C87*D87</f>
        <v>20.76923076923077</v>
      </c>
      <c r="F87" s="182"/>
    </row>
    <row r="88" spans="1:6" ht="26" outlineLevel="3" x14ac:dyDescent="0.35">
      <c r="A88" s="55" t="str">
        <f>Базовый!A80</f>
        <v>Фартук для кормления св.тонов</v>
      </c>
      <c r="B88" s="60">
        <f>Базовый!C80</f>
        <v>5.128205128205128E-2</v>
      </c>
      <c r="C88" s="52">
        <f>Базовый!T80</f>
        <v>1</v>
      </c>
      <c r="D88" s="52">
        <f>Базовый!U80</f>
        <v>256.67</v>
      </c>
      <c r="E88" s="52">
        <f>B88/C88*D88</f>
        <v>13.162564102564103</v>
      </c>
      <c r="F88" s="182"/>
    </row>
    <row r="89" spans="1:6" hidden="1" outlineLevel="2" x14ac:dyDescent="0.35">
      <c r="A89" s="55"/>
      <c r="B89" s="60"/>
      <c r="C89" s="52"/>
      <c r="D89" s="52"/>
      <c r="E89" s="52"/>
      <c r="F89" s="182"/>
    </row>
    <row r="90" spans="1:6" hidden="1" outlineLevel="3" x14ac:dyDescent="0.35">
      <c r="A90" s="55"/>
      <c r="B90" s="60"/>
      <c r="C90" s="52"/>
      <c r="D90" s="52"/>
      <c r="E90" s="52"/>
      <c r="F90" s="182"/>
    </row>
    <row r="91" spans="1:6" hidden="1" outlineLevel="3" x14ac:dyDescent="0.35">
      <c r="A91" s="55"/>
      <c r="B91" s="60"/>
      <c r="C91" s="52"/>
      <c r="D91" s="52"/>
      <c r="E91" s="52"/>
      <c r="F91" s="182"/>
    </row>
    <row r="92" spans="1:6" hidden="1" outlineLevel="3" x14ac:dyDescent="0.35">
      <c r="A92" s="55"/>
      <c r="B92" s="60"/>
      <c r="C92" s="52"/>
      <c r="D92" s="52"/>
      <c r="E92" s="52"/>
      <c r="F92" s="182"/>
    </row>
    <row r="93" spans="1:6" hidden="1" outlineLevel="3" x14ac:dyDescent="0.35">
      <c r="A93" s="55"/>
      <c r="B93" s="60"/>
      <c r="C93" s="52"/>
      <c r="D93" s="52"/>
      <c r="E93" s="52"/>
      <c r="F93" s="182"/>
    </row>
    <row r="94" spans="1:6" hidden="1" outlineLevel="3" x14ac:dyDescent="0.35">
      <c r="A94" s="55"/>
      <c r="B94" s="60"/>
      <c r="C94" s="52"/>
      <c r="D94" s="52"/>
      <c r="E94" s="52"/>
      <c r="F94" s="182"/>
    </row>
    <row r="95" spans="1:6" hidden="1" outlineLevel="3" x14ac:dyDescent="0.35">
      <c r="A95" s="55"/>
      <c r="B95" s="60"/>
      <c r="C95" s="52"/>
      <c r="D95" s="52"/>
      <c r="E95" s="52"/>
      <c r="F95" s="182"/>
    </row>
    <row r="96" spans="1:6" hidden="1" outlineLevel="3" x14ac:dyDescent="0.35">
      <c r="A96" s="55"/>
      <c r="B96" s="60"/>
      <c r="C96" s="52"/>
      <c r="D96" s="52"/>
      <c r="E96" s="52"/>
      <c r="F96" s="182"/>
    </row>
    <row r="97" spans="1:6" hidden="1" outlineLevel="3" x14ac:dyDescent="0.35">
      <c r="A97" s="55"/>
      <c r="B97" s="60"/>
      <c r="C97" s="52"/>
      <c r="D97" s="52"/>
      <c r="E97" s="52"/>
      <c r="F97" s="182"/>
    </row>
    <row r="98" spans="1:6" hidden="1" outlineLevel="3" x14ac:dyDescent="0.35">
      <c r="A98" s="55"/>
      <c r="B98" s="60"/>
      <c r="C98" s="52"/>
      <c r="D98" s="52"/>
      <c r="E98" s="52"/>
      <c r="F98" s="182"/>
    </row>
    <row r="99" spans="1:6" hidden="1" outlineLevel="3" x14ac:dyDescent="0.35">
      <c r="A99" s="55"/>
      <c r="B99" s="60"/>
      <c r="C99" s="52"/>
      <c r="D99" s="52"/>
      <c r="E99" s="52"/>
      <c r="F99" s="182"/>
    </row>
    <row r="100" spans="1:6" hidden="1" outlineLevel="3" x14ac:dyDescent="0.35">
      <c r="A100" s="55"/>
      <c r="B100" s="60"/>
      <c r="C100" s="52"/>
      <c r="D100" s="52"/>
      <c r="E100" s="52"/>
      <c r="F100" s="182"/>
    </row>
    <row r="101" spans="1:6" hidden="1" outlineLevel="3" x14ac:dyDescent="0.35">
      <c r="A101" s="55"/>
      <c r="B101" s="60"/>
      <c r="C101" s="52"/>
      <c r="D101" s="52"/>
      <c r="E101" s="52"/>
      <c r="F101" s="182"/>
    </row>
    <row r="102" spans="1:6" hidden="1" outlineLevel="3" x14ac:dyDescent="0.35">
      <c r="A102" s="55"/>
      <c r="B102" s="60"/>
      <c r="C102" s="52"/>
      <c r="D102" s="52"/>
      <c r="E102" s="52"/>
      <c r="F102" s="182"/>
    </row>
    <row r="103" spans="1:6" hidden="1" outlineLevel="3" x14ac:dyDescent="0.35">
      <c r="A103" s="55"/>
      <c r="B103" s="60"/>
      <c r="C103" s="52"/>
      <c r="D103" s="52"/>
      <c r="E103" s="52"/>
      <c r="F103" s="182"/>
    </row>
    <row r="104" spans="1:6" outlineLevel="2" x14ac:dyDescent="0.35">
      <c r="A104" s="55" t="str">
        <f>Базовый!A96</f>
        <v>Средства личной гигиены</v>
      </c>
      <c r="B104" s="60" t="str">
        <f>Базовый!C96</f>
        <v>х</v>
      </c>
      <c r="C104" s="52" t="str">
        <f>Базовый!T96</f>
        <v>х</v>
      </c>
      <c r="D104" s="52" t="str">
        <f>Базовый!U96</f>
        <v>х</v>
      </c>
      <c r="E104" s="52">
        <f>SUM(E105:E106)</f>
        <v>48.21652421652422</v>
      </c>
      <c r="F104" s="182"/>
    </row>
    <row r="105" spans="1:6" outlineLevel="3" x14ac:dyDescent="0.35">
      <c r="A105" s="55" t="str">
        <f>Базовый!A97</f>
        <v>Туалетная бумага</v>
      </c>
      <c r="B105" s="60">
        <f>Базовый!C97</f>
        <v>2.5641025641025643</v>
      </c>
      <c r="C105" s="52">
        <f>Базовый!T97</f>
        <v>1</v>
      </c>
      <c r="D105" s="52">
        <f>Базовый!U97</f>
        <v>4.5</v>
      </c>
      <c r="E105" s="52">
        <f>B105/C105*D105</f>
        <v>11.53846153846154</v>
      </c>
      <c r="F105" s="182"/>
    </row>
    <row r="106" spans="1:6" outlineLevel="3" x14ac:dyDescent="0.35">
      <c r="A106" s="55" t="str">
        <f>Базовый!A98</f>
        <v>Салфетки бумажные</v>
      </c>
      <c r="B106" s="60">
        <f>Базовый!C98</f>
        <v>1.7094017094017093</v>
      </c>
      <c r="C106" s="52">
        <f>Базовый!T98</f>
        <v>1</v>
      </c>
      <c r="D106" s="52">
        <f>Базовый!U98</f>
        <v>21.456666666666667</v>
      </c>
      <c r="E106" s="52">
        <f>B106/C106*D106</f>
        <v>36.67806267806268</v>
      </c>
      <c r="F106" s="182"/>
    </row>
    <row r="107" spans="1:6" ht="30" customHeight="1" outlineLevel="1" collapsed="1" x14ac:dyDescent="0.35">
      <c r="A107" s="175" t="s">
        <v>7</v>
      </c>
      <c r="B107" s="175"/>
      <c r="C107" s="175"/>
      <c r="D107" s="175"/>
      <c r="E107" s="52">
        <f>E108+E119+E141+E181+E197+E201</f>
        <v>911.09518953571012</v>
      </c>
      <c r="F107" s="182"/>
    </row>
    <row r="108" spans="1:6" hidden="1" outlineLevel="2" x14ac:dyDescent="0.35">
      <c r="A108" s="55"/>
      <c r="B108" s="60"/>
      <c r="C108" s="52"/>
      <c r="D108" s="52"/>
      <c r="E108" s="52"/>
      <c r="F108" s="182"/>
    </row>
    <row r="109" spans="1:6" hidden="1" outlineLevel="3" x14ac:dyDescent="0.35">
      <c r="A109" s="55"/>
      <c r="B109" s="60"/>
      <c r="C109" s="52"/>
      <c r="D109" s="52"/>
      <c r="E109" s="52"/>
      <c r="F109" s="182"/>
    </row>
    <row r="110" spans="1:6" hidden="1" outlineLevel="3" x14ac:dyDescent="0.35">
      <c r="A110" s="55"/>
      <c r="B110" s="60"/>
      <c r="C110" s="52"/>
      <c r="D110" s="52"/>
      <c r="E110" s="52"/>
      <c r="F110" s="182"/>
    </row>
    <row r="111" spans="1:6" hidden="1" outlineLevel="3" x14ac:dyDescent="0.35">
      <c r="A111" s="55"/>
      <c r="B111" s="60"/>
      <c r="C111" s="52"/>
      <c r="D111" s="52"/>
      <c r="E111" s="52"/>
      <c r="F111" s="182"/>
    </row>
    <row r="112" spans="1:6" hidden="1" outlineLevel="3" x14ac:dyDescent="0.35">
      <c r="A112" s="55"/>
      <c r="B112" s="60"/>
      <c r="C112" s="52"/>
      <c r="D112" s="52"/>
      <c r="E112" s="52"/>
      <c r="F112" s="182"/>
    </row>
    <row r="113" spans="1:6" hidden="1" outlineLevel="3" x14ac:dyDescent="0.35">
      <c r="A113" s="55"/>
      <c r="B113" s="60"/>
      <c r="C113" s="52"/>
      <c r="D113" s="52"/>
      <c r="E113" s="52"/>
      <c r="F113" s="182"/>
    </row>
    <row r="114" spans="1:6" hidden="1" outlineLevel="3" x14ac:dyDescent="0.35">
      <c r="A114" s="55"/>
      <c r="B114" s="60"/>
      <c r="C114" s="52"/>
      <c r="D114" s="52"/>
      <c r="E114" s="52"/>
      <c r="F114" s="182"/>
    </row>
    <row r="115" spans="1:6" hidden="1" outlineLevel="3" x14ac:dyDescent="0.35">
      <c r="A115" s="55"/>
      <c r="B115" s="60"/>
      <c r="C115" s="52"/>
      <c r="D115" s="52"/>
      <c r="E115" s="52"/>
      <c r="F115" s="182"/>
    </row>
    <row r="116" spans="1:6" hidden="1" outlineLevel="3" x14ac:dyDescent="0.35">
      <c r="A116" s="55"/>
      <c r="B116" s="60"/>
      <c r="C116" s="52"/>
      <c r="D116" s="52"/>
      <c r="E116" s="52"/>
      <c r="F116" s="182"/>
    </row>
    <row r="117" spans="1:6" hidden="1" outlineLevel="3" x14ac:dyDescent="0.35">
      <c r="A117" s="55"/>
      <c r="B117" s="60"/>
      <c r="C117" s="52"/>
      <c r="D117" s="52"/>
      <c r="E117" s="52"/>
      <c r="F117" s="182"/>
    </row>
    <row r="118" spans="1:6" hidden="1" outlineLevel="3" x14ac:dyDescent="0.35">
      <c r="A118" s="55"/>
      <c r="B118" s="60"/>
      <c r="C118" s="52"/>
      <c r="D118" s="52"/>
      <c r="E118" s="52"/>
      <c r="F118" s="182"/>
    </row>
    <row r="119" spans="1:6" hidden="1" outlineLevel="2" x14ac:dyDescent="0.35">
      <c r="A119" s="55"/>
      <c r="B119" s="60"/>
      <c r="C119" s="52"/>
      <c r="D119" s="52"/>
      <c r="E119" s="52"/>
      <c r="F119" s="182"/>
    </row>
    <row r="120" spans="1:6" hidden="1" outlineLevel="3" x14ac:dyDescent="0.35">
      <c r="A120" s="55"/>
      <c r="B120" s="60"/>
      <c r="C120" s="52"/>
      <c r="D120" s="52"/>
      <c r="E120" s="52"/>
      <c r="F120" s="182"/>
    </row>
    <row r="121" spans="1:6" hidden="1" outlineLevel="3" x14ac:dyDescent="0.35">
      <c r="A121" s="55"/>
      <c r="B121" s="60"/>
      <c r="C121" s="52"/>
      <c r="D121" s="52"/>
      <c r="E121" s="52"/>
      <c r="F121" s="182"/>
    </row>
    <row r="122" spans="1:6" hidden="1" outlineLevel="3" x14ac:dyDescent="0.35">
      <c r="A122" s="55"/>
      <c r="B122" s="60"/>
      <c r="C122" s="52"/>
      <c r="D122" s="52"/>
      <c r="E122" s="52"/>
      <c r="F122" s="182"/>
    </row>
    <row r="123" spans="1:6" hidden="1" outlineLevel="3" x14ac:dyDescent="0.35">
      <c r="A123" s="55"/>
      <c r="B123" s="60"/>
      <c r="C123" s="52"/>
      <c r="D123" s="52"/>
      <c r="E123" s="52"/>
      <c r="F123" s="182"/>
    </row>
    <row r="124" spans="1:6" hidden="1" outlineLevel="3" x14ac:dyDescent="0.35">
      <c r="A124" s="55"/>
      <c r="B124" s="60"/>
      <c r="C124" s="52"/>
      <c r="D124" s="52"/>
      <c r="E124" s="52"/>
      <c r="F124" s="182"/>
    </row>
    <row r="125" spans="1:6" hidden="1" outlineLevel="3" x14ac:dyDescent="0.35">
      <c r="A125" s="55"/>
      <c r="B125" s="60"/>
      <c r="C125" s="52"/>
      <c r="D125" s="52"/>
      <c r="E125" s="52"/>
      <c r="F125" s="182"/>
    </row>
    <row r="126" spans="1:6" hidden="1" outlineLevel="3" x14ac:dyDescent="0.35">
      <c r="A126" s="55"/>
      <c r="B126" s="60"/>
      <c r="C126" s="52"/>
      <c r="D126" s="52"/>
      <c r="E126" s="52"/>
      <c r="F126" s="182"/>
    </row>
    <row r="127" spans="1:6" hidden="1" outlineLevel="3" x14ac:dyDescent="0.35">
      <c r="A127" s="55"/>
      <c r="B127" s="60"/>
      <c r="C127" s="52"/>
      <c r="D127" s="52"/>
      <c r="E127" s="52"/>
      <c r="F127" s="182"/>
    </row>
    <row r="128" spans="1:6" hidden="1" outlineLevel="3" x14ac:dyDescent="0.35">
      <c r="A128" s="55"/>
      <c r="B128" s="60"/>
      <c r="C128" s="52"/>
      <c r="D128" s="52"/>
      <c r="E128" s="52"/>
      <c r="F128" s="182"/>
    </row>
    <row r="129" spans="1:6" hidden="1" outlineLevel="3" x14ac:dyDescent="0.35">
      <c r="A129" s="55"/>
      <c r="B129" s="60"/>
      <c r="C129" s="52"/>
      <c r="D129" s="52"/>
      <c r="E129" s="52"/>
      <c r="F129" s="182"/>
    </row>
    <row r="130" spans="1:6" hidden="1" outlineLevel="3" x14ac:dyDescent="0.35">
      <c r="A130" s="55"/>
      <c r="B130" s="60"/>
      <c r="C130" s="52"/>
      <c r="D130" s="52"/>
      <c r="E130" s="52"/>
      <c r="F130" s="182"/>
    </row>
    <row r="131" spans="1:6" hidden="1" outlineLevel="3" x14ac:dyDescent="0.35">
      <c r="A131" s="55"/>
      <c r="B131" s="60"/>
      <c r="C131" s="52"/>
      <c r="D131" s="52"/>
      <c r="E131" s="52"/>
      <c r="F131" s="182"/>
    </row>
    <row r="132" spans="1:6" hidden="1" outlineLevel="3" x14ac:dyDescent="0.35">
      <c r="A132" s="55"/>
      <c r="B132" s="60"/>
      <c r="C132" s="52"/>
      <c r="D132" s="52"/>
      <c r="E132" s="52"/>
      <c r="F132" s="182"/>
    </row>
    <row r="133" spans="1:6" hidden="1" outlineLevel="3" x14ac:dyDescent="0.35">
      <c r="A133" s="55"/>
      <c r="B133" s="60"/>
      <c r="C133" s="52"/>
      <c r="D133" s="52"/>
      <c r="E133" s="52"/>
      <c r="F133" s="182"/>
    </row>
    <row r="134" spans="1:6" hidden="1" outlineLevel="3" x14ac:dyDescent="0.35">
      <c r="A134" s="55"/>
      <c r="B134" s="60"/>
      <c r="C134" s="52"/>
      <c r="D134" s="52"/>
      <c r="E134" s="52"/>
      <c r="F134" s="182"/>
    </row>
    <row r="135" spans="1:6" hidden="1" outlineLevel="3" x14ac:dyDescent="0.35">
      <c r="A135" s="55"/>
      <c r="B135" s="60"/>
      <c r="C135" s="52"/>
      <c r="D135" s="52"/>
      <c r="E135" s="52"/>
      <c r="F135" s="182"/>
    </row>
    <row r="136" spans="1:6" hidden="1" outlineLevel="3" x14ac:dyDescent="0.35">
      <c r="A136" s="55"/>
      <c r="B136" s="60"/>
      <c r="C136" s="52"/>
      <c r="D136" s="52"/>
      <c r="E136" s="52"/>
      <c r="F136" s="182"/>
    </row>
    <row r="137" spans="1:6" hidden="1" outlineLevel="3" x14ac:dyDescent="0.35">
      <c r="A137" s="55"/>
      <c r="B137" s="60"/>
      <c r="C137" s="52"/>
      <c r="D137" s="52"/>
      <c r="E137" s="52"/>
      <c r="F137" s="182"/>
    </row>
    <row r="138" spans="1:6" hidden="1" outlineLevel="3" x14ac:dyDescent="0.35">
      <c r="A138" s="55"/>
      <c r="B138" s="60"/>
      <c r="C138" s="52"/>
      <c r="D138" s="52"/>
      <c r="E138" s="52"/>
      <c r="F138" s="182"/>
    </row>
    <row r="139" spans="1:6" hidden="1" outlineLevel="3" x14ac:dyDescent="0.35">
      <c r="A139" s="55"/>
      <c r="B139" s="60"/>
      <c r="C139" s="52"/>
      <c r="D139" s="52"/>
      <c r="E139" s="52"/>
      <c r="F139" s="182"/>
    </row>
    <row r="140" spans="1:6" hidden="1" outlineLevel="3" x14ac:dyDescent="0.35">
      <c r="A140" s="55"/>
      <c r="B140" s="60"/>
      <c r="C140" s="52"/>
      <c r="D140" s="52"/>
      <c r="E140" s="52"/>
      <c r="F140" s="182"/>
    </row>
    <row r="141" spans="1:6" outlineLevel="2" x14ac:dyDescent="0.35">
      <c r="A141" s="55" t="str">
        <f>Базовый!A133</f>
        <v>Медикаменты</v>
      </c>
      <c r="B141" s="60" t="str">
        <f>Базовый!C133</f>
        <v>х</v>
      </c>
      <c r="C141" s="52" t="str">
        <f>Базовый!T133</f>
        <v>х</v>
      </c>
      <c r="D141" s="52" t="str">
        <f>Базовый!U133</f>
        <v>х</v>
      </c>
      <c r="E141" s="52">
        <f>SUM(E142:E180)</f>
        <v>111.37654173849026</v>
      </c>
      <c r="F141" s="182"/>
    </row>
    <row r="142" spans="1:6" outlineLevel="3" x14ac:dyDescent="0.35">
      <c r="A142" s="55" t="str">
        <f>Базовый!A134</f>
        <v>Анальгин</v>
      </c>
      <c r="B142" s="60">
        <f>Базовый!C134</f>
        <v>5.2083333333333336E-2</v>
      </c>
      <c r="C142" s="52">
        <f>Базовый!T134</f>
        <v>1</v>
      </c>
      <c r="D142" s="52">
        <f>Базовый!U134</f>
        <v>12.966666666666667</v>
      </c>
      <c r="E142" s="52">
        <f t="shared" ref="E142:E172" si="1">B142/C142*D142</f>
        <v>0.67534722222222221</v>
      </c>
      <c r="F142" s="182"/>
    </row>
    <row r="143" spans="1:6" outlineLevel="3" x14ac:dyDescent="0.35">
      <c r="A143" s="55" t="str">
        <f>Базовый!A135</f>
        <v>Парацетамол</v>
      </c>
      <c r="B143" s="60">
        <f>Базовый!C135</f>
        <v>5.2083333333333336E-2</v>
      </c>
      <c r="C143" s="52">
        <f>Базовый!T135</f>
        <v>1</v>
      </c>
      <c r="D143" s="52">
        <f>Базовый!U135</f>
        <v>4.3999999999999995</v>
      </c>
      <c r="E143" s="52">
        <f t="shared" si="1"/>
        <v>0.22916666666666666</v>
      </c>
      <c r="F143" s="182"/>
    </row>
    <row r="144" spans="1:6" outlineLevel="3" x14ac:dyDescent="0.35">
      <c r="A144" s="55" t="str">
        <f>Базовый!A136</f>
        <v>Активированный уголь</v>
      </c>
      <c r="B144" s="60">
        <f>Базовый!C136</f>
        <v>4.807692307692308E-2</v>
      </c>
      <c r="C144" s="52">
        <f>Базовый!T136</f>
        <v>1</v>
      </c>
      <c r="D144" s="52">
        <f>Базовый!U136</f>
        <v>3.6666666666666665</v>
      </c>
      <c r="E144" s="52">
        <f t="shared" si="1"/>
        <v>0.17628205128205129</v>
      </c>
      <c r="F144" s="182"/>
    </row>
    <row r="145" spans="1:6" outlineLevel="3" x14ac:dyDescent="0.35">
      <c r="A145" s="55" t="str">
        <f>Базовый!A137</f>
        <v>Аскорбиновая кислота</v>
      </c>
      <c r="B145" s="60">
        <f>Базовый!C137</f>
        <v>1.5625</v>
      </c>
      <c r="C145" s="52">
        <f>Базовый!T137</f>
        <v>1</v>
      </c>
      <c r="D145" s="52">
        <f>Базовый!U137</f>
        <v>3.9666666666666668</v>
      </c>
      <c r="E145" s="52">
        <f t="shared" si="1"/>
        <v>6.197916666666667</v>
      </c>
      <c r="F145" s="182"/>
    </row>
    <row r="146" spans="1:6" outlineLevel="3" x14ac:dyDescent="0.35">
      <c r="A146" s="55" t="str">
        <f>Базовый!A138</f>
        <v>Аскорбиновая кислота (драже)</v>
      </c>
      <c r="B146" s="60">
        <f>Базовый!C138</f>
        <v>0.52083333333333337</v>
      </c>
      <c r="C146" s="52">
        <f>Базовый!T138</f>
        <v>1</v>
      </c>
      <c r="D146" s="52">
        <f>Базовый!U138</f>
        <v>25.666666666666668</v>
      </c>
      <c r="E146" s="52">
        <f t="shared" si="1"/>
        <v>13.368055555555557</v>
      </c>
      <c r="F146" s="182"/>
    </row>
    <row r="147" spans="1:6" outlineLevel="3" x14ac:dyDescent="0.35">
      <c r="A147" s="55" t="str">
        <f>Базовый!A139</f>
        <v>Аммиак</v>
      </c>
      <c r="B147" s="60">
        <f>Базовый!C139</f>
        <v>2.8571428571428571E-2</v>
      </c>
      <c r="C147" s="52">
        <f>Базовый!T139</f>
        <v>1</v>
      </c>
      <c r="D147" s="52">
        <f>Базовый!U139</f>
        <v>21.333333333333332</v>
      </c>
      <c r="E147" s="52">
        <f t="shared" si="1"/>
        <v>0.60952380952380947</v>
      </c>
      <c r="F147" s="182"/>
    </row>
    <row r="148" spans="1:6" outlineLevel="3" x14ac:dyDescent="0.35">
      <c r="A148" s="55" t="str">
        <f>Базовый!A140</f>
        <v>Пантенол спрей</v>
      </c>
      <c r="B148" s="60">
        <f>Базовый!C140</f>
        <v>1.4285714285714285E-2</v>
      </c>
      <c r="C148" s="52">
        <f>Базовый!T140</f>
        <v>1</v>
      </c>
      <c r="D148" s="52">
        <f>Базовый!U140</f>
        <v>349</v>
      </c>
      <c r="E148" s="52">
        <f t="shared" si="1"/>
        <v>4.9857142857142858</v>
      </c>
      <c r="F148" s="182"/>
    </row>
    <row r="149" spans="1:6" outlineLevel="3" x14ac:dyDescent="0.35">
      <c r="A149" s="55" t="str">
        <f>Базовый!A141</f>
        <v>Ингалипт аэрозоль</v>
      </c>
      <c r="B149" s="60">
        <f>Базовый!C141</f>
        <v>1.4285714285714285E-2</v>
      </c>
      <c r="C149" s="52">
        <f>Базовый!T141</f>
        <v>1</v>
      </c>
      <c r="D149" s="52">
        <f>Базовый!U141</f>
        <v>98.333333333333329</v>
      </c>
      <c r="E149" s="52">
        <f t="shared" si="1"/>
        <v>1.4047619047619047</v>
      </c>
      <c r="F149" s="182"/>
    </row>
    <row r="150" spans="1:6" outlineLevel="3" x14ac:dyDescent="0.35">
      <c r="A150" s="55" t="str">
        <f>Базовый!A142</f>
        <v>Фурацилин</v>
      </c>
      <c r="B150" s="60">
        <f>Базовый!C142</f>
        <v>2.8571428571428571E-2</v>
      </c>
      <c r="C150" s="52">
        <f>Базовый!T142</f>
        <v>1</v>
      </c>
      <c r="D150" s="52">
        <f>Базовый!U142</f>
        <v>70</v>
      </c>
      <c r="E150" s="52">
        <f t="shared" si="1"/>
        <v>2</v>
      </c>
      <c r="F150" s="182"/>
    </row>
    <row r="151" spans="1:6" outlineLevel="3" x14ac:dyDescent="0.35">
      <c r="A151" s="55" t="str">
        <f>Базовый!A143</f>
        <v>Витамин "С"</v>
      </c>
      <c r="B151" s="60">
        <f>Базовый!C143</f>
        <v>2.8846153846153848E-2</v>
      </c>
      <c r="C151" s="52">
        <f>Базовый!T143</f>
        <v>1</v>
      </c>
      <c r="D151" s="52">
        <f>Базовый!U143</f>
        <v>277.66666666666669</v>
      </c>
      <c r="E151" s="52">
        <f t="shared" si="1"/>
        <v>8.009615384615385</v>
      </c>
      <c r="F151" s="182"/>
    </row>
    <row r="152" spans="1:6" outlineLevel="3" x14ac:dyDescent="0.35">
      <c r="A152" s="55" t="str">
        <f>Базовый!A144</f>
        <v>Ревит</v>
      </c>
      <c r="B152" s="60">
        <f>Базовый!C144</f>
        <v>0.48076923076923078</v>
      </c>
      <c r="C152" s="52">
        <f>Базовый!T144</f>
        <v>1</v>
      </c>
      <c r="D152" s="52">
        <f>Базовый!U144</f>
        <v>44</v>
      </c>
      <c r="E152" s="52">
        <f t="shared" si="1"/>
        <v>21.153846153846153</v>
      </c>
      <c r="F152" s="182"/>
    </row>
    <row r="153" spans="1:6" outlineLevel="3" x14ac:dyDescent="0.35">
      <c r="A153" s="55" t="str">
        <f>Базовый!A145</f>
        <v>Нафтизин</v>
      </c>
      <c r="B153" s="60">
        <f>Базовый!C145</f>
        <v>2.0833333333333332E-2</v>
      </c>
      <c r="C153" s="52">
        <f>Базовый!T145</f>
        <v>1</v>
      </c>
      <c r="D153" s="52">
        <f>Базовый!U145</f>
        <v>35</v>
      </c>
      <c r="E153" s="52">
        <f t="shared" si="1"/>
        <v>0.72916666666666663</v>
      </c>
      <c r="F153" s="182"/>
    </row>
    <row r="154" spans="1:6" outlineLevel="3" x14ac:dyDescent="0.35">
      <c r="A154" s="55" t="str">
        <f>Базовый!A146</f>
        <v>Ксилен</v>
      </c>
      <c r="B154" s="60">
        <f>Базовый!C146</f>
        <v>4.807692307692308E-2</v>
      </c>
      <c r="C154" s="52">
        <f>Базовый!T146</f>
        <v>1</v>
      </c>
      <c r="D154" s="52">
        <f>Базовый!U146</f>
        <v>46.833333333333336</v>
      </c>
      <c r="E154" s="52">
        <f t="shared" si="1"/>
        <v>2.2516025641025643</v>
      </c>
      <c r="F154" s="182"/>
    </row>
    <row r="155" spans="1:6" outlineLevel="3" x14ac:dyDescent="0.35">
      <c r="A155" s="55" t="str">
        <f>Базовый!A147</f>
        <v>Риностоп</v>
      </c>
      <c r="B155" s="60">
        <f>Базовый!C147</f>
        <v>2.0833333333333332E-2</v>
      </c>
      <c r="C155" s="52">
        <f>Базовый!T147</f>
        <v>1</v>
      </c>
      <c r="D155" s="52">
        <f>Базовый!U147</f>
        <v>34.766666666666666</v>
      </c>
      <c r="E155" s="52">
        <f t="shared" si="1"/>
        <v>0.72430555555555554</v>
      </c>
      <c r="F155" s="182"/>
    </row>
    <row r="156" spans="1:6" outlineLevel="3" x14ac:dyDescent="0.35">
      <c r="A156" s="55" t="str">
        <f>Базовый!A148</f>
        <v>Тавегин</v>
      </c>
      <c r="B156" s="60">
        <f>Базовый!C148</f>
        <v>9.6153846153846159E-3</v>
      </c>
      <c r="C156" s="52">
        <f>Базовый!T148</f>
        <v>1</v>
      </c>
      <c r="D156" s="52">
        <f>Базовый!U148</f>
        <v>220</v>
      </c>
      <c r="E156" s="52">
        <f t="shared" si="1"/>
        <v>2.1153846153846154</v>
      </c>
      <c r="F156" s="182"/>
    </row>
    <row r="157" spans="1:6" outlineLevel="3" x14ac:dyDescent="0.35">
      <c r="A157" s="55" t="str">
        <f>Базовый!A149</f>
        <v>Сульфацил-натрия</v>
      </c>
      <c r="B157" s="60">
        <f>Базовый!C149</f>
        <v>9.6153846153846159E-3</v>
      </c>
      <c r="C157" s="52">
        <f>Базовый!T149</f>
        <v>1</v>
      </c>
      <c r="D157" s="52">
        <f>Базовый!U149</f>
        <v>81.3</v>
      </c>
      <c r="E157" s="52">
        <f t="shared" si="1"/>
        <v>0.78173076923076923</v>
      </c>
      <c r="F157" s="182"/>
    </row>
    <row r="158" spans="1:6" outlineLevel="3" x14ac:dyDescent="0.35">
      <c r="A158" s="55" t="str">
        <f>Базовый!A150</f>
        <v>Валосердин</v>
      </c>
      <c r="B158" s="60">
        <f>Базовый!C150</f>
        <v>1.0416666666666666E-2</v>
      </c>
      <c r="C158" s="52">
        <f>Базовый!T150</f>
        <v>1</v>
      </c>
      <c r="D158" s="52">
        <f>Базовый!U150</f>
        <v>64.733333333333334</v>
      </c>
      <c r="E158" s="52">
        <f t="shared" si="1"/>
        <v>0.67430555555555549</v>
      </c>
      <c r="F158" s="182"/>
    </row>
    <row r="159" spans="1:6" outlineLevel="3" x14ac:dyDescent="0.35">
      <c r="A159" s="55" t="str">
        <f>Базовый!A151</f>
        <v>Нурофен</v>
      </c>
      <c r="B159" s="60">
        <f>Базовый!C151</f>
        <v>1.4285714285714285E-2</v>
      </c>
      <c r="C159" s="52">
        <f>Базовый!T151</f>
        <v>1</v>
      </c>
      <c r="D159" s="52">
        <f>Базовый!U151</f>
        <v>240</v>
      </c>
      <c r="E159" s="52">
        <f t="shared" si="1"/>
        <v>3.4285714285714284</v>
      </c>
      <c r="F159" s="182"/>
    </row>
    <row r="160" spans="1:6" outlineLevel="3" x14ac:dyDescent="0.35">
      <c r="A160" s="55" t="str">
        <f>Базовый!A152</f>
        <v>Дротаверин</v>
      </c>
      <c r="B160" s="60">
        <f>Базовый!C152</f>
        <v>2.0833333333333332E-2</v>
      </c>
      <c r="C160" s="52">
        <f>Базовый!T152</f>
        <v>1</v>
      </c>
      <c r="D160" s="52">
        <f>Базовый!U152</f>
        <v>35.300000000000004</v>
      </c>
      <c r="E160" s="52">
        <f t="shared" si="1"/>
        <v>0.73541666666666672</v>
      </c>
      <c r="F160" s="182"/>
    </row>
    <row r="161" spans="1:6" outlineLevel="3" x14ac:dyDescent="0.35">
      <c r="A161" s="55" t="str">
        <f>Базовый!A153</f>
        <v>Диазолин</v>
      </c>
      <c r="B161" s="60">
        <f>Базовый!C153</f>
        <v>4.1666666666666664E-2</v>
      </c>
      <c r="C161" s="52">
        <f>Базовый!T153</f>
        <v>1</v>
      </c>
      <c r="D161" s="52">
        <f>Базовый!U153</f>
        <v>59.966666666666669</v>
      </c>
      <c r="E161" s="52">
        <f t="shared" si="1"/>
        <v>2.4986111111111109</v>
      </c>
      <c r="F161" s="182"/>
    </row>
    <row r="162" spans="1:6" outlineLevel="3" x14ac:dyDescent="0.35">
      <c r="A162" s="55" t="str">
        <f>Базовый!A154</f>
        <v>Тетрациклиновая глазная мазь</v>
      </c>
      <c r="B162" s="60">
        <f>Базовый!C154</f>
        <v>1.9230769230769232E-2</v>
      </c>
      <c r="C162" s="52">
        <f>Базовый!T154</f>
        <v>1</v>
      </c>
      <c r="D162" s="52">
        <f>Базовый!U154</f>
        <v>48.333333333333336</v>
      </c>
      <c r="E162" s="52">
        <f t="shared" si="1"/>
        <v>0.92948717948717963</v>
      </c>
      <c r="F162" s="182"/>
    </row>
    <row r="163" spans="1:6" outlineLevel="3" x14ac:dyDescent="0.35">
      <c r="A163" s="55" t="str">
        <f>Базовый!A155</f>
        <v>Оксолиновая мазь</v>
      </c>
      <c r="B163" s="60">
        <f>Базовый!C155</f>
        <v>4.807692307692308E-2</v>
      </c>
      <c r="C163" s="52">
        <f>Базовый!T155</f>
        <v>1</v>
      </c>
      <c r="D163" s="52">
        <f>Базовый!U155</f>
        <v>31.333333333333332</v>
      </c>
      <c r="E163" s="52">
        <f t="shared" si="1"/>
        <v>1.5064102564102564</v>
      </c>
      <c r="F163" s="182"/>
    </row>
    <row r="164" spans="1:6" outlineLevel="3" x14ac:dyDescent="0.35">
      <c r="A164" s="55" t="str">
        <f>Базовый!A156</f>
        <v>Цитрамон</v>
      </c>
      <c r="B164" s="60">
        <f>Базовый!C156</f>
        <v>4.2857142857142858E-2</v>
      </c>
      <c r="C164" s="52">
        <f>Базовый!T156</f>
        <v>1</v>
      </c>
      <c r="D164" s="52">
        <f>Базовый!U156</f>
        <v>6.666666666666667</v>
      </c>
      <c r="E164" s="52">
        <f t="shared" si="1"/>
        <v>0.28571428571428575</v>
      </c>
      <c r="F164" s="182"/>
    </row>
    <row r="165" spans="1:6" outlineLevel="3" x14ac:dyDescent="0.35">
      <c r="A165" s="55" t="str">
        <f>Базовый!A157</f>
        <v>Напальчник</v>
      </c>
      <c r="B165" s="60">
        <f>Базовый!C157</f>
        <v>0.28846153846153844</v>
      </c>
      <c r="C165" s="52">
        <f>Базовый!T157</f>
        <v>1</v>
      </c>
      <c r="D165" s="52">
        <f>Базовый!U157</f>
        <v>6.5</v>
      </c>
      <c r="E165" s="52">
        <f t="shared" si="1"/>
        <v>1.8749999999999998</v>
      </c>
      <c r="F165" s="182"/>
    </row>
    <row r="166" spans="1:6" outlineLevel="3" x14ac:dyDescent="0.35">
      <c r="A166" s="55" t="str">
        <f>Базовый!A158</f>
        <v>Л/П бактериц.</v>
      </c>
      <c r="B166" s="60">
        <f>Базовый!C158</f>
        <v>0.33653846153846156</v>
      </c>
      <c r="C166" s="52">
        <f>Базовый!T158</f>
        <v>1</v>
      </c>
      <c r="D166" s="52">
        <f>Базовый!U158</f>
        <v>2.7666666666666671</v>
      </c>
      <c r="E166" s="52">
        <f t="shared" si="1"/>
        <v>0.93108974358974383</v>
      </c>
      <c r="F166" s="182"/>
    </row>
    <row r="167" spans="1:6" outlineLevel="3" x14ac:dyDescent="0.35">
      <c r="A167" s="55" t="str">
        <f>Базовый!A159</f>
        <v>Вата</v>
      </c>
      <c r="B167" s="60">
        <f>Базовый!C159</f>
        <v>8.6538461538461536E-2</v>
      </c>
      <c r="C167" s="52">
        <f>Базовый!T159</f>
        <v>1</v>
      </c>
      <c r="D167" s="52">
        <f>Базовый!U159</f>
        <v>27.966666666666669</v>
      </c>
      <c r="E167" s="52">
        <f t="shared" si="1"/>
        <v>2.4201923076923078</v>
      </c>
      <c r="F167" s="182"/>
    </row>
    <row r="168" spans="1:6" outlineLevel="3" x14ac:dyDescent="0.35">
      <c r="A168" s="55" t="str">
        <f>Базовый!A160</f>
        <v>Лейкопластырь</v>
      </c>
      <c r="B168" s="60">
        <f>Базовый!C160</f>
        <v>1.680672268907563</v>
      </c>
      <c r="C168" s="52">
        <f>Базовый!T160</f>
        <v>1</v>
      </c>
      <c r="D168" s="52">
        <f>Базовый!U160</f>
        <v>3.5</v>
      </c>
      <c r="E168" s="52">
        <f t="shared" si="1"/>
        <v>5.882352941176471</v>
      </c>
      <c r="F168" s="182"/>
    </row>
    <row r="169" spans="1:6" outlineLevel="3" x14ac:dyDescent="0.35">
      <c r="A169" s="55" t="str">
        <f>Базовый!A161</f>
        <v>Бинт</v>
      </c>
      <c r="B169" s="60">
        <f>Базовый!C161</f>
        <v>0.19230769230769232</v>
      </c>
      <c r="C169" s="52">
        <f>Базовый!T161</f>
        <v>1</v>
      </c>
      <c r="D169" s="52">
        <f>Базовый!U161</f>
        <v>15.233333333333334</v>
      </c>
      <c r="E169" s="52">
        <f t="shared" si="1"/>
        <v>2.9294871794871797</v>
      </c>
      <c r="F169" s="182"/>
    </row>
    <row r="170" spans="1:6" outlineLevel="3" x14ac:dyDescent="0.35">
      <c r="A170" s="55" t="str">
        <f>Базовый!A162</f>
        <v xml:space="preserve">Шпатель </v>
      </c>
      <c r="B170" s="60">
        <f>Базовый!C162</f>
        <v>7.1428571428571432</v>
      </c>
      <c r="C170" s="52">
        <f>Базовый!T162</f>
        <v>1</v>
      </c>
      <c r="D170" s="52">
        <f>Базовый!U162</f>
        <v>1.3266666666666667</v>
      </c>
      <c r="E170" s="52">
        <f t="shared" si="1"/>
        <v>9.4761904761904763</v>
      </c>
      <c r="F170" s="182"/>
    </row>
    <row r="171" spans="1:6" outlineLevel="3" x14ac:dyDescent="0.35">
      <c r="A171" s="55" t="str">
        <f>Базовый!A163</f>
        <v>Перекись водорода</v>
      </c>
      <c r="B171" s="60">
        <f>Базовый!C163</f>
        <v>9.6153846153846159E-2</v>
      </c>
      <c r="C171" s="52">
        <f>Базовый!T163</f>
        <v>1</v>
      </c>
      <c r="D171" s="52">
        <f>Базовый!U163</f>
        <v>9.2999999999999989</v>
      </c>
      <c r="E171" s="52">
        <f t="shared" si="1"/>
        <v>0.89423076923076916</v>
      </c>
      <c r="F171" s="182"/>
    </row>
    <row r="172" spans="1:6" outlineLevel="3" x14ac:dyDescent="0.35">
      <c r="A172" s="55" t="str">
        <f>Базовый!A164</f>
        <v>Бриллиантовый зеленый</v>
      </c>
      <c r="B172" s="60">
        <f>Базовый!C164</f>
        <v>9.6153846153846159E-2</v>
      </c>
      <c r="C172" s="52">
        <f>Базовый!T164</f>
        <v>1</v>
      </c>
      <c r="D172" s="52">
        <f>Базовый!U164</f>
        <v>7.9333333333333336</v>
      </c>
      <c r="E172" s="52">
        <f t="shared" si="1"/>
        <v>0.76282051282051289</v>
      </c>
      <c r="F172" s="182"/>
    </row>
    <row r="173" spans="1:6" outlineLevel="3" x14ac:dyDescent="0.35">
      <c r="A173" s="55" t="str">
        <f>Базовый!A165</f>
        <v>Клей БФ</v>
      </c>
      <c r="B173" s="60">
        <f>Базовый!C165</f>
        <v>6.25E-2</v>
      </c>
      <c r="C173" s="52">
        <f>Базовый!T165</f>
        <v>1</v>
      </c>
      <c r="D173" s="52">
        <f>Базовый!U165</f>
        <v>53.366666666666667</v>
      </c>
      <c r="E173" s="52">
        <f t="shared" ref="E173:E200" si="2">B173/C173*D173</f>
        <v>3.3354166666666667</v>
      </c>
      <c r="F173" s="182"/>
    </row>
    <row r="174" spans="1:6" outlineLevel="3" x14ac:dyDescent="0.35">
      <c r="A174" s="55" t="str">
        <f>Базовый!A166</f>
        <v>Уголь активированный</v>
      </c>
      <c r="B174" s="60">
        <f>Базовый!C166</f>
        <v>3.125E-2</v>
      </c>
      <c r="C174" s="52">
        <f>Базовый!T166</f>
        <v>1</v>
      </c>
      <c r="D174" s="52">
        <f>Базовый!U166</f>
        <v>4.1000000000000005</v>
      </c>
      <c r="E174" s="52">
        <f t="shared" si="2"/>
        <v>0.12812500000000002</v>
      </c>
      <c r="F174" s="182"/>
    </row>
    <row r="175" spans="1:6" outlineLevel="3" x14ac:dyDescent="0.35">
      <c r="A175" s="55" t="str">
        <f>Базовый!A167</f>
        <v>Нитроглицерин</v>
      </c>
      <c r="B175" s="60">
        <f>Базовый!C167</f>
        <v>1.0416666666666666E-2</v>
      </c>
      <c r="C175" s="52">
        <f>Базовый!T167</f>
        <v>1</v>
      </c>
      <c r="D175" s="52">
        <f>Базовый!U167</f>
        <v>55.5</v>
      </c>
      <c r="E175" s="52">
        <f t="shared" si="2"/>
        <v>0.578125</v>
      </c>
      <c r="F175" s="182"/>
    </row>
    <row r="176" spans="1:6" s="69" customFormat="1" outlineLevel="3" collapsed="1" x14ac:dyDescent="0.35">
      <c r="A176" s="55" t="str">
        <f>Базовый!A168</f>
        <v>Настойка пустырника</v>
      </c>
      <c r="B176" s="60">
        <f>Базовый!C168</f>
        <v>3.8461538461538464E-2</v>
      </c>
      <c r="C176" s="52">
        <f>Базовый!T168</f>
        <v>1</v>
      </c>
      <c r="D176" s="52">
        <f>Базовый!U168</f>
        <v>19</v>
      </c>
      <c r="E176" s="52">
        <f t="shared" si="2"/>
        <v>0.73076923076923084</v>
      </c>
      <c r="F176" s="182"/>
    </row>
    <row r="177" spans="1:6" s="69" customFormat="1" outlineLevel="3" x14ac:dyDescent="0.35">
      <c r="A177" s="55" t="str">
        <f>Базовый!A169</f>
        <v>Валерианы эк-т</v>
      </c>
      <c r="B177" s="60">
        <f>Базовый!C169</f>
        <v>3.125E-2</v>
      </c>
      <c r="C177" s="52">
        <f>Базовый!T169</f>
        <v>1</v>
      </c>
      <c r="D177" s="52">
        <f>Базовый!U169</f>
        <v>39.166666666666664</v>
      </c>
      <c r="E177" s="52">
        <f t="shared" si="2"/>
        <v>1.2239583333333333</v>
      </c>
      <c r="F177" s="182"/>
    </row>
    <row r="178" spans="1:6" s="69" customFormat="1" outlineLevel="3" x14ac:dyDescent="0.35">
      <c r="A178" s="55" t="str">
        <f>Базовый!A170</f>
        <v>Салициловый к-ты спирт</v>
      </c>
      <c r="B178" s="60">
        <f>Базовый!C170</f>
        <v>0.20833333333333334</v>
      </c>
      <c r="C178" s="52">
        <f>Базовый!T170</f>
        <v>1</v>
      </c>
      <c r="D178" s="52">
        <f>Базовый!U170</f>
        <v>13.799999999999999</v>
      </c>
      <c r="E178" s="52">
        <f t="shared" si="2"/>
        <v>2.875</v>
      </c>
      <c r="F178" s="182"/>
    </row>
    <row r="179" spans="1:6" s="69" customFormat="1" outlineLevel="3" x14ac:dyDescent="0.35">
      <c r="A179" s="55" t="str">
        <f>Базовый!A171</f>
        <v>Адреналина г/х</v>
      </c>
      <c r="B179" s="60">
        <f>Базовый!C171</f>
        <v>1.0416666666666666E-2</v>
      </c>
      <c r="C179" s="52">
        <f>Базовый!T171</f>
        <v>1</v>
      </c>
      <c r="D179" s="52">
        <f>Базовый!U171</f>
        <v>85.5</v>
      </c>
      <c r="E179" s="52">
        <f t="shared" si="2"/>
        <v>0.890625</v>
      </c>
      <c r="F179" s="182"/>
    </row>
    <row r="180" spans="1:6" s="69" customFormat="1" outlineLevel="3" x14ac:dyDescent="0.35">
      <c r="A180" s="55" t="str">
        <f>Базовый!A172</f>
        <v>Йод спиртовой 5%</v>
      </c>
      <c r="B180" s="60">
        <f>Базовый!C172</f>
        <v>0.10416666666666667</v>
      </c>
      <c r="C180" s="52">
        <f>Базовый!T172</f>
        <v>1</v>
      </c>
      <c r="D180" s="52">
        <f>Базовый!U172</f>
        <v>9.3333333333333339</v>
      </c>
      <c r="E180" s="52">
        <f t="shared" si="2"/>
        <v>0.97222222222222232</v>
      </c>
      <c r="F180" s="182"/>
    </row>
    <row r="181" spans="1:6" s="69" customFormat="1" ht="26" outlineLevel="2" x14ac:dyDescent="0.35">
      <c r="A181" s="55" t="str">
        <f>Базовый!A173</f>
        <v>Чистящие, моющие, дезинфицирующие средства</v>
      </c>
      <c r="B181" s="60" t="str">
        <f>Базовый!C173</f>
        <v>х</v>
      </c>
      <c r="C181" s="52" t="str">
        <f>Базовый!T173</f>
        <v>х</v>
      </c>
      <c r="D181" s="52" t="str">
        <f>Базовый!U173</f>
        <v>х</v>
      </c>
      <c r="E181" s="52">
        <f>SUM(E182:E196)</f>
        <v>733.94783424862851</v>
      </c>
      <c r="F181" s="182"/>
    </row>
    <row r="182" spans="1:6" s="69" customFormat="1" ht="26" outlineLevel="3" x14ac:dyDescent="0.35">
      <c r="A182" s="55" t="str">
        <f>Базовый!A174</f>
        <v>Мыло хозяйственное 72%(200гр)</v>
      </c>
      <c r="B182" s="60">
        <f>Базовый!C174</f>
        <v>1.7094017094017093</v>
      </c>
      <c r="C182" s="52">
        <f>Базовый!T174</f>
        <v>1</v>
      </c>
      <c r="D182" s="52">
        <f>Базовый!U174</f>
        <v>15</v>
      </c>
      <c r="E182" s="52">
        <f t="shared" si="2"/>
        <v>25.641025641025639</v>
      </c>
      <c r="F182" s="182"/>
    </row>
    <row r="183" spans="1:6" s="69" customFormat="1" ht="26" outlineLevel="3" x14ac:dyDescent="0.35">
      <c r="A183" s="55" t="str">
        <f>Базовый!A175</f>
        <v>Порошок стиральный автомат (о,4 кг)</v>
      </c>
      <c r="B183" s="60">
        <f>Базовый!C175</f>
        <v>0.85470085470085466</v>
      </c>
      <c r="C183" s="52">
        <f>Базовый!T175</f>
        <v>1</v>
      </c>
      <c r="D183" s="52">
        <f>Базовый!U175</f>
        <v>52.773333333333333</v>
      </c>
      <c r="E183" s="52">
        <f t="shared" si="2"/>
        <v>45.105413105413106</v>
      </c>
      <c r="F183" s="182"/>
    </row>
    <row r="184" spans="1:6" s="69" customFormat="1" outlineLevel="3" x14ac:dyDescent="0.35">
      <c r="A184" s="55" t="str">
        <f>Базовый!A176</f>
        <v>Кондиционер для белья</v>
      </c>
      <c r="B184" s="60">
        <f>Базовый!C176</f>
        <v>0.2857142857142857</v>
      </c>
      <c r="C184" s="52">
        <f>Базовый!T176</f>
        <v>1</v>
      </c>
      <c r="D184" s="52">
        <f>Базовый!U176</f>
        <v>69.486666666666665</v>
      </c>
      <c r="E184" s="52">
        <f t="shared" si="2"/>
        <v>19.853333333333332</v>
      </c>
      <c r="F184" s="182"/>
    </row>
    <row r="185" spans="1:6" s="69" customFormat="1" outlineLevel="3" x14ac:dyDescent="0.35">
      <c r="A185" s="55" t="str">
        <f>Базовый!A177</f>
        <v>Сода 400 гр.</v>
      </c>
      <c r="B185" s="60">
        <f>Базовый!C177</f>
        <v>1.7094017094017093</v>
      </c>
      <c r="C185" s="52">
        <f>Базовый!T177</f>
        <v>1</v>
      </c>
      <c r="D185" s="52">
        <f>Базовый!U177</f>
        <v>24</v>
      </c>
      <c r="E185" s="52">
        <f t="shared" si="2"/>
        <v>41.025641025641022</v>
      </c>
      <c r="F185" s="182"/>
    </row>
    <row r="186" spans="1:6" s="69" customFormat="1" outlineLevel="3" x14ac:dyDescent="0.35">
      <c r="A186" s="55" t="str">
        <f>Базовый!A178</f>
        <v>Чистящее средство (400гр)</v>
      </c>
      <c r="B186" s="60">
        <f>Базовый!C178</f>
        <v>0.85470085470085466</v>
      </c>
      <c r="C186" s="52">
        <f>Базовый!T178</f>
        <v>1</v>
      </c>
      <c r="D186" s="52">
        <f>Базовый!U178</f>
        <v>41.4</v>
      </c>
      <c r="E186" s="52">
        <f t="shared" si="2"/>
        <v>35.38461538461538</v>
      </c>
      <c r="F186" s="182"/>
    </row>
    <row r="187" spans="1:6" s="69" customFormat="1" outlineLevel="3" x14ac:dyDescent="0.35">
      <c r="A187" s="55" t="str">
        <f>Базовый!A179</f>
        <v>Мыло детское 90 гр.</v>
      </c>
      <c r="B187" s="60">
        <f>Базовый!C179</f>
        <v>3.4188034188034186</v>
      </c>
      <c r="C187" s="52">
        <f>Базовый!T179</f>
        <v>1</v>
      </c>
      <c r="D187" s="52">
        <f>Базовый!U179</f>
        <v>14.166666666666666</v>
      </c>
      <c r="E187" s="52">
        <f t="shared" si="2"/>
        <v>48.433048433048427</v>
      </c>
      <c r="F187" s="182"/>
    </row>
    <row r="188" spans="1:6" s="69" customFormat="1" outlineLevel="3" x14ac:dyDescent="0.35">
      <c r="A188" s="55" t="str">
        <f>Базовый!A180</f>
        <v>Мыло жидкое(300мл)</v>
      </c>
      <c r="B188" s="60">
        <f>Базовый!C180</f>
        <v>0.44300876788186433</v>
      </c>
      <c r="C188" s="52">
        <f>Базовый!T180</f>
        <v>1</v>
      </c>
      <c r="D188" s="52">
        <f>Базовый!U180</f>
        <v>102.59333333333332</v>
      </c>
      <c r="E188" s="52">
        <f t="shared" si="2"/>
        <v>45.449746192893393</v>
      </c>
      <c r="F188" s="182"/>
    </row>
    <row r="189" spans="1:6" s="69" customFormat="1" outlineLevel="3" x14ac:dyDescent="0.35">
      <c r="A189" s="55" t="str">
        <f>Базовый!A181</f>
        <v>Мыло жидкое(500 мл)</v>
      </c>
      <c r="B189" s="60">
        <f>Базовый!C181</f>
        <v>8.4033613445378158E-2</v>
      </c>
      <c r="C189" s="52">
        <f>Базовый!T181</f>
        <v>1</v>
      </c>
      <c r="D189" s="52">
        <f>Базовый!U181</f>
        <v>69.186666666666667</v>
      </c>
      <c r="E189" s="52">
        <f t="shared" si="2"/>
        <v>5.814005602240897</v>
      </c>
      <c r="F189" s="182"/>
    </row>
    <row r="190" spans="1:6" s="69" customFormat="1" outlineLevel="3" x14ac:dyDescent="0.35">
      <c r="A190" s="55" t="str">
        <f>Базовый!A182</f>
        <v>Мыло жидкое(1000мл)</v>
      </c>
      <c r="B190" s="60">
        <f>Базовый!C182</f>
        <v>5.8823529411764705E-2</v>
      </c>
      <c r="C190" s="52">
        <f>Базовый!T182</f>
        <v>1</v>
      </c>
      <c r="D190" s="52">
        <f>Базовый!U182</f>
        <v>80.74666666666667</v>
      </c>
      <c r="E190" s="52">
        <f t="shared" si="2"/>
        <v>4.7498039215686276</v>
      </c>
      <c r="F190" s="182"/>
    </row>
    <row r="191" spans="1:6" s="69" customFormat="1" ht="26" outlineLevel="3" x14ac:dyDescent="0.35">
      <c r="A191" s="55" t="str">
        <f>Базовый!A183</f>
        <v>Средство для мытья посуды(500мл)</v>
      </c>
      <c r="B191" s="60">
        <f>Базовый!C183</f>
        <v>0.33613445378151263</v>
      </c>
      <c r="C191" s="52">
        <f>Базовый!T183</f>
        <v>1</v>
      </c>
      <c r="D191" s="52">
        <f>Базовый!U183</f>
        <v>31.033333333333331</v>
      </c>
      <c r="E191" s="52">
        <f t="shared" si="2"/>
        <v>10.431372549019608</v>
      </c>
      <c r="F191" s="182"/>
    </row>
    <row r="192" spans="1:6" s="69" customFormat="1" outlineLevel="3" x14ac:dyDescent="0.35">
      <c r="A192" s="55" t="str">
        <f>Базовый!A184</f>
        <v>Средство для обработки яиц</v>
      </c>
      <c r="B192" s="60">
        <f>Базовый!C184</f>
        <v>0</v>
      </c>
      <c r="C192" s="52">
        <f>Базовый!T184</f>
        <v>1</v>
      </c>
      <c r="D192" s="52">
        <f>Базовый!U184</f>
        <v>443.66666666666669</v>
      </c>
      <c r="E192" s="52">
        <f t="shared" si="2"/>
        <v>0</v>
      </c>
      <c r="F192" s="182"/>
    </row>
    <row r="193" spans="1:6" s="69" customFormat="1" outlineLevel="3" x14ac:dyDescent="0.35">
      <c r="A193" s="55" t="str">
        <f>Базовый!A185</f>
        <v xml:space="preserve">Чистящее средство для окон </v>
      </c>
      <c r="B193" s="60">
        <f>Базовый!C185</f>
        <v>0.42735042735042733</v>
      </c>
      <c r="C193" s="52">
        <f>Базовый!T185</f>
        <v>1</v>
      </c>
      <c r="D193" s="52">
        <f>Базовый!U185</f>
        <v>53.666666666666664</v>
      </c>
      <c r="E193" s="52">
        <f t="shared" si="2"/>
        <v>22.934472934472932</v>
      </c>
      <c r="F193" s="182"/>
    </row>
    <row r="194" spans="1:6" s="69" customFormat="1" outlineLevel="3" x14ac:dyDescent="0.35">
      <c r="A194" s="55" t="str">
        <f>Базовый!A186</f>
        <v>Тест-полоска Оптимакс 50 шт</v>
      </c>
      <c r="B194" s="60">
        <f>Базовый!C186</f>
        <v>8.5470085470085479E-3</v>
      </c>
      <c r="C194" s="52">
        <f>Базовый!T186</f>
        <v>1</v>
      </c>
      <c r="D194" s="52">
        <f>Базовый!U186</f>
        <v>661</v>
      </c>
      <c r="E194" s="52">
        <f t="shared" si="2"/>
        <v>5.6495726495726499</v>
      </c>
      <c r="F194" s="182"/>
    </row>
    <row r="195" spans="1:6" s="69" customFormat="1" outlineLevel="3" x14ac:dyDescent="0.35">
      <c r="A195" s="55" t="str">
        <f>Базовый!A187</f>
        <v>Дезсредство Оптимакс (1л)</v>
      </c>
      <c r="B195" s="60">
        <f>Базовый!C187</f>
        <v>0.85470085470085466</v>
      </c>
      <c r="C195" s="52">
        <f>Базовый!T187</f>
        <v>1</v>
      </c>
      <c r="D195" s="52">
        <f>Базовый!U187</f>
        <v>491</v>
      </c>
      <c r="E195" s="52">
        <f t="shared" si="2"/>
        <v>419.65811965811963</v>
      </c>
      <c r="F195" s="182"/>
    </row>
    <row r="196" spans="1:6" s="69" customFormat="1" outlineLevel="3" x14ac:dyDescent="0.35">
      <c r="A196" s="55" t="str">
        <f>Базовый!A188</f>
        <v>Отбеливатель Белизна 0,9 л</v>
      </c>
      <c r="B196" s="60">
        <f>Базовый!C188</f>
        <v>0.17094017094017094</v>
      </c>
      <c r="C196" s="52">
        <f>Базовый!T188</f>
        <v>1</v>
      </c>
      <c r="D196" s="52">
        <f>Базовый!U188</f>
        <v>22.333333333333332</v>
      </c>
      <c r="E196" s="52">
        <f t="shared" si="2"/>
        <v>3.8176638176638176</v>
      </c>
      <c r="F196" s="182"/>
    </row>
    <row r="197" spans="1:6" s="69" customFormat="1" outlineLevel="2" x14ac:dyDescent="0.35">
      <c r="A197" s="55" t="str">
        <f>Базовый!A189</f>
        <v>Прочие хозяйственные товары</v>
      </c>
      <c r="B197" s="60" t="str">
        <f>Базовый!C189</f>
        <v>х</v>
      </c>
      <c r="C197" s="52" t="str">
        <f>Базовый!T189</f>
        <v>х</v>
      </c>
      <c r="D197" s="52" t="str">
        <f>Базовый!U189</f>
        <v>х</v>
      </c>
      <c r="E197" s="52">
        <f>SUM(E198:E200)</f>
        <v>65.770813548591335</v>
      </c>
      <c r="F197" s="182"/>
    </row>
    <row r="198" spans="1:6" s="69" customFormat="1" outlineLevel="3" x14ac:dyDescent="0.35">
      <c r="A198" s="55" t="str">
        <f>Базовый!A190</f>
        <v>Салфетка микрофибра</v>
      </c>
      <c r="B198" s="60">
        <f>Базовый!C190</f>
        <v>0.7407407407407407</v>
      </c>
      <c r="C198" s="52">
        <f>Базовый!T190</f>
        <v>1</v>
      </c>
      <c r="D198" s="52">
        <f>Базовый!U190</f>
        <v>33.333333333333336</v>
      </c>
      <c r="E198" s="52">
        <f t="shared" si="2"/>
        <v>24.691358024691358</v>
      </c>
      <c r="F198" s="182"/>
    </row>
    <row r="199" spans="1:6" s="69" customFormat="1" outlineLevel="3" x14ac:dyDescent="0.35">
      <c r="A199" s="55" t="str">
        <f>Базовый!A191</f>
        <v>Салфетка для пола х/б</v>
      </c>
      <c r="B199" s="60">
        <f>Базовый!C191</f>
        <v>0.61728395061728392</v>
      </c>
      <c r="C199" s="52">
        <f>Базовый!T191</f>
        <v>1</v>
      </c>
      <c r="D199" s="52">
        <f>Базовый!U191</f>
        <v>61.333333333333336</v>
      </c>
      <c r="E199" s="52">
        <f t="shared" si="2"/>
        <v>37.860082304526749</v>
      </c>
      <c r="F199" s="182"/>
    </row>
    <row r="200" spans="1:6" s="69" customFormat="1" outlineLevel="3" x14ac:dyDescent="0.35">
      <c r="A200" s="55" t="str">
        <f>Базовый!A192</f>
        <v>Мешки для мусора</v>
      </c>
      <c r="B200" s="60">
        <f>Базовый!C192</f>
        <v>0.17094017094017094</v>
      </c>
      <c r="C200" s="52">
        <f>Базовый!T192</f>
        <v>1</v>
      </c>
      <c r="D200" s="52">
        <f>Базовый!U192</f>
        <v>18.833333333333332</v>
      </c>
      <c r="E200" s="52">
        <f t="shared" si="2"/>
        <v>3.2193732193732192</v>
      </c>
      <c r="F200" s="182"/>
    </row>
    <row r="201" spans="1:6" s="69" customFormat="1" hidden="1" outlineLevel="2" collapsed="1" x14ac:dyDescent="0.35">
      <c r="A201" s="55"/>
      <c r="B201" s="60"/>
      <c r="C201" s="52"/>
      <c r="D201" s="52"/>
      <c r="E201" s="52"/>
      <c r="F201" s="182"/>
    </row>
    <row r="202" spans="1:6" s="69" customFormat="1" hidden="1" outlineLevel="3" x14ac:dyDescent="0.35">
      <c r="A202" s="55"/>
      <c r="B202" s="60"/>
      <c r="C202" s="52"/>
      <c r="D202" s="52"/>
      <c r="E202" s="52"/>
      <c r="F202" s="182"/>
    </row>
    <row r="203" spans="1:6" s="69" customFormat="1" hidden="1" outlineLevel="3" x14ac:dyDescent="0.35">
      <c r="A203" s="55"/>
      <c r="B203" s="60"/>
      <c r="C203" s="52"/>
      <c r="D203" s="52"/>
      <c r="E203" s="52"/>
      <c r="F203" s="182"/>
    </row>
    <row r="204" spans="1:6" s="69" customFormat="1" hidden="1" outlineLevel="3" x14ac:dyDescent="0.35">
      <c r="A204" s="55"/>
      <c r="B204" s="60"/>
      <c r="C204" s="52"/>
      <c r="D204" s="52"/>
      <c r="E204" s="52"/>
      <c r="F204" s="182"/>
    </row>
    <row r="205" spans="1:6" ht="30" customHeight="1" x14ac:dyDescent="0.35">
      <c r="A205" s="175" t="s">
        <v>22</v>
      </c>
      <c r="B205" s="175"/>
      <c r="C205" s="175"/>
      <c r="D205" s="175"/>
      <c r="E205" s="68">
        <f>E206+E214+E230+E233+E236+E238+E241</f>
        <v>23835.887448084915</v>
      </c>
      <c r="F205" s="182"/>
    </row>
    <row r="206" spans="1:6" ht="30" customHeight="1" outlineLevel="1" collapsed="1" x14ac:dyDescent="0.35">
      <c r="A206" s="175" t="s">
        <v>25</v>
      </c>
      <c r="B206" s="175"/>
      <c r="C206" s="175"/>
      <c r="D206" s="175"/>
      <c r="E206" s="52">
        <f>SUM(E207:E213)</f>
        <v>0</v>
      </c>
      <c r="F206" s="182"/>
    </row>
    <row r="207" spans="1:6" hidden="1" outlineLevel="2" x14ac:dyDescent="0.35">
      <c r="A207" s="55"/>
      <c r="B207" s="60"/>
      <c r="C207" s="52"/>
      <c r="D207" s="52"/>
      <c r="E207" s="52"/>
      <c r="F207" s="182"/>
    </row>
    <row r="208" spans="1:6" hidden="1" outlineLevel="2" x14ac:dyDescent="0.35">
      <c r="A208" s="55"/>
      <c r="B208" s="60"/>
      <c r="C208" s="52"/>
      <c r="D208" s="52"/>
      <c r="E208" s="52"/>
      <c r="F208" s="182"/>
    </row>
    <row r="209" spans="1:6" hidden="1" outlineLevel="2" x14ac:dyDescent="0.35">
      <c r="A209" s="55"/>
      <c r="B209" s="60"/>
      <c r="C209" s="52"/>
      <c r="D209" s="52"/>
      <c r="E209" s="52"/>
      <c r="F209" s="182"/>
    </row>
    <row r="210" spans="1:6" hidden="1" outlineLevel="2" x14ac:dyDescent="0.35">
      <c r="A210" s="55"/>
      <c r="B210" s="60"/>
      <c r="C210" s="52"/>
      <c r="D210" s="52"/>
      <c r="E210" s="52"/>
      <c r="F210" s="182"/>
    </row>
    <row r="211" spans="1:6" hidden="1" outlineLevel="2" x14ac:dyDescent="0.35">
      <c r="A211" s="55"/>
      <c r="B211" s="60"/>
      <c r="C211" s="52"/>
      <c r="D211" s="52"/>
      <c r="E211" s="52"/>
      <c r="F211" s="182"/>
    </row>
    <row r="212" spans="1:6" hidden="1" outlineLevel="2" x14ac:dyDescent="0.35">
      <c r="A212" s="55"/>
      <c r="B212" s="60"/>
      <c r="C212" s="52"/>
      <c r="D212" s="52"/>
      <c r="E212" s="52"/>
      <c r="F212" s="182"/>
    </row>
    <row r="213" spans="1:6" hidden="1" outlineLevel="2" x14ac:dyDescent="0.35">
      <c r="A213" s="55"/>
      <c r="B213" s="60"/>
      <c r="C213" s="52"/>
      <c r="D213" s="52"/>
      <c r="E213" s="52"/>
      <c r="F213" s="182"/>
    </row>
    <row r="214" spans="1:6" ht="30" customHeight="1" outlineLevel="1" collapsed="1" x14ac:dyDescent="0.35">
      <c r="A214" s="175" t="s">
        <v>36</v>
      </c>
      <c r="B214" s="175"/>
      <c r="C214" s="175"/>
      <c r="D214" s="175"/>
      <c r="E214" s="52">
        <f>SUM(E215:E229)</f>
        <v>0</v>
      </c>
      <c r="F214" s="182"/>
    </row>
    <row r="215" spans="1:6" hidden="1" outlineLevel="2" x14ac:dyDescent="0.35">
      <c r="A215" s="55"/>
      <c r="B215" s="60"/>
      <c r="C215" s="52"/>
      <c r="D215" s="52"/>
      <c r="E215" s="52"/>
      <c r="F215" s="182"/>
    </row>
    <row r="216" spans="1:6" hidden="1" outlineLevel="2" x14ac:dyDescent="0.35">
      <c r="A216" s="55"/>
      <c r="B216" s="60"/>
      <c r="C216" s="52"/>
      <c r="D216" s="52"/>
      <c r="E216" s="52"/>
      <c r="F216" s="182"/>
    </row>
    <row r="217" spans="1:6" hidden="1" outlineLevel="2" x14ac:dyDescent="0.35">
      <c r="A217" s="55"/>
      <c r="B217" s="60"/>
      <c r="C217" s="52"/>
      <c r="D217" s="52"/>
      <c r="E217" s="52"/>
      <c r="F217" s="182"/>
    </row>
    <row r="218" spans="1:6" hidden="1" outlineLevel="2" x14ac:dyDescent="0.35">
      <c r="A218" s="55"/>
      <c r="B218" s="60"/>
      <c r="C218" s="52"/>
      <c r="D218" s="52"/>
      <c r="E218" s="52"/>
      <c r="F218" s="182"/>
    </row>
    <row r="219" spans="1:6" hidden="1" outlineLevel="2" x14ac:dyDescent="0.35">
      <c r="A219" s="55"/>
      <c r="B219" s="60"/>
      <c r="C219" s="52"/>
      <c r="D219" s="52"/>
      <c r="E219" s="52"/>
      <c r="F219" s="182"/>
    </row>
    <row r="220" spans="1:6" hidden="1" outlineLevel="2" x14ac:dyDescent="0.35">
      <c r="A220" s="55"/>
      <c r="B220" s="60"/>
      <c r="C220" s="52"/>
      <c r="D220" s="52"/>
      <c r="E220" s="52"/>
      <c r="F220" s="182"/>
    </row>
    <row r="221" spans="1:6" hidden="1" outlineLevel="2" x14ac:dyDescent="0.35">
      <c r="A221" s="55"/>
      <c r="B221" s="60"/>
      <c r="C221" s="52"/>
      <c r="D221" s="52"/>
      <c r="E221" s="52"/>
      <c r="F221" s="182"/>
    </row>
    <row r="222" spans="1:6" hidden="1" outlineLevel="2" x14ac:dyDescent="0.35">
      <c r="A222" s="55"/>
      <c r="B222" s="60"/>
      <c r="C222" s="52"/>
      <c r="D222" s="52"/>
      <c r="E222" s="52"/>
      <c r="F222" s="182"/>
    </row>
    <row r="223" spans="1:6" hidden="1" outlineLevel="2" x14ac:dyDescent="0.35">
      <c r="A223" s="55"/>
      <c r="B223" s="60"/>
      <c r="C223" s="52"/>
      <c r="D223" s="52"/>
      <c r="E223" s="52"/>
      <c r="F223" s="182"/>
    </row>
    <row r="224" spans="1:6" hidden="1" outlineLevel="2" x14ac:dyDescent="0.35">
      <c r="A224" s="55"/>
      <c r="B224" s="60"/>
      <c r="C224" s="52"/>
      <c r="D224" s="52"/>
      <c r="E224" s="52"/>
      <c r="F224" s="182"/>
    </row>
    <row r="225" spans="1:6" hidden="1" outlineLevel="2" x14ac:dyDescent="0.35">
      <c r="A225" s="55"/>
      <c r="B225" s="60"/>
      <c r="C225" s="52"/>
      <c r="D225" s="52"/>
      <c r="E225" s="52"/>
      <c r="F225" s="182"/>
    </row>
    <row r="226" spans="1:6" hidden="1" outlineLevel="2" x14ac:dyDescent="0.35">
      <c r="A226" s="55"/>
      <c r="B226" s="60"/>
      <c r="C226" s="52"/>
      <c r="D226" s="52"/>
      <c r="E226" s="52"/>
      <c r="F226" s="182"/>
    </row>
    <row r="227" spans="1:6" hidden="1" outlineLevel="2" x14ac:dyDescent="0.35">
      <c r="A227" s="55"/>
      <c r="B227" s="60"/>
      <c r="C227" s="52"/>
      <c r="D227" s="52"/>
      <c r="E227" s="52"/>
      <c r="F227" s="182"/>
    </row>
    <row r="228" spans="1:6" hidden="1" outlineLevel="2" x14ac:dyDescent="0.35">
      <c r="A228" s="55"/>
      <c r="B228" s="60"/>
      <c r="C228" s="52"/>
      <c r="D228" s="52"/>
      <c r="E228" s="52"/>
      <c r="F228" s="182"/>
    </row>
    <row r="229" spans="1:6" hidden="1" outlineLevel="2" x14ac:dyDescent="0.35">
      <c r="A229" s="55"/>
      <c r="B229" s="60"/>
      <c r="C229" s="52"/>
      <c r="D229" s="52"/>
      <c r="E229" s="52"/>
      <c r="F229" s="182"/>
    </row>
    <row r="230" spans="1:6" ht="30" customHeight="1" outlineLevel="1" collapsed="1" x14ac:dyDescent="0.35">
      <c r="A230" s="175" t="s">
        <v>42</v>
      </c>
      <c r="B230" s="175"/>
      <c r="C230" s="175"/>
      <c r="D230" s="175"/>
      <c r="E230" s="52">
        <f>SUM(E231:E232)</f>
        <v>0</v>
      </c>
      <c r="F230" s="182"/>
    </row>
    <row r="231" spans="1:6" hidden="1" outlineLevel="2" x14ac:dyDescent="0.35">
      <c r="A231" s="55"/>
      <c r="B231" s="60"/>
      <c r="C231" s="52"/>
      <c r="D231" s="52"/>
      <c r="E231" s="52"/>
      <c r="F231" s="182"/>
    </row>
    <row r="232" spans="1:6" hidden="1" outlineLevel="2" x14ac:dyDescent="0.35">
      <c r="A232" s="55"/>
      <c r="B232" s="60"/>
      <c r="C232" s="52"/>
      <c r="D232" s="52"/>
      <c r="E232" s="52"/>
      <c r="F232" s="182"/>
    </row>
    <row r="233" spans="1:6" ht="30" customHeight="1" outlineLevel="1" collapsed="1" x14ac:dyDescent="0.35">
      <c r="A233" s="175" t="s">
        <v>44</v>
      </c>
      <c r="B233" s="175"/>
      <c r="C233" s="175"/>
      <c r="D233" s="175"/>
      <c r="E233" s="52">
        <f>SUM(E234:E235)</f>
        <v>0</v>
      </c>
      <c r="F233" s="182"/>
    </row>
    <row r="234" spans="1:6" hidden="1" outlineLevel="2" x14ac:dyDescent="0.35">
      <c r="A234" s="55"/>
      <c r="B234" s="60"/>
      <c r="C234" s="52"/>
      <c r="D234" s="52"/>
      <c r="E234" s="52"/>
      <c r="F234" s="182"/>
    </row>
    <row r="235" spans="1:6" hidden="1" outlineLevel="2" x14ac:dyDescent="0.35">
      <c r="A235" s="55"/>
      <c r="B235" s="60"/>
      <c r="C235" s="52"/>
      <c r="D235" s="52"/>
      <c r="E235" s="52"/>
      <c r="F235" s="182"/>
    </row>
    <row r="236" spans="1:6" ht="30" customHeight="1" outlineLevel="1" collapsed="1" x14ac:dyDescent="0.35">
      <c r="A236" s="175" t="s">
        <v>49</v>
      </c>
      <c r="B236" s="175"/>
      <c r="C236" s="175"/>
      <c r="D236" s="175"/>
      <c r="E236" s="52">
        <v>0</v>
      </c>
      <c r="F236" s="182"/>
    </row>
    <row r="237" spans="1:6" hidden="1" outlineLevel="2" x14ac:dyDescent="0.35">
      <c r="A237" s="55"/>
      <c r="B237" s="55"/>
      <c r="C237" s="55"/>
      <c r="D237" s="55"/>
      <c r="E237" s="55"/>
      <c r="F237" s="182"/>
    </row>
    <row r="238" spans="1:6" ht="30" customHeight="1" outlineLevel="1" x14ac:dyDescent="0.35">
      <c r="A238" s="175" t="s">
        <v>65</v>
      </c>
      <c r="B238" s="175"/>
      <c r="C238" s="175"/>
      <c r="D238" s="175"/>
      <c r="E238" s="52">
        <f>SUM(E239:E240)</f>
        <v>23820.383017997236</v>
      </c>
      <c r="F238" s="182"/>
    </row>
    <row r="239" spans="1:6" ht="26" outlineLevel="2" x14ac:dyDescent="0.35">
      <c r="A239" s="55" t="str">
        <f>Базовый!A231</f>
        <v>Административно-управленческий персонал</v>
      </c>
      <c r="B239" s="60">
        <f>Базовый!C231</f>
        <v>9.2293493308721747E-3</v>
      </c>
      <c r="C239" s="52">
        <f>Базовый!T231</f>
        <v>1</v>
      </c>
      <c r="D239" s="52">
        <f>Базовый!U231</f>
        <v>999146</v>
      </c>
      <c r="E239" s="52">
        <f>B239/C239*D239</f>
        <v>9221.4674665436105</v>
      </c>
      <c r="F239" s="182"/>
    </row>
    <row r="240" spans="1:6" outlineLevel="2" x14ac:dyDescent="0.35">
      <c r="A240" s="55" t="str">
        <f>Базовый!A232</f>
        <v>Обслуживающий персонал</v>
      </c>
      <c r="B240" s="60">
        <f>Базовый!C232</f>
        <v>6.2298107983387176E-2</v>
      </c>
      <c r="C240" s="52">
        <f>Базовый!T232</f>
        <v>1</v>
      </c>
      <c r="D240" s="52">
        <f>Базовый!U232</f>
        <v>234339.62962962964</v>
      </c>
      <c r="E240" s="52">
        <f>B240/C240*D240</f>
        <v>14598.915551453623</v>
      </c>
      <c r="F240" s="182"/>
    </row>
    <row r="241" spans="1:6" ht="16.5" customHeight="1" outlineLevel="1" x14ac:dyDescent="0.35">
      <c r="A241" s="175" t="s">
        <v>82</v>
      </c>
      <c r="B241" s="175"/>
      <c r="C241" s="175"/>
      <c r="D241" s="175"/>
      <c r="E241" s="52">
        <f>SUM(E242:E274)</f>
        <v>15.504430087678822</v>
      </c>
      <c r="F241" s="182"/>
    </row>
    <row r="242" spans="1:6" outlineLevel="2" x14ac:dyDescent="0.35">
      <c r="A242" s="55" t="str">
        <f>Базовый!A234</f>
        <v>Исследование воды (питьевая)</v>
      </c>
      <c r="B242" s="60">
        <f>Базовый!C234</f>
        <v>4.6146746654360873E-3</v>
      </c>
      <c r="C242" s="52">
        <f>Базовый!T234</f>
        <v>1</v>
      </c>
      <c r="D242" s="52">
        <f>Базовый!U234</f>
        <v>2670.58</v>
      </c>
      <c r="E242" s="52">
        <f>B242/C242*D242</f>
        <v>12.323857868020307</v>
      </c>
      <c r="F242" s="182"/>
    </row>
    <row r="243" spans="1:6" outlineLevel="2" x14ac:dyDescent="0.35">
      <c r="A243" s="55" t="str">
        <f>Базовый!A235</f>
        <v>Исследование песка</v>
      </c>
      <c r="B243" s="60">
        <f>Базовый!C235</f>
        <v>4.6146746654360873E-3</v>
      </c>
      <c r="C243" s="52">
        <f>Базовый!T235</f>
        <v>1</v>
      </c>
      <c r="D243" s="52">
        <f>Базовый!U235</f>
        <v>689.23</v>
      </c>
      <c r="E243" s="52">
        <f>B243/C243*D243</f>
        <v>3.1805722196585147</v>
      </c>
      <c r="F243" s="182"/>
    </row>
    <row r="244" spans="1:6" ht="26" outlineLevel="2" x14ac:dyDescent="0.35">
      <c r="A244" s="55" t="str">
        <f>Базовый!A236</f>
        <v>Услуги СЭС (дезинфекция при ротовирусе)</v>
      </c>
      <c r="B244" s="60">
        <f>Базовый!C236</f>
        <v>0</v>
      </c>
      <c r="C244" s="52">
        <f>Базовый!T236</f>
        <v>1</v>
      </c>
      <c r="D244" s="52">
        <f>Базовый!U236</f>
        <v>6659.01</v>
      </c>
      <c r="E244" s="52">
        <f>B244/C244*D244</f>
        <v>0</v>
      </c>
      <c r="F244" s="182"/>
    </row>
    <row r="245" spans="1:6" hidden="1" outlineLevel="2" x14ac:dyDescent="0.35">
      <c r="A245" s="55"/>
      <c r="B245" s="60"/>
      <c r="C245" s="52"/>
      <c r="D245" s="52"/>
      <c r="E245" s="52"/>
      <c r="F245" s="182"/>
    </row>
    <row r="246" spans="1:6" hidden="1" outlineLevel="2" x14ac:dyDescent="0.35">
      <c r="A246" s="55"/>
      <c r="B246" s="60"/>
      <c r="C246" s="52"/>
      <c r="D246" s="52"/>
      <c r="E246" s="52"/>
      <c r="F246" s="182"/>
    </row>
    <row r="247" spans="1:6" hidden="1" outlineLevel="2" x14ac:dyDescent="0.35">
      <c r="A247" s="55"/>
      <c r="B247" s="60"/>
      <c r="C247" s="52"/>
      <c r="D247" s="52"/>
      <c r="E247" s="52"/>
      <c r="F247" s="182"/>
    </row>
    <row r="248" spans="1:6" hidden="1" outlineLevel="2" x14ac:dyDescent="0.35">
      <c r="A248" s="55"/>
      <c r="B248" s="60"/>
      <c r="C248" s="52"/>
      <c r="D248" s="52"/>
      <c r="E248" s="52"/>
      <c r="F248" s="182"/>
    </row>
    <row r="249" spans="1:6" hidden="1" outlineLevel="2" x14ac:dyDescent="0.35">
      <c r="A249" s="55"/>
      <c r="B249" s="60"/>
      <c r="C249" s="52"/>
      <c r="D249" s="52"/>
      <c r="E249" s="52"/>
      <c r="F249" s="182"/>
    </row>
    <row r="250" spans="1:6" hidden="1" outlineLevel="2" x14ac:dyDescent="0.35">
      <c r="A250" s="55"/>
      <c r="B250" s="60"/>
      <c r="C250" s="52"/>
      <c r="D250" s="52"/>
      <c r="E250" s="52"/>
      <c r="F250" s="182"/>
    </row>
    <row r="251" spans="1:6" hidden="1" outlineLevel="2" x14ac:dyDescent="0.35">
      <c r="A251" s="55"/>
      <c r="B251" s="60"/>
      <c r="C251" s="52"/>
      <c r="D251" s="52"/>
      <c r="E251" s="52"/>
      <c r="F251" s="182"/>
    </row>
    <row r="252" spans="1:6" hidden="1" outlineLevel="2" x14ac:dyDescent="0.35">
      <c r="A252" s="55"/>
      <c r="B252" s="60"/>
      <c r="C252" s="52"/>
      <c r="D252" s="52"/>
      <c r="E252" s="52"/>
      <c r="F252" s="182"/>
    </row>
    <row r="253" spans="1:6" hidden="1" outlineLevel="2" x14ac:dyDescent="0.35">
      <c r="A253" s="55"/>
      <c r="B253" s="60"/>
      <c r="C253" s="52"/>
      <c r="D253" s="52"/>
      <c r="E253" s="52"/>
      <c r="F253" s="182"/>
    </row>
    <row r="254" spans="1:6" hidden="1" outlineLevel="2" x14ac:dyDescent="0.35">
      <c r="A254" s="55"/>
      <c r="B254" s="60"/>
      <c r="C254" s="52"/>
      <c r="D254" s="52"/>
      <c r="E254" s="52"/>
      <c r="F254" s="182"/>
    </row>
    <row r="255" spans="1:6" hidden="1" outlineLevel="2" x14ac:dyDescent="0.35">
      <c r="A255" s="55"/>
      <c r="B255" s="60"/>
      <c r="C255" s="52"/>
      <c r="D255" s="52"/>
      <c r="E255" s="52"/>
      <c r="F255" s="182"/>
    </row>
    <row r="256" spans="1:6" hidden="1" outlineLevel="2" x14ac:dyDescent="0.35">
      <c r="A256" s="55"/>
      <c r="B256" s="60"/>
      <c r="C256" s="52"/>
      <c r="D256" s="52"/>
      <c r="E256" s="52"/>
      <c r="F256" s="182"/>
    </row>
    <row r="257" spans="1:6" hidden="1" outlineLevel="2" x14ac:dyDescent="0.35">
      <c r="A257" s="55"/>
      <c r="B257" s="60"/>
      <c r="C257" s="52"/>
      <c r="D257" s="52"/>
      <c r="E257" s="52"/>
      <c r="F257" s="182"/>
    </row>
    <row r="258" spans="1:6" hidden="1" outlineLevel="2" x14ac:dyDescent="0.35">
      <c r="A258" s="55"/>
      <c r="B258" s="60"/>
      <c r="C258" s="52"/>
      <c r="D258" s="52"/>
      <c r="E258" s="52"/>
      <c r="F258" s="182"/>
    </row>
    <row r="259" spans="1:6" hidden="1" outlineLevel="2" x14ac:dyDescent="0.35">
      <c r="A259" s="55"/>
      <c r="B259" s="60"/>
      <c r="C259" s="52"/>
      <c r="D259" s="52"/>
      <c r="E259" s="52"/>
      <c r="F259" s="182"/>
    </row>
    <row r="260" spans="1:6" hidden="1" outlineLevel="2" x14ac:dyDescent="0.35">
      <c r="A260" s="55"/>
      <c r="B260" s="60"/>
      <c r="C260" s="52"/>
      <c r="D260" s="52"/>
      <c r="E260" s="52"/>
      <c r="F260" s="182"/>
    </row>
    <row r="261" spans="1:6" hidden="1" outlineLevel="2" x14ac:dyDescent="0.35">
      <c r="A261" s="55"/>
      <c r="B261" s="60"/>
      <c r="C261" s="52"/>
      <c r="D261" s="52"/>
      <c r="E261" s="52"/>
      <c r="F261" s="182"/>
    </row>
    <row r="262" spans="1:6" hidden="1" outlineLevel="2" x14ac:dyDescent="0.35">
      <c r="A262" s="55"/>
      <c r="B262" s="60"/>
      <c r="C262" s="52"/>
      <c r="D262" s="52"/>
      <c r="E262" s="52"/>
      <c r="F262" s="182"/>
    </row>
    <row r="263" spans="1:6" hidden="1" outlineLevel="2" x14ac:dyDescent="0.35">
      <c r="A263" s="55"/>
      <c r="B263" s="60"/>
      <c r="C263" s="52"/>
      <c r="D263" s="52"/>
      <c r="E263" s="52"/>
      <c r="F263" s="182"/>
    </row>
    <row r="264" spans="1:6" hidden="1" outlineLevel="2" x14ac:dyDescent="0.35">
      <c r="A264" s="55"/>
      <c r="B264" s="60"/>
      <c r="C264" s="52"/>
      <c r="D264" s="52"/>
      <c r="E264" s="52"/>
      <c r="F264" s="182"/>
    </row>
    <row r="265" spans="1:6" hidden="1" outlineLevel="2" x14ac:dyDescent="0.35">
      <c r="A265" s="55"/>
      <c r="B265" s="60"/>
      <c r="C265" s="52"/>
      <c r="D265" s="52"/>
      <c r="E265" s="52"/>
      <c r="F265" s="182"/>
    </row>
    <row r="266" spans="1:6" hidden="1" outlineLevel="2" x14ac:dyDescent="0.35">
      <c r="A266" s="55"/>
      <c r="B266" s="60"/>
      <c r="C266" s="52"/>
      <c r="D266" s="52"/>
      <c r="E266" s="52"/>
      <c r="F266" s="182"/>
    </row>
    <row r="267" spans="1:6" hidden="1" outlineLevel="2" x14ac:dyDescent="0.35">
      <c r="A267" s="55"/>
      <c r="B267" s="60"/>
      <c r="C267" s="52"/>
      <c r="D267" s="52"/>
      <c r="E267" s="52"/>
      <c r="F267" s="182"/>
    </row>
    <row r="268" spans="1:6" hidden="1" outlineLevel="2" x14ac:dyDescent="0.35">
      <c r="A268" s="55"/>
      <c r="B268" s="60"/>
      <c r="C268" s="52"/>
      <c r="D268" s="52"/>
      <c r="E268" s="52"/>
      <c r="F268" s="182"/>
    </row>
    <row r="269" spans="1:6" hidden="1" outlineLevel="2" x14ac:dyDescent="0.35">
      <c r="A269" s="55"/>
      <c r="B269" s="60"/>
      <c r="C269" s="52"/>
      <c r="D269" s="52"/>
      <c r="E269" s="52"/>
      <c r="F269" s="182"/>
    </row>
    <row r="270" spans="1:6" hidden="1" outlineLevel="2" x14ac:dyDescent="0.35">
      <c r="A270" s="55"/>
      <c r="B270" s="60"/>
      <c r="C270" s="52"/>
      <c r="D270" s="52"/>
      <c r="E270" s="52"/>
      <c r="F270" s="182"/>
    </row>
    <row r="271" spans="1:6" hidden="1" outlineLevel="2" x14ac:dyDescent="0.35">
      <c r="A271" s="55"/>
      <c r="B271" s="60"/>
      <c r="C271" s="52"/>
      <c r="D271" s="52"/>
      <c r="E271" s="52"/>
      <c r="F271" s="182"/>
    </row>
    <row r="272" spans="1:6" hidden="1" outlineLevel="2" x14ac:dyDescent="0.35">
      <c r="A272" s="55"/>
      <c r="B272" s="60"/>
      <c r="C272" s="52"/>
      <c r="D272" s="52"/>
      <c r="E272" s="52"/>
      <c r="F272" s="182"/>
    </row>
    <row r="273" spans="1:6" hidden="1" outlineLevel="2" x14ac:dyDescent="0.35">
      <c r="A273" s="55"/>
      <c r="B273" s="60"/>
      <c r="C273" s="52"/>
      <c r="D273" s="52"/>
      <c r="E273" s="52"/>
      <c r="F273" s="182"/>
    </row>
    <row r="274" spans="1:6" hidden="1" outlineLevel="2" x14ac:dyDescent="0.35">
      <c r="A274" s="55"/>
      <c r="B274" s="60"/>
      <c r="C274" s="52"/>
      <c r="D274" s="52"/>
      <c r="E274" s="52"/>
      <c r="F274" s="182"/>
    </row>
    <row r="275" spans="1:6" x14ac:dyDescent="0.35">
      <c r="A275" s="167" t="s">
        <v>382</v>
      </c>
      <c r="B275" s="167"/>
      <c r="C275" s="167"/>
      <c r="D275" s="167"/>
      <c r="E275" s="68">
        <f>E11+E205</f>
        <v>54732.96801786912</v>
      </c>
      <c r="F275" s="183"/>
    </row>
  </sheetData>
  <autoFilter ref="A8:F8"/>
  <mergeCells count="18">
    <mergeCell ref="A241:D241"/>
    <mergeCell ref="A275:D275"/>
    <mergeCell ref="A238:D238"/>
    <mergeCell ref="A236:D236"/>
    <mergeCell ref="A4:F4"/>
    <mergeCell ref="A5:F5"/>
    <mergeCell ref="A9:F9"/>
    <mergeCell ref="A10:F10"/>
    <mergeCell ref="A11:D11"/>
    <mergeCell ref="F11:F275"/>
    <mergeCell ref="A12:D12"/>
    <mergeCell ref="A16:D16"/>
    <mergeCell ref="A205:D205"/>
    <mergeCell ref="A230:D230"/>
    <mergeCell ref="A233:D233"/>
    <mergeCell ref="A107:D107"/>
    <mergeCell ref="A206:D206"/>
    <mergeCell ref="A214:D214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85"/>
  <sheetViews>
    <sheetView view="pageBreakPreview" zoomScale="85" zoomScaleNormal="100" zoomScaleSheetLayoutView="85" workbookViewId="0">
      <selection activeCell="I22" sqref="I22"/>
    </sheetView>
  </sheetViews>
  <sheetFormatPr defaultColWidth="8.81640625" defaultRowHeight="13" outlineLevelRow="3" x14ac:dyDescent="0.3"/>
  <cols>
    <col min="1" max="1" width="30.7265625" style="24" customWidth="1"/>
    <col min="2" max="2" width="28.81640625" style="24" customWidth="1"/>
    <col min="3" max="4" width="30.7265625" style="24" customWidth="1"/>
    <col min="5" max="16384" width="8.81640625" style="24"/>
  </cols>
  <sheetData>
    <row r="1" spans="1:4" ht="14.5" customHeight="1" x14ac:dyDescent="0.3">
      <c r="D1" s="145" t="s">
        <v>416</v>
      </c>
    </row>
    <row r="2" spans="1:4" ht="52" customHeight="1" x14ac:dyDescent="0.3">
      <c r="D2" s="146" t="s">
        <v>515</v>
      </c>
    </row>
    <row r="4" spans="1:4" x14ac:dyDescent="0.3">
      <c r="A4" s="176" t="s">
        <v>350</v>
      </c>
      <c r="B4" s="176"/>
      <c r="C4" s="176"/>
      <c r="D4" s="176"/>
    </row>
    <row r="5" spans="1:4" x14ac:dyDescent="0.3">
      <c r="A5" s="176" t="s">
        <v>351</v>
      </c>
      <c r="B5" s="176"/>
      <c r="C5" s="176"/>
      <c r="D5" s="176"/>
    </row>
    <row r="6" spans="1:4" x14ac:dyDescent="0.3">
      <c r="A6" s="176" t="s">
        <v>352</v>
      </c>
      <c r="B6" s="176"/>
      <c r="C6" s="176"/>
      <c r="D6" s="176"/>
    </row>
    <row r="7" spans="1:4" x14ac:dyDescent="0.3">
      <c r="A7" s="176" t="s">
        <v>353</v>
      </c>
      <c r="B7" s="176"/>
      <c r="C7" s="176"/>
      <c r="D7" s="176"/>
    </row>
    <row r="8" spans="1:4" x14ac:dyDescent="0.3">
      <c r="A8" s="62"/>
    </row>
    <row r="9" spans="1:4" ht="16.5" customHeight="1" x14ac:dyDescent="0.3">
      <c r="A9" s="58" t="s">
        <v>354</v>
      </c>
      <c r="B9" s="58" t="s">
        <v>355</v>
      </c>
      <c r="C9" s="58" t="s">
        <v>356</v>
      </c>
      <c r="D9" s="58" t="s">
        <v>357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177" t="s">
        <v>358</v>
      </c>
      <c r="B11" s="177"/>
      <c r="C11" s="177"/>
      <c r="D11" s="177"/>
    </row>
    <row r="12" spans="1:4" ht="12.75" customHeight="1" x14ac:dyDescent="0.3">
      <c r="A12" s="167" t="s">
        <v>428</v>
      </c>
      <c r="B12" s="167"/>
      <c r="C12" s="167"/>
      <c r="D12" s="167"/>
    </row>
    <row r="13" spans="1:4" x14ac:dyDescent="0.3">
      <c r="A13" s="177" t="s">
        <v>359</v>
      </c>
      <c r="B13" s="177"/>
      <c r="C13" s="177"/>
      <c r="D13" s="177"/>
    </row>
    <row r="14" spans="1:4" ht="30" customHeight="1" x14ac:dyDescent="0.3">
      <c r="A14" s="167" t="s">
        <v>450</v>
      </c>
      <c r="B14" s="167"/>
      <c r="C14" s="167"/>
      <c r="D14" s="167"/>
    </row>
    <row r="15" spans="1:4" x14ac:dyDescent="0.3">
      <c r="A15" s="175" t="s">
        <v>360</v>
      </c>
      <c r="B15" s="175"/>
      <c r="C15" s="175"/>
      <c r="D15" s="175"/>
    </row>
    <row r="16" spans="1:4" outlineLevel="1" collapsed="1" x14ac:dyDescent="0.3">
      <c r="A16" s="175" t="s">
        <v>361</v>
      </c>
      <c r="B16" s="175"/>
      <c r="C16" s="175"/>
      <c r="D16" s="175"/>
    </row>
    <row r="17" spans="1:4" s="14" customFormat="1" hidden="1" outlineLevel="2" x14ac:dyDescent="0.3">
      <c r="A17" s="48"/>
      <c r="B17" s="16"/>
      <c r="C17" s="19"/>
      <c r="D17" s="169" t="s">
        <v>414</v>
      </c>
    </row>
    <row r="18" spans="1:4" outlineLevel="2" x14ac:dyDescent="0.3">
      <c r="A18" s="55" t="str">
        <f>Базовый!A6</f>
        <v>Средний медицинский персонал</v>
      </c>
      <c r="B18" s="58" t="str">
        <f>Базовый!B6</f>
        <v>шт.ед.</v>
      </c>
      <c r="C18" s="60">
        <f>Базовый!C6</f>
        <v>9.6908167974157824E-3</v>
      </c>
      <c r="D18" s="170"/>
    </row>
    <row r="19" spans="1:4" outlineLevel="2" x14ac:dyDescent="0.3">
      <c r="A19" s="55" t="str">
        <f>Базовый!A7</f>
        <v xml:space="preserve">Учебно-вспомогательный </v>
      </c>
      <c r="B19" s="58" t="str">
        <f>Базовый!B7</f>
        <v>шт.ед.</v>
      </c>
      <c r="C19" s="60">
        <f>Базовый!C7</f>
        <v>4.6146746654360873E-3</v>
      </c>
      <c r="D19" s="171"/>
    </row>
    <row r="20" spans="1:4" outlineLevel="1" x14ac:dyDescent="0.3">
      <c r="A20" s="175" t="s">
        <v>362</v>
      </c>
      <c r="B20" s="175"/>
      <c r="C20" s="175"/>
      <c r="D20" s="175"/>
    </row>
    <row r="21" spans="1:4" outlineLevel="2" x14ac:dyDescent="0.3">
      <c r="A21" s="55" t="str">
        <f>Базовый!A9</f>
        <v>Приобретение продуктов питания</v>
      </c>
      <c r="B21" s="58" t="str">
        <f>Базовый!B9</f>
        <v>х</v>
      </c>
      <c r="C21" s="60" t="str">
        <f>Базовый!C9</f>
        <v>х</v>
      </c>
      <c r="D21" s="169" t="s">
        <v>414</v>
      </c>
    </row>
    <row r="22" spans="1:4" ht="26" outlineLevel="3" x14ac:dyDescent="0.3">
      <c r="A22" s="55" t="str">
        <f>Базовый!A10</f>
        <v>Продукты питания, согласно СанПиН 2.4.1.3049-13.</v>
      </c>
      <c r="B22" s="58" t="str">
        <f>Базовый!B10</f>
        <v>усл. ед.</v>
      </c>
      <c r="C22" s="60">
        <f>Базовый!C10</f>
        <v>135.38070000000002</v>
      </c>
      <c r="D22" s="170"/>
    </row>
    <row r="23" spans="1:4" ht="26" outlineLevel="2" x14ac:dyDescent="0.3">
      <c r="A23" s="55" t="str">
        <f>Базовый!A11</f>
        <v>Приобретение постельных принадлежностей</v>
      </c>
      <c r="B23" s="58" t="str">
        <f>Базовый!B11</f>
        <v>х</v>
      </c>
      <c r="C23" s="60" t="str">
        <f>Базовый!C11</f>
        <v>х</v>
      </c>
      <c r="D23" s="170"/>
    </row>
    <row r="24" spans="1:4" outlineLevel="3" x14ac:dyDescent="0.3">
      <c r="A24" s="55" t="str">
        <f>Базовый!A12</f>
        <v>Приобретение матрасов</v>
      </c>
      <c r="B24" s="58" t="str">
        <f>Базовый!B12</f>
        <v>шт.</v>
      </c>
      <c r="C24" s="60">
        <f>Базовый!C12</f>
        <v>1</v>
      </c>
      <c r="D24" s="170"/>
    </row>
    <row r="25" spans="1:4" outlineLevel="3" x14ac:dyDescent="0.3">
      <c r="A25" s="55" t="str">
        <f>Базовый!A13</f>
        <v>Приобретение подушек</v>
      </c>
      <c r="B25" s="58" t="str">
        <f>Базовый!B13</f>
        <v>шт.</v>
      </c>
      <c r="C25" s="60">
        <f>Базовый!C13</f>
        <v>1</v>
      </c>
      <c r="D25" s="170"/>
    </row>
    <row r="26" spans="1:4" outlineLevel="3" x14ac:dyDescent="0.3">
      <c r="A26" s="55" t="str">
        <f>Базовый!A14</f>
        <v>Одеяло детское</v>
      </c>
      <c r="B26" s="58" t="str">
        <f>Базовый!B14</f>
        <v>шт.</v>
      </c>
      <c r="C26" s="60">
        <f>Базовый!C14</f>
        <v>1</v>
      </c>
      <c r="D26" s="170"/>
    </row>
    <row r="27" spans="1:4" outlineLevel="3" x14ac:dyDescent="0.3">
      <c r="A27" s="55" t="str">
        <f>Базовый!A15</f>
        <v>Наволочки</v>
      </c>
      <c r="B27" s="58" t="str">
        <f>Базовый!B15</f>
        <v>шт.</v>
      </c>
      <c r="C27" s="60">
        <f>Базовый!C15</f>
        <v>1</v>
      </c>
      <c r="D27" s="170"/>
    </row>
    <row r="28" spans="1:4" outlineLevel="3" x14ac:dyDescent="0.3">
      <c r="A28" s="55" t="str">
        <f>Базовый!A16</f>
        <v>Простыни</v>
      </c>
      <c r="B28" s="58" t="str">
        <f>Базовый!B16</f>
        <v>шт.</v>
      </c>
      <c r="C28" s="60">
        <f>Базовый!C16</f>
        <v>1</v>
      </c>
      <c r="D28" s="170"/>
    </row>
    <row r="29" spans="1:4" outlineLevel="3" x14ac:dyDescent="0.3">
      <c r="A29" s="55" t="str">
        <f>Базовый!A17</f>
        <v>Пододеяльники</v>
      </c>
      <c r="B29" s="58" t="str">
        <f>Базовый!B17</f>
        <v>шт.</v>
      </c>
      <c r="C29" s="60">
        <f>Базовый!C17</f>
        <v>1</v>
      </c>
      <c r="D29" s="170"/>
    </row>
    <row r="30" spans="1:4" outlineLevel="3" x14ac:dyDescent="0.3">
      <c r="A30" s="55" t="str">
        <f>Базовый!A18</f>
        <v>Полотенце вафельное</v>
      </c>
      <c r="B30" s="58" t="str">
        <f>Базовый!B18</f>
        <v>шт.</v>
      </c>
      <c r="C30" s="60">
        <f>Базовый!C18</f>
        <v>1</v>
      </c>
      <c r="D30" s="170"/>
    </row>
    <row r="31" spans="1:4" outlineLevel="2" x14ac:dyDescent="0.3">
      <c r="A31" s="55" t="str">
        <f>Базовый!A19</f>
        <v>Мебель детская</v>
      </c>
      <c r="B31" s="58" t="str">
        <f>Базовый!B19</f>
        <v>х</v>
      </c>
      <c r="C31" s="60" t="str">
        <f>Базовый!C19</f>
        <v>х</v>
      </c>
      <c r="D31" s="170"/>
    </row>
    <row r="32" spans="1:4" outlineLevel="3" x14ac:dyDescent="0.3">
      <c r="A32" s="55" t="str">
        <f>Базовый!A20</f>
        <v>Кровать детская</v>
      </c>
      <c r="B32" s="58" t="str">
        <f>Базовый!B20</f>
        <v>шт.</v>
      </c>
      <c r="C32" s="60">
        <f>Базовый!C20</f>
        <v>1</v>
      </c>
      <c r="D32" s="170"/>
    </row>
    <row r="33" spans="1:4" outlineLevel="3" x14ac:dyDescent="0.3">
      <c r="A33" s="55" t="str">
        <f>Базовый!A21</f>
        <v>Стулья детские</v>
      </c>
      <c r="B33" s="58" t="str">
        <f>Базовый!B21</f>
        <v>шт.</v>
      </c>
      <c r="C33" s="60">
        <f>Базовый!C21</f>
        <v>1</v>
      </c>
      <c r="D33" s="170"/>
    </row>
    <row r="34" spans="1:4" outlineLevel="3" x14ac:dyDescent="0.3">
      <c r="A34" s="55" t="str">
        <f>Базовый!A22</f>
        <v>Шкаф для одежды,96*175*37</v>
      </c>
      <c r="B34" s="58" t="str">
        <f>Базовый!B22</f>
        <v>шт.</v>
      </c>
      <c r="C34" s="60">
        <f>Базовый!C22</f>
        <v>0.2</v>
      </c>
      <c r="D34" s="170"/>
    </row>
    <row r="35" spans="1:4" outlineLevel="3" x14ac:dyDescent="0.3">
      <c r="A35" s="55" t="str">
        <f>Базовый!A23</f>
        <v>Скамейка,125*40*25</v>
      </c>
      <c r="B35" s="58" t="str">
        <f>Базовый!B23</f>
        <v>шт.</v>
      </c>
      <c r="C35" s="60">
        <f>Базовый!C23</f>
        <v>0.25</v>
      </c>
      <c r="D35" s="170"/>
    </row>
    <row r="36" spans="1:4" ht="26" outlineLevel="3" x14ac:dyDescent="0.3">
      <c r="A36" s="55" t="str">
        <f>Базовый!A24</f>
        <v>Стол детский прямоугольный регулируемый</v>
      </c>
      <c r="B36" s="58" t="str">
        <f>Базовый!B24</f>
        <v>шт.</v>
      </c>
      <c r="C36" s="60">
        <f>Базовый!C24</f>
        <v>9.8360655737704916E-2</v>
      </c>
      <c r="D36" s="170"/>
    </row>
    <row r="37" spans="1:4" ht="26" outlineLevel="3" x14ac:dyDescent="0.3">
      <c r="A37" s="55" t="str">
        <f>Базовый!A25</f>
        <v>Стол детский квадратный регулируемый</v>
      </c>
      <c r="B37" s="58" t="str">
        <f>Базовый!B25</f>
        <v>шт.</v>
      </c>
      <c r="C37" s="60">
        <f>Базовый!C25</f>
        <v>4.9180327868852458E-2</v>
      </c>
      <c r="D37" s="170"/>
    </row>
    <row r="38" spans="1:4" outlineLevel="3" x14ac:dyDescent="0.3">
      <c r="A38" s="55" t="str">
        <f>Базовый!A26</f>
        <v>Стол разделочный (пищеблок)</v>
      </c>
      <c r="B38" s="58" t="str">
        <f>Базовый!B26</f>
        <v>шт.</v>
      </c>
      <c r="C38" s="60">
        <f>Базовый!C26</f>
        <v>2.7777777777777776E-2</v>
      </c>
      <c r="D38" s="170"/>
    </row>
    <row r="39" spans="1:4" outlineLevel="3" x14ac:dyDescent="0.3">
      <c r="A39" s="55" t="str">
        <f>Базовый!A27</f>
        <v>Стеллаж (пищеблок)</v>
      </c>
      <c r="B39" s="58" t="str">
        <f>Базовый!B27</f>
        <v>шт.</v>
      </c>
      <c r="C39" s="60">
        <f>Базовый!C27</f>
        <v>9.2592592592592587E-3</v>
      </c>
      <c r="D39" s="170"/>
    </row>
    <row r="40" spans="1:4" ht="26" outlineLevel="3" x14ac:dyDescent="0.3">
      <c r="A40" s="55" t="str">
        <f>Базовый!A28</f>
        <v>Кухонный гарнитур со стойкой 100см</v>
      </c>
      <c r="B40" s="58" t="str">
        <f>Базовый!B28</f>
        <v>шт.</v>
      </c>
      <c r="C40" s="60">
        <f>Базовый!C28</f>
        <v>8.4033613445378148E-3</v>
      </c>
      <c r="D40" s="170"/>
    </row>
    <row r="41" spans="1:4" outlineLevel="3" x14ac:dyDescent="0.3">
      <c r="A41" s="55" t="str">
        <f>Базовый!A29</f>
        <v>Стол кухонный со столешницей</v>
      </c>
      <c r="B41" s="58" t="str">
        <f>Базовый!B29</f>
        <v>шт.</v>
      </c>
      <c r="C41" s="60">
        <f>Базовый!C29</f>
        <v>8.5470085470085479E-3</v>
      </c>
      <c r="D41" s="170"/>
    </row>
    <row r="42" spans="1:4" ht="26" outlineLevel="3" x14ac:dyDescent="0.3">
      <c r="A42" s="55" t="str">
        <f>Базовый!A30</f>
        <v>Шкаф для доски и полотенец на металлических ножках,145*100*35</v>
      </c>
      <c r="B42" s="58" t="str">
        <f>Базовый!B30</f>
        <v>шт.</v>
      </c>
      <c r="C42" s="60">
        <f>Базовый!C30</f>
        <v>8.4033613445378148E-3</v>
      </c>
      <c r="D42" s="170"/>
    </row>
    <row r="43" spans="1:4" outlineLevel="3" x14ac:dyDescent="0.3">
      <c r="A43" s="55" t="str">
        <f>Базовый!A31</f>
        <v>Шкаф для книг</v>
      </c>
      <c r="B43" s="58" t="str">
        <f>Базовый!B31</f>
        <v>шт.</v>
      </c>
      <c r="C43" s="60">
        <f>Базовый!C31</f>
        <v>1.680672268907563E-2</v>
      </c>
      <c r="D43" s="170"/>
    </row>
    <row r="44" spans="1:4" outlineLevel="3" x14ac:dyDescent="0.3">
      <c r="A44" s="55" t="str">
        <f>Базовый!A32</f>
        <v>Шкаф для документов</v>
      </c>
      <c r="B44" s="58" t="str">
        <f>Базовый!B32</f>
        <v>шт.</v>
      </c>
      <c r="C44" s="60">
        <f>Базовый!C32</f>
        <v>8.1967213114754103E-3</v>
      </c>
      <c r="D44" s="170"/>
    </row>
    <row r="45" spans="1:4" ht="26" outlineLevel="3" x14ac:dyDescent="0.3">
      <c r="A45" s="55" t="str">
        <f>Базовый!A33</f>
        <v>Шкаф для сотрудников трехстворчатый</v>
      </c>
      <c r="B45" s="58" t="str">
        <f>Базовый!B33</f>
        <v>шт.</v>
      </c>
      <c r="C45" s="60">
        <f>Базовый!C33</f>
        <v>8.5470085470085479E-3</v>
      </c>
      <c r="D45" s="170"/>
    </row>
    <row r="46" spans="1:4" outlineLevel="3" x14ac:dyDescent="0.3">
      <c r="A46" s="55" t="str">
        <f>Базовый!A34</f>
        <v>Стул офисный</v>
      </c>
      <c r="B46" s="58" t="str">
        <f>Базовый!B34</f>
        <v>шт.</v>
      </c>
      <c r="C46" s="60">
        <f>Базовый!C34</f>
        <v>0.12820512820512819</v>
      </c>
      <c r="D46" s="170"/>
    </row>
    <row r="47" spans="1:4" ht="26" outlineLevel="3" x14ac:dyDescent="0.3">
      <c r="A47" s="55" t="str">
        <f>Базовый!A35</f>
        <v>Стол письменный с ящиками на металлических опорах,90*60*75</v>
      </c>
      <c r="B47" s="58" t="str">
        <f>Базовый!B35</f>
        <v>шт.</v>
      </c>
      <c r="C47" s="60">
        <f>Базовый!C35</f>
        <v>4.6296296296296294E-2</v>
      </c>
      <c r="D47" s="170"/>
    </row>
    <row r="48" spans="1:4" outlineLevel="3" x14ac:dyDescent="0.3">
      <c r="A48" s="55" t="str">
        <f>Базовый!A36</f>
        <v>Стол компьютерный угловой</v>
      </c>
      <c r="B48" s="58" t="str">
        <f>Базовый!B36</f>
        <v>шт.</v>
      </c>
      <c r="C48" s="60">
        <f>Базовый!C36</f>
        <v>8.1967213114754103E-3</v>
      </c>
      <c r="D48" s="170"/>
    </row>
    <row r="49" spans="1:4" outlineLevel="3" x14ac:dyDescent="0.3">
      <c r="A49" s="55" t="str">
        <f>Базовый!A37</f>
        <v>Стол журнальный</v>
      </c>
      <c r="B49" s="58" t="str">
        <f>Базовый!B37</f>
        <v>шт.</v>
      </c>
      <c r="C49" s="60">
        <f>Базовый!C37</f>
        <v>8.1967213114754103E-3</v>
      </c>
      <c r="D49" s="170"/>
    </row>
    <row r="50" spans="1:4" outlineLevel="2" x14ac:dyDescent="0.3">
      <c r="A50" s="55" t="str">
        <f>Базовый!A38</f>
        <v>Посуда</v>
      </c>
      <c r="B50" s="58" t="str">
        <f>Базовый!B38</f>
        <v>х</v>
      </c>
      <c r="C50" s="60" t="str">
        <f>Базовый!C38</f>
        <v>х</v>
      </c>
      <c r="D50" s="170"/>
    </row>
    <row r="51" spans="1:4" outlineLevel="3" x14ac:dyDescent="0.3">
      <c r="A51" s="55" t="str">
        <f>Базовый!A39</f>
        <v>Кастрюля 3л</v>
      </c>
      <c r="B51" s="58" t="str">
        <f>Базовый!B39</f>
        <v>шт.</v>
      </c>
      <c r="C51" s="60">
        <f>Базовый!C39</f>
        <v>7.6923076923076927E-2</v>
      </c>
      <c r="D51" s="170"/>
    </row>
    <row r="52" spans="1:4" outlineLevel="3" x14ac:dyDescent="0.3">
      <c r="A52" s="55" t="str">
        <f>Базовый!A40</f>
        <v>Кастрюля 5л</v>
      </c>
      <c r="B52" s="58" t="str">
        <f>Базовый!B40</f>
        <v>шт.</v>
      </c>
      <c r="C52" s="60">
        <f>Базовый!C40</f>
        <v>6.8376068376068383E-2</v>
      </c>
      <c r="D52" s="170"/>
    </row>
    <row r="53" spans="1:4" outlineLevel="3" x14ac:dyDescent="0.3">
      <c r="A53" s="55" t="str">
        <f>Базовый!A41</f>
        <v>Кастрюля 11л</v>
      </c>
      <c r="B53" s="58" t="str">
        <f>Базовый!B41</f>
        <v>шт.</v>
      </c>
      <c r="C53" s="60">
        <f>Базовый!C41</f>
        <v>6.8376068376068383E-2</v>
      </c>
      <c r="D53" s="170"/>
    </row>
    <row r="54" spans="1:4" outlineLevel="3" x14ac:dyDescent="0.3">
      <c r="A54" s="55" t="str">
        <f>Базовый!A42</f>
        <v>Кастрюля 15л</v>
      </c>
      <c r="B54" s="58" t="str">
        <f>Базовый!B42</f>
        <v>шт.</v>
      </c>
      <c r="C54" s="60">
        <f>Базовый!C42</f>
        <v>8.5470085470085479E-3</v>
      </c>
      <c r="D54" s="170"/>
    </row>
    <row r="55" spans="1:4" outlineLevel="3" x14ac:dyDescent="0.3">
      <c r="A55" s="55" t="str">
        <f>Базовый!A43</f>
        <v>Котел 20л</v>
      </c>
      <c r="B55" s="58" t="str">
        <f>Базовый!B43</f>
        <v>шт.</v>
      </c>
      <c r="C55" s="60">
        <f>Базовый!C43</f>
        <v>1.680672268907563E-2</v>
      </c>
      <c r="D55" s="170"/>
    </row>
    <row r="56" spans="1:4" outlineLevel="3" x14ac:dyDescent="0.3">
      <c r="A56" s="55" t="str">
        <f>Базовый!A44</f>
        <v>Котел 30л</v>
      </c>
      <c r="B56" s="58" t="str">
        <f>Базовый!B44</f>
        <v>шт.</v>
      </c>
      <c r="C56" s="60">
        <f>Базовый!C44</f>
        <v>1.680672268907563E-2</v>
      </c>
      <c r="D56" s="170"/>
    </row>
    <row r="57" spans="1:4" outlineLevel="3" x14ac:dyDescent="0.3">
      <c r="A57" s="55" t="str">
        <f>Базовый!A45</f>
        <v>Котел 40л</v>
      </c>
      <c r="B57" s="58" t="str">
        <f>Базовый!B45</f>
        <v>шт.</v>
      </c>
      <c r="C57" s="60">
        <f>Базовый!C45</f>
        <v>1.680672268907563E-2</v>
      </c>
      <c r="D57" s="170"/>
    </row>
    <row r="58" spans="1:4" outlineLevel="3" x14ac:dyDescent="0.3">
      <c r="A58" s="55" t="str">
        <f>Базовый!A46</f>
        <v>Котел 34-37л</v>
      </c>
      <c r="B58" s="58" t="str">
        <f>Базовый!B46</f>
        <v>шт.</v>
      </c>
      <c r="C58" s="60">
        <f>Базовый!C46</f>
        <v>1.680672268907563E-2</v>
      </c>
      <c r="D58" s="170"/>
    </row>
    <row r="59" spans="1:4" outlineLevel="3" x14ac:dyDescent="0.3">
      <c r="A59" s="55" t="str">
        <f>Базовый!A47</f>
        <v>Миска нерж (600мл)</v>
      </c>
      <c r="B59" s="58" t="str">
        <f>Базовый!B47</f>
        <v>шт.</v>
      </c>
      <c r="C59" s="60">
        <f>Базовый!C47</f>
        <v>5.128205128205128E-2</v>
      </c>
      <c r="D59" s="170"/>
    </row>
    <row r="60" spans="1:4" outlineLevel="3" x14ac:dyDescent="0.3">
      <c r="A60" s="55" t="str">
        <f>Базовый!A48</f>
        <v>Миска нерж (6 л)</v>
      </c>
      <c r="B60" s="58" t="str">
        <f>Базовый!B48</f>
        <v>шт.</v>
      </c>
      <c r="C60" s="60">
        <f>Базовый!C48</f>
        <v>4.2735042735042736E-2</v>
      </c>
      <c r="D60" s="170"/>
    </row>
    <row r="61" spans="1:4" outlineLevel="3" x14ac:dyDescent="0.3">
      <c r="A61" s="55" t="str">
        <f>Базовый!A49</f>
        <v>Миска Д-260</v>
      </c>
      <c r="B61" s="58" t="str">
        <f>Базовый!B49</f>
        <v>шт.</v>
      </c>
      <c r="C61" s="60">
        <f>Базовый!C49</f>
        <v>2.5210084033613446E-2</v>
      </c>
      <c r="D61" s="170"/>
    </row>
    <row r="62" spans="1:4" outlineLevel="3" x14ac:dyDescent="0.3">
      <c r="A62" s="55" t="str">
        <f>Базовый!A50</f>
        <v>Миска Д-480</v>
      </c>
      <c r="B62" s="58" t="str">
        <f>Базовый!B50</f>
        <v>шт.</v>
      </c>
      <c r="C62" s="60">
        <f>Базовый!C50</f>
        <v>1.680672268907563E-2</v>
      </c>
      <c r="D62" s="170"/>
    </row>
    <row r="63" spans="1:4" outlineLevel="3" x14ac:dyDescent="0.3">
      <c r="A63" s="55" t="str">
        <f>Базовый!A51</f>
        <v>Таз 20 л</v>
      </c>
      <c r="B63" s="58" t="str">
        <f>Базовый!B51</f>
        <v>шт.</v>
      </c>
      <c r="C63" s="60">
        <f>Базовый!C51</f>
        <v>0.05</v>
      </c>
      <c r="D63" s="170"/>
    </row>
    <row r="64" spans="1:4" outlineLevel="3" x14ac:dyDescent="0.3">
      <c r="A64" s="55" t="str">
        <f>Базовый!A52</f>
        <v>Таз 30 л</v>
      </c>
      <c r="B64" s="58" t="str">
        <f>Базовый!B52</f>
        <v>шт.</v>
      </c>
      <c r="C64" s="60">
        <f>Базовый!C52</f>
        <v>0.05</v>
      </c>
      <c r="D64" s="170"/>
    </row>
    <row r="65" spans="1:4" outlineLevel="3" x14ac:dyDescent="0.3">
      <c r="A65" s="55" t="str">
        <f>Базовый!A53</f>
        <v>Доска разделочная деревянная</v>
      </c>
      <c r="B65" s="58" t="str">
        <f>Базовый!B53</f>
        <v>шт.</v>
      </c>
      <c r="C65" s="60">
        <f>Базовый!C53</f>
        <v>4.4444444444444446E-2</v>
      </c>
      <c r="D65" s="170"/>
    </row>
    <row r="66" spans="1:4" outlineLevel="3" x14ac:dyDescent="0.3">
      <c r="A66" s="55" t="str">
        <f>Базовый!A54</f>
        <v>Кувшин для воды</v>
      </c>
      <c r="B66" s="58" t="str">
        <f>Базовый!B54</f>
        <v>шт.</v>
      </c>
      <c r="C66" s="60">
        <f>Базовый!C54</f>
        <v>8.771929824561403E-3</v>
      </c>
      <c r="D66" s="170"/>
    </row>
    <row r="67" spans="1:4" outlineLevel="3" x14ac:dyDescent="0.3">
      <c r="A67" s="55" t="str">
        <f>Базовый!A55</f>
        <v>Ковш нержавейка</v>
      </c>
      <c r="B67" s="58" t="str">
        <f>Базовый!B55</f>
        <v>шт.</v>
      </c>
      <c r="C67" s="60">
        <f>Базовый!C55</f>
        <v>1.7094017094017096E-2</v>
      </c>
      <c r="D67" s="170"/>
    </row>
    <row r="68" spans="1:4" outlineLevel="3" x14ac:dyDescent="0.3">
      <c r="A68" s="55" t="str">
        <f>Базовый!A56</f>
        <v>Половник 500 мл</v>
      </c>
      <c r="B68" s="58" t="str">
        <f>Базовый!B56</f>
        <v>шт.</v>
      </c>
      <c r="C68" s="60">
        <f>Базовый!C56</f>
        <v>6.8376068376068383E-2</v>
      </c>
      <c r="D68" s="170"/>
    </row>
    <row r="69" spans="1:4" outlineLevel="3" x14ac:dyDescent="0.3">
      <c r="A69" s="55" t="str">
        <f>Базовый!A57</f>
        <v>Салатник</v>
      </c>
      <c r="B69" s="58" t="str">
        <f>Базовый!B57</f>
        <v>шт.</v>
      </c>
      <c r="C69" s="60">
        <f>Базовый!C57</f>
        <v>0.42735042735042733</v>
      </c>
      <c r="D69" s="170"/>
    </row>
    <row r="70" spans="1:4" outlineLevel="3" x14ac:dyDescent="0.3">
      <c r="A70" s="55" t="str">
        <f>Базовый!A58</f>
        <v>Емкость для столовых приборов</v>
      </c>
      <c r="B70" s="58" t="str">
        <f>Базовый!B58</f>
        <v>шт.</v>
      </c>
      <c r="C70" s="60">
        <f>Базовый!C58</f>
        <v>5.128205128205128E-2</v>
      </c>
      <c r="D70" s="170"/>
    </row>
    <row r="71" spans="1:4" outlineLevel="3" x14ac:dyDescent="0.3">
      <c r="A71" s="55" t="str">
        <f>Базовый!A59</f>
        <v>Блюдце</v>
      </c>
      <c r="B71" s="58" t="str">
        <f>Базовый!B59</f>
        <v>шт.</v>
      </c>
      <c r="C71" s="60">
        <f>Базовый!C59</f>
        <v>0.85470085470085466</v>
      </c>
      <c r="D71" s="170"/>
    </row>
    <row r="72" spans="1:4" outlineLevel="3" x14ac:dyDescent="0.3">
      <c r="A72" s="55" t="str">
        <f>Базовый!A60</f>
        <v>Бокал с ручкой</v>
      </c>
      <c r="B72" s="58" t="str">
        <f>Базовый!B60</f>
        <v>шт.</v>
      </c>
      <c r="C72" s="60">
        <f>Базовый!C60</f>
        <v>0.85470085470085466</v>
      </c>
      <c r="D72" s="170"/>
    </row>
    <row r="73" spans="1:4" outlineLevel="3" x14ac:dyDescent="0.3">
      <c r="A73" s="55" t="str">
        <f>Базовый!A61</f>
        <v>Бокал 180 мл</v>
      </c>
      <c r="B73" s="58" t="str">
        <f>Базовый!B61</f>
        <v>шт.</v>
      </c>
      <c r="C73" s="60">
        <f>Базовый!C61</f>
        <v>0.42735042735042733</v>
      </c>
      <c r="D73" s="170"/>
    </row>
    <row r="74" spans="1:4" outlineLevel="3" x14ac:dyDescent="0.3">
      <c r="A74" s="55" t="str">
        <f>Базовый!A62</f>
        <v>Ложка гарнирная</v>
      </c>
      <c r="B74" s="58" t="str">
        <f>Базовый!B62</f>
        <v>шт.</v>
      </c>
      <c r="C74" s="60">
        <f>Базовый!C62</f>
        <v>0.15384615384615385</v>
      </c>
      <c r="D74" s="170"/>
    </row>
    <row r="75" spans="1:4" outlineLevel="3" x14ac:dyDescent="0.3">
      <c r="A75" s="55" t="str">
        <f>Базовый!A63</f>
        <v>Ложка столовая</v>
      </c>
      <c r="B75" s="58" t="str">
        <f>Базовый!B63</f>
        <v>шт.</v>
      </c>
      <c r="C75" s="60">
        <f>Базовый!C63</f>
        <v>0.25210084033613445</v>
      </c>
      <c r="D75" s="170"/>
    </row>
    <row r="76" spans="1:4" outlineLevel="3" x14ac:dyDescent="0.3">
      <c r="A76" s="55" t="str">
        <f>Базовый!A64</f>
        <v>Ложка чайная</v>
      </c>
      <c r="B76" s="58" t="str">
        <f>Базовый!B64</f>
        <v>шт.</v>
      </c>
      <c r="C76" s="60">
        <f>Базовый!C64</f>
        <v>0.42735042735042733</v>
      </c>
      <c r="D76" s="170"/>
    </row>
    <row r="77" spans="1:4" outlineLevel="3" x14ac:dyDescent="0.3">
      <c r="A77" s="55" t="str">
        <f>Базовый!A65</f>
        <v>Вилка столовая</v>
      </c>
      <c r="B77" s="58" t="str">
        <f>Базовый!B65</f>
        <v>шт.</v>
      </c>
      <c r="C77" s="60">
        <f>Базовый!C65</f>
        <v>0.42735042735042733</v>
      </c>
      <c r="D77" s="170"/>
    </row>
    <row r="78" spans="1:4" outlineLevel="3" x14ac:dyDescent="0.3">
      <c r="A78" s="55" t="str">
        <f>Базовый!A66</f>
        <v xml:space="preserve">Нож </v>
      </c>
      <c r="B78" s="58" t="str">
        <f>Базовый!B66</f>
        <v>шт.</v>
      </c>
      <c r="C78" s="60">
        <f>Базовый!C66</f>
        <v>0.17094017094017094</v>
      </c>
      <c r="D78" s="170"/>
    </row>
    <row r="79" spans="1:4" outlineLevel="3" x14ac:dyDescent="0.3">
      <c r="A79" s="55" t="str">
        <f>Базовый!A67</f>
        <v>Тарелка глубокая</v>
      </c>
      <c r="B79" s="58" t="str">
        <f>Базовый!B67</f>
        <v>шт.</v>
      </c>
      <c r="C79" s="60">
        <f>Базовый!C67</f>
        <v>0.85470085470085466</v>
      </c>
      <c r="D79" s="170"/>
    </row>
    <row r="80" spans="1:4" outlineLevel="3" x14ac:dyDescent="0.3">
      <c r="A80" s="55" t="str">
        <f>Базовый!A68</f>
        <v>Тарелка мелкая</v>
      </c>
      <c r="B80" s="58" t="str">
        <f>Базовый!B68</f>
        <v>шт.</v>
      </c>
      <c r="C80" s="60">
        <f>Базовый!C68</f>
        <v>0.85470085470085466</v>
      </c>
      <c r="D80" s="170"/>
    </row>
    <row r="81" spans="1:4" ht="26" outlineLevel="2" x14ac:dyDescent="0.3">
      <c r="A81" s="55" t="str">
        <f>Базовый!A69</f>
        <v>Оборудование (бытовая техника, медицинское оборудование)</v>
      </c>
      <c r="B81" s="58" t="str">
        <f>Базовый!B69</f>
        <v>х</v>
      </c>
      <c r="C81" s="60" t="str">
        <f>Базовый!C69</f>
        <v>х</v>
      </c>
      <c r="D81" s="170"/>
    </row>
    <row r="82" spans="1:4" outlineLevel="3" x14ac:dyDescent="0.3">
      <c r="A82" s="55" t="str">
        <f>Базовый!A70</f>
        <v>Чайник 3л</v>
      </c>
      <c r="B82" s="58" t="str">
        <f>Базовый!B70</f>
        <v>шт.</v>
      </c>
      <c r="C82" s="60">
        <f>Базовый!C70</f>
        <v>2.5210084033613446E-2</v>
      </c>
      <c r="D82" s="170"/>
    </row>
    <row r="83" spans="1:4" outlineLevel="3" x14ac:dyDescent="0.3">
      <c r="A83" s="55" t="str">
        <f>Базовый!A71</f>
        <v xml:space="preserve">Пылесос </v>
      </c>
      <c r="B83" s="58" t="str">
        <f>Базовый!B71</f>
        <v>шт.</v>
      </c>
      <c r="C83" s="60">
        <f>Базовый!C71</f>
        <v>1.680672268907563E-2</v>
      </c>
      <c r="D83" s="170"/>
    </row>
    <row r="84" spans="1:4" outlineLevel="3" x14ac:dyDescent="0.3">
      <c r="A84" s="55" t="str">
        <f>Базовый!A72</f>
        <v>Электроплита четырехконфорочная</v>
      </c>
      <c r="B84" s="58" t="str">
        <f>Базовый!B72</f>
        <v>шт.</v>
      </c>
      <c r="C84" s="60">
        <f>Базовый!C72</f>
        <v>1.1111111111111112E-2</v>
      </c>
      <c r="D84" s="170"/>
    </row>
    <row r="85" spans="1:4" outlineLevel="3" x14ac:dyDescent="0.3">
      <c r="A85" s="55" t="str">
        <f>Базовый!A73</f>
        <v>Электромясорубка</v>
      </c>
      <c r="B85" s="58" t="str">
        <f>Базовый!B73</f>
        <v>шт.</v>
      </c>
      <c r="C85" s="60">
        <f>Базовый!C73</f>
        <v>1.1111111111111112E-2</v>
      </c>
      <c r="D85" s="170"/>
    </row>
    <row r="86" spans="1:4" outlineLevel="3" x14ac:dyDescent="0.3">
      <c r="A86" s="55" t="str">
        <f>Базовый!A74</f>
        <v>Холодильник</v>
      </c>
      <c r="B86" s="58" t="str">
        <f>Базовый!B74</f>
        <v>шт.</v>
      </c>
      <c r="C86" s="60">
        <f>Базовый!C74</f>
        <v>1.0416666666666666E-2</v>
      </c>
      <c r="D86" s="170"/>
    </row>
    <row r="87" spans="1:4" outlineLevel="3" x14ac:dyDescent="0.3">
      <c r="A87" s="55" t="str">
        <f>Базовый!A75</f>
        <v>Водонагреватель</v>
      </c>
      <c r="B87" s="58" t="str">
        <f>Базовый!B75</f>
        <v>шт.</v>
      </c>
      <c r="C87" s="60">
        <f>Базовый!C75</f>
        <v>8.4033613445378148E-3</v>
      </c>
      <c r="D87" s="170"/>
    </row>
    <row r="88" spans="1:4" outlineLevel="2" x14ac:dyDescent="0.3">
      <c r="A88" s="55" t="str">
        <f>Базовый!A76</f>
        <v>Спецодежда</v>
      </c>
      <c r="B88" s="58" t="str">
        <f>Базовый!B76</f>
        <v>х</v>
      </c>
      <c r="C88" s="60" t="str">
        <f>Базовый!C76</f>
        <v>х</v>
      </c>
      <c r="D88" s="170"/>
    </row>
    <row r="89" spans="1:4" outlineLevel="3" x14ac:dyDescent="0.3">
      <c r="A89" s="55" t="str">
        <f>Базовый!A77</f>
        <v>Поварской колпак</v>
      </c>
      <c r="B89" s="58" t="str">
        <f>Базовый!B77</f>
        <v>шт.</v>
      </c>
      <c r="C89" s="60">
        <f>Базовый!C77</f>
        <v>3.4188034188034191E-2</v>
      </c>
      <c r="D89" s="170"/>
    </row>
    <row r="90" spans="1:4" outlineLevel="3" x14ac:dyDescent="0.3">
      <c r="A90" s="55" t="str">
        <f>Базовый!A78</f>
        <v>Фартук для мытья посуды</v>
      </c>
      <c r="B90" s="58" t="str">
        <f>Базовый!B78</f>
        <v>шт.</v>
      </c>
      <c r="C90" s="60">
        <f>Базовый!C78</f>
        <v>5.9829059829059832E-2</v>
      </c>
      <c r="D90" s="170"/>
    </row>
    <row r="91" spans="1:4" outlineLevel="3" x14ac:dyDescent="0.3">
      <c r="A91" s="55" t="str">
        <f>Базовый!A79</f>
        <v>Рабочий фартук</v>
      </c>
      <c r="B91" s="58" t="str">
        <f>Базовый!B79</f>
        <v>шт.</v>
      </c>
      <c r="C91" s="60">
        <f>Базовый!C79</f>
        <v>8.5470085470085472E-2</v>
      </c>
      <c r="D91" s="170"/>
    </row>
    <row r="92" spans="1:4" outlineLevel="3" x14ac:dyDescent="0.3">
      <c r="A92" s="55" t="str">
        <f>Базовый!A80</f>
        <v>Фартук для кормления св.тонов</v>
      </c>
      <c r="B92" s="58" t="str">
        <f>Базовый!B80</f>
        <v>шт.</v>
      </c>
      <c r="C92" s="60">
        <f>Базовый!C80</f>
        <v>5.128205128205128E-2</v>
      </c>
      <c r="D92" s="170"/>
    </row>
    <row r="93" spans="1:4" s="14" customFormat="1" hidden="1" outlineLevel="2" x14ac:dyDescent="0.3">
      <c r="A93" s="48"/>
      <c r="B93" s="16"/>
      <c r="C93" s="19"/>
      <c r="D93" s="170"/>
    </row>
    <row r="94" spans="1:4" s="14" customFormat="1" hidden="1" outlineLevel="3" x14ac:dyDescent="0.3">
      <c r="A94" s="48"/>
      <c r="B94" s="16"/>
      <c r="C94" s="19"/>
      <c r="D94" s="170"/>
    </row>
    <row r="95" spans="1:4" s="14" customFormat="1" hidden="1" outlineLevel="3" x14ac:dyDescent="0.3">
      <c r="A95" s="48"/>
      <c r="B95" s="16"/>
      <c r="C95" s="19"/>
      <c r="D95" s="170"/>
    </row>
    <row r="96" spans="1:4" s="14" customFormat="1" hidden="1" outlineLevel="3" x14ac:dyDescent="0.3">
      <c r="A96" s="48"/>
      <c r="B96" s="16"/>
      <c r="C96" s="19"/>
      <c r="D96" s="170"/>
    </row>
    <row r="97" spans="1:4" s="14" customFormat="1" hidden="1" outlineLevel="3" x14ac:dyDescent="0.3">
      <c r="A97" s="48"/>
      <c r="B97" s="16"/>
      <c r="C97" s="19"/>
      <c r="D97" s="170"/>
    </row>
    <row r="98" spans="1:4" s="14" customFormat="1" hidden="1" outlineLevel="3" x14ac:dyDescent="0.3">
      <c r="A98" s="48"/>
      <c r="B98" s="16"/>
      <c r="C98" s="19"/>
      <c r="D98" s="170"/>
    </row>
    <row r="99" spans="1:4" s="14" customFormat="1" hidden="1" outlineLevel="3" x14ac:dyDescent="0.3">
      <c r="A99" s="48"/>
      <c r="B99" s="16"/>
      <c r="C99" s="19"/>
      <c r="D99" s="170"/>
    </row>
    <row r="100" spans="1:4" s="14" customFormat="1" hidden="1" outlineLevel="3" x14ac:dyDescent="0.3">
      <c r="A100" s="48"/>
      <c r="B100" s="16"/>
      <c r="C100" s="19"/>
      <c r="D100" s="170"/>
    </row>
    <row r="101" spans="1:4" s="14" customFormat="1" hidden="1" outlineLevel="3" x14ac:dyDescent="0.3">
      <c r="A101" s="48"/>
      <c r="B101" s="16"/>
      <c r="C101" s="19"/>
      <c r="D101" s="170"/>
    </row>
    <row r="102" spans="1:4" s="14" customFormat="1" hidden="1" outlineLevel="3" x14ac:dyDescent="0.3">
      <c r="A102" s="48"/>
      <c r="B102" s="16"/>
      <c r="C102" s="19"/>
      <c r="D102" s="170"/>
    </row>
    <row r="103" spans="1:4" s="14" customFormat="1" hidden="1" outlineLevel="3" x14ac:dyDescent="0.3">
      <c r="A103" s="48"/>
      <c r="B103" s="16"/>
      <c r="C103" s="19"/>
      <c r="D103" s="170"/>
    </row>
    <row r="104" spans="1:4" s="14" customFormat="1" hidden="1" outlineLevel="3" x14ac:dyDescent="0.3">
      <c r="A104" s="48"/>
      <c r="B104" s="16"/>
      <c r="C104" s="19"/>
      <c r="D104" s="170"/>
    </row>
    <row r="105" spans="1:4" s="14" customFormat="1" hidden="1" outlineLevel="3" x14ac:dyDescent="0.3">
      <c r="A105" s="48"/>
      <c r="B105" s="16"/>
      <c r="C105" s="19"/>
      <c r="D105" s="170"/>
    </row>
    <row r="106" spans="1:4" s="14" customFormat="1" hidden="1" outlineLevel="3" x14ac:dyDescent="0.3">
      <c r="A106" s="48"/>
      <c r="B106" s="16"/>
      <c r="C106" s="19"/>
      <c r="D106" s="170"/>
    </row>
    <row r="107" spans="1:4" s="14" customFormat="1" hidden="1" outlineLevel="3" x14ac:dyDescent="0.3">
      <c r="A107" s="48"/>
      <c r="B107" s="16"/>
      <c r="C107" s="19"/>
      <c r="D107" s="170"/>
    </row>
    <row r="108" spans="1:4" outlineLevel="2" x14ac:dyDescent="0.3">
      <c r="A108" s="55" t="str">
        <f>Базовый!A96</f>
        <v>Средства личной гигиены</v>
      </c>
      <c r="B108" s="58" t="str">
        <f>Базовый!B96</f>
        <v>х</v>
      </c>
      <c r="C108" s="60" t="str">
        <f>Базовый!C96</f>
        <v>х</v>
      </c>
      <c r="D108" s="170"/>
    </row>
    <row r="109" spans="1:4" outlineLevel="3" x14ac:dyDescent="0.3">
      <c r="A109" s="55" t="str">
        <f>Базовый!A97</f>
        <v>Туалетная бумага</v>
      </c>
      <c r="B109" s="58" t="str">
        <f>Базовый!B97</f>
        <v>шт.</v>
      </c>
      <c r="C109" s="60">
        <f>Базовый!C97</f>
        <v>2.5641025641025643</v>
      </c>
      <c r="D109" s="170"/>
    </row>
    <row r="110" spans="1:4" outlineLevel="3" x14ac:dyDescent="0.3">
      <c r="A110" s="55" t="str">
        <f>Базовый!A98</f>
        <v>Салфетки бумажные</v>
      </c>
      <c r="B110" s="58" t="str">
        <f>Базовый!B98</f>
        <v>шт.</v>
      </c>
      <c r="C110" s="60">
        <f>Базовый!C98</f>
        <v>1.7094017094017093</v>
      </c>
      <c r="D110" s="171"/>
    </row>
    <row r="111" spans="1:4" outlineLevel="1" collapsed="1" x14ac:dyDescent="0.3">
      <c r="A111" s="175" t="s">
        <v>363</v>
      </c>
      <c r="B111" s="175"/>
      <c r="C111" s="175"/>
      <c r="D111" s="175"/>
    </row>
    <row r="112" spans="1:4" s="14" customFormat="1" hidden="1" outlineLevel="2" x14ac:dyDescent="0.3">
      <c r="A112" s="48"/>
      <c r="B112" s="16"/>
      <c r="C112" s="19"/>
      <c r="D112" s="169" t="s">
        <v>414</v>
      </c>
    </row>
    <row r="113" spans="1:4" s="14" customFormat="1" hidden="1" outlineLevel="3" x14ac:dyDescent="0.3">
      <c r="A113" s="48"/>
      <c r="B113" s="16"/>
      <c r="C113" s="19"/>
      <c r="D113" s="170"/>
    </row>
    <row r="114" spans="1:4" s="14" customFormat="1" hidden="1" outlineLevel="3" x14ac:dyDescent="0.3">
      <c r="A114" s="48"/>
      <c r="B114" s="16"/>
      <c r="C114" s="19"/>
      <c r="D114" s="170"/>
    </row>
    <row r="115" spans="1:4" s="14" customFormat="1" hidden="1" outlineLevel="3" x14ac:dyDescent="0.3">
      <c r="A115" s="48"/>
      <c r="B115" s="16"/>
      <c r="C115" s="19"/>
      <c r="D115" s="170"/>
    </row>
    <row r="116" spans="1:4" s="14" customFormat="1" hidden="1" outlineLevel="3" x14ac:dyDescent="0.3">
      <c r="A116" s="48"/>
      <c r="B116" s="16"/>
      <c r="C116" s="19"/>
      <c r="D116" s="170"/>
    </row>
    <row r="117" spans="1:4" s="14" customFormat="1" hidden="1" outlineLevel="3" x14ac:dyDescent="0.3">
      <c r="A117" s="48"/>
      <c r="B117" s="16"/>
      <c r="C117" s="19"/>
      <c r="D117" s="170"/>
    </row>
    <row r="118" spans="1:4" s="14" customFormat="1" hidden="1" outlineLevel="3" x14ac:dyDescent="0.3">
      <c r="A118" s="48"/>
      <c r="B118" s="16"/>
      <c r="C118" s="19"/>
      <c r="D118" s="170"/>
    </row>
    <row r="119" spans="1:4" s="14" customFormat="1" hidden="1" outlineLevel="3" x14ac:dyDescent="0.3">
      <c r="A119" s="48"/>
      <c r="B119" s="16"/>
      <c r="C119" s="19"/>
      <c r="D119" s="170"/>
    </row>
    <row r="120" spans="1:4" s="14" customFormat="1" hidden="1" outlineLevel="3" x14ac:dyDescent="0.3">
      <c r="A120" s="48"/>
      <c r="B120" s="16"/>
      <c r="C120" s="19"/>
      <c r="D120" s="170"/>
    </row>
    <row r="121" spans="1:4" s="14" customFormat="1" hidden="1" outlineLevel="3" x14ac:dyDescent="0.3">
      <c r="A121" s="48"/>
      <c r="B121" s="16"/>
      <c r="C121" s="19"/>
      <c r="D121" s="170"/>
    </row>
    <row r="122" spans="1:4" s="14" customFormat="1" hidden="1" outlineLevel="3" x14ac:dyDescent="0.3">
      <c r="A122" s="48"/>
      <c r="B122" s="16"/>
      <c r="C122" s="19"/>
      <c r="D122" s="170"/>
    </row>
    <row r="123" spans="1:4" s="14" customFormat="1" hidden="1" outlineLevel="2" x14ac:dyDescent="0.3">
      <c r="A123" s="48"/>
      <c r="B123" s="16"/>
      <c r="C123" s="19"/>
      <c r="D123" s="170"/>
    </row>
    <row r="124" spans="1:4" s="14" customFormat="1" hidden="1" outlineLevel="3" x14ac:dyDescent="0.3">
      <c r="A124" s="48"/>
      <c r="B124" s="16"/>
      <c r="C124" s="19"/>
      <c r="D124" s="170"/>
    </row>
    <row r="125" spans="1:4" s="14" customFormat="1" hidden="1" outlineLevel="3" x14ac:dyDescent="0.3">
      <c r="A125" s="48"/>
      <c r="B125" s="16"/>
      <c r="C125" s="19"/>
      <c r="D125" s="170"/>
    </row>
    <row r="126" spans="1:4" s="14" customFormat="1" hidden="1" outlineLevel="3" x14ac:dyDescent="0.3">
      <c r="A126" s="48"/>
      <c r="B126" s="16"/>
      <c r="C126" s="19"/>
      <c r="D126" s="170"/>
    </row>
    <row r="127" spans="1:4" s="14" customFormat="1" hidden="1" outlineLevel="3" x14ac:dyDescent="0.3">
      <c r="A127" s="48"/>
      <c r="B127" s="16"/>
      <c r="C127" s="19"/>
      <c r="D127" s="170"/>
    </row>
    <row r="128" spans="1:4" s="14" customFormat="1" hidden="1" outlineLevel="3" x14ac:dyDescent="0.3">
      <c r="A128" s="48"/>
      <c r="B128" s="16"/>
      <c r="C128" s="19"/>
      <c r="D128" s="170"/>
    </row>
    <row r="129" spans="1:4" s="14" customFormat="1" hidden="1" outlineLevel="3" x14ac:dyDescent="0.3">
      <c r="A129" s="48"/>
      <c r="B129" s="16"/>
      <c r="C129" s="19"/>
      <c r="D129" s="170"/>
    </row>
    <row r="130" spans="1:4" s="14" customFormat="1" hidden="1" outlineLevel="3" x14ac:dyDescent="0.3">
      <c r="A130" s="48"/>
      <c r="B130" s="16"/>
      <c r="C130" s="19"/>
      <c r="D130" s="170"/>
    </row>
    <row r="131" spans="1:4" s="14" customFormat="1" hidden="1" outlineLevel="3" x14ac:dyDescent="0.3">
      <c r="A131" s="48"/>
      <c r="B131" s="16"/>
      <c r="C131" s="19"/>
      <c r="D131" s="170"/>
    </row>
    <row r="132" spans="1:4" s="14" customFormat="1" hidden="1" outlineLevel="3" x14ac:dyDescent="0.3">
      <c r="A132" s="48"/>
      <c r="B132" s="16"/>
      <c r="C132" s="19"/>
      <c r="D132" s="170"/>
    </row>
    <row r="133" spans="1:4" s="14" customFormat="1" hidden="1" outlineLevel="3" x14ac:dyDescent="0.3">
      <c r="A133" s="48"/>
      <c r="B133" s="16"/>
      <c r="C133" s="19"/>
      <c r="D133" s="170"/>
    </row>
    <row r="134" spans="1:4" s="14" customFormat="1" hidden="1" outlineLevel="3" x14ac:dyDescent="0.3">
      <c r="A134" s="48"/>
      <c r="B134" s="16"/>
      <c r="C134" s="19"/>
      <c r="D134" s="170"/>
    </row>
    <row r="135" spans="1:4" s="14" customFormat="1" hidden="1" outlineLevel="3" x14ac:dyDescent="0.3">
      <c r="A135" s="48"/>
      <c r="B135" s="16"/>
      <c r="C135" s="19"/>
      <c r="D135" s="170"/>
    </row>
    <row r="136" spans="1:4" s="14" customFormat="1" hidden="1" outlineLevel="3" x14ac:dyDescent="0.3">
      <c r="A136" s="48"/>
      <c r="B136" s="16"/>
      <c r="C136" s="19"/>
      <c r="D136" s="170"/>
    </row>
    <row r="137" spans="1:4" s="14" customFormat="1" hidden="1" outlineLevel="3" x14ac:dyDescent="0.3">
      <c r="A137" s="48"/>
      <c r="B137" s="16"/>
      <c r="C137" s="19"/>
      <c r="D137" s="170"/>
    </row>
    <row r="138" spans="1:4" s="14" customFormat="1" hidden="1" outlineLevel="3" x14ac:dyDescent="0.3">
      <c r="A138" s="48"/>
      <c r="B138" s="16"/>
      <c r="C138" s="19"/>
      <c r="D138" s="170"/>
    </row>
    <row r="139" spans="1:4" s="14" customFormat="1" hidden="1" outlineLevel="3" x14ac:dyDescent="0.3">
      <c r="A139" s="48"/>
      <c r="B139" s="16"/>
      <c r="C139" s="19"/>
      <c r="D139" s="170"/>
    </row>
    <row r="140" spans="1:4" s="14" customFormat="1" hidden="1" outlineLevel="3" x14ac:dyDescent="0.3">
      <c r="A140" s="48"/>
      <c r="B140" s="16"/>
      <c r="C140" s="19"/>
      <c r="D140" s="170"/>
    </row>
    <row r="141" spans="1:4" s="14" customFormat="1" hidden="1" outlineLevel="3" x14ac:dyDescent="0.3">
      <c r="A141" s="48"/>
      <c r="B141" s="16"/>
      <c r="C141" s="19"/>
      <c r="D141" s="170"/>
    </row>
    <row r="142" spans="1:4" s="14" customFormat="1" hidden="1" outlineLevel="3" x14ac:dyDescent="0.3">
      <c r="A142" s="48"/>
      <c r="B142" s="16"/>
      <c r="C142" s="19"/>
      <c r="D142" s="170"/>
    </row>
    <row r="143" spans="1:4" s="14" customFormat="1" hidden="1" outlineLevel="3" x14ac:dyDescent="0.3">
      <c r="A143" s="48"/>
      <c r="B143" s="16"/>
      <c r="C143" s="19"/>
      <c r="D143" s="170"/>
    </row>
    <row r="144" spans="1:4" s="14" customFormat="1" hidden="1" outlineLevel="3" x14ac:dyDescent="0.3">
      <c r="A144" s="48"/>
      <c r="B144" s="16"/>
      <c r="C144" s="19"/>
      <c r="D144" s="170"/>
    </row>
    <row r="145" spans="1:4" outlineLevel="2" x14ac:dyDescent="0.3">
      <c r="A145" s="55" t="str">
        <f>Базовый!A133</f>
        <v>Медикаменты</v>
      </c>
      <c r="B145" s="58" t="str">
        <f>Базовый!B133</f>
        <v>х</v>
      </c>
      <c r="C145" s="60" t="str">
        <f>Базовый!C133</f>
        <v>х</v>
      </c>
      <c r="D145" s="170"/>
    </row>
    <row r="146" spans="1:4" outlineLevel="3" x14ac:dyDescent="0.3">
      <c r="A146" s="55" t="str">
        <f>Базовый!A134</f>
        <v>Анальгин</v>
      </c>
      <c r="B146" s="58" t="str">
        <f>Базовый!B134</f>
        <v>уп.</v>
      </c>
      <c r="C146" s="60">
        <f>Базовый!C134</f>
        <v>5.2083333333333336E-2</v>
      </c>
      <c r="D146" s="170"/>
    </row>
    <row r="147" spans="1:4" outlineLevel="3" x14ac:dyDescent="0.3">
      <c r="A147" s="55" t="str">
        <f>Базовый!A135</f>
        <v>Парацетамол</v>
      </c>
      <c r="B147" s="58" t="str">
        <f>Базовый!B135</f>
        <v>уп.</v>
      </c>
      <c r="C147" s="60">
        <f>Базовый!C135</f>
        <v>5.2083333333333336E-2</v>
      </c>
      <c r="D147" s="170"/>
    </row>
    <row r="148" spans="1:4" outlineLevel="3" x14ac:dyDescent="0.3">
      <c r="A148" s="55" t="str">
        <f>Базовый!A136</f>
        <v>Активированный уголь</v>
      </c>
      <c r="B148" s="58" t="str">
        <f>Базовый!B136</f>
        <v>уп.</v>
      </c>
      <c r="C148" s="60">
        <f>Базовый!C136</f>
        <v>4.807692307692308E-2</v>
      </c>
      <c r="D148" s="170"/>
    </row>
    <row r="149" spans="1:4" outlineLevel="3" x14ac:dyDescent="0.3">
      <c r="A149" s="55" t="str">
        <f>Базовый!A137</f>
        <v>Аскорбиновая кислота</v>
      </c>
      <c r="B149" s="58" t="str">
        <f>Базовый!B137</f>
        <v>уп.</v>
      </c>
      <c r="C149" s="60">
        <f>Базовый!C137</f>
        <v>1.5625</v>
      </c>
      <c r="D149" s="170"/>
    </row>
    <row r="150" spans="1:4" outlineLevel="3" x14ac:dyDescent="0.3">
      <c r="A150" s="55" t="str">
        <f>Базовый!A138</f>
        <v>Аскорбиновая кислота (драже)</v>
      </c>
      <c r="B150" s="58" t="str">
        <f>Базовый!B138</f>
        <v>уп.</v>
      </c>
      <c r="C150" s="60">
        <f>Базовый!C138</f>
        <v>0.52083333333333337</v>
      </c>
      <c r="D150" s="170"/>
    </row>
    <row r="151" spans="1:4" outlineLevel="3" x14ac:dyDescent="0.3">
      <c r="A151" s="55" t="str">
        <f>Базовый!A139</f>
        <v>Аммиак</v>
      </c>
      <c r="B151" s="58" t="str">
        <f>Базовый!B139</f>
        <v>уп.</v>
      </c>
      <c r="C151" s="60">
        <f>Базовый!C139</f>
        <v>2.8571428571428571E-2</v>
      </c>
      <c r="D151" s="170"/>
    </row>
    <row r="152" spans="1:4" outlineLevel="3" x14ac:dyDescent="0.3">
      <c r="A152" s="55" t="str">
        <f>Базовый!A140</f>
        <v>Пантенол спрей</v>
      </c>
      <c r="B152" s="58" t="str">
        <f>Базовый!B140</f>
        <v>уп.</v>
      </c>
      <c r="C152" s="60">
        <f>Базовый!C140</f>
        <v>1.4285714285714285E-2</v>
      </c>
      <c r="D152" s="170"/>
    </row>
    <row r="153" spans="1:4" outlineLevel="3" x14ac:dyDescent="0.3">
      <c r="A153" s="55" t="str">
        <f>Базовый!A141</f>
        <v>Ингалипт аэрозоль</v>
      </c>
      <c r="B153" s="58" t="str">
        <f>Базовый!B141</f>
        <v>уп.</v>
      </c>
      <c r="C153" s="60">
        <f>Базовый!C141</f>
        <v>1.4285714285714285E-2</v>
      </c>
      <c r="D153" s="170"/>
    </row>
    <row r="154" spans="1:4" outlineLevel="3" x14ac:dyDescent="0.3">
      <c r="A154" s="55" t="str">
        <f>Базовый!A142</f>
        <v>Фурацилин</v>
      </c>
      <c r="B154" s="58" t="str">
        <f>Базовый!B142</f>
        <v>уп.</v>
      </c>
      <c r="C154" s="60">
        <f>Базовый!C142</f>
        <v>2.8571428571428571E-2</v>
      </c>
      <c r="D154" s="170"/>
    </row>
    <row r="155" spans="1:4" outlineLevel="3" x14ac:dyDescent="0.3">
      <c r="A155" s="55" t="str">
        <f>Базовый!A143</f>
        <v>Витамин "С"</v>
      </c>
      <c r="B155" s="58" t="str">
        <f>Базовый!B143</f>
        <v>уп.</v>
      </c>
      <c r="C155" s="60">
        <f>Базовый!C143</f>
        <v>2.8846153846153848E-2</v>
      </c>
      <c r="D155" s="170"/>
    </row>
    <row r="156" spans="1:4" outlineLevel="3" x14ac:dyDescent="0.3">
      <c r="A156" s="55" t="str">
        <f>Базовый!A144</f>
        <v>Ревит</v>
      </c>
      <c r="B156" s="58" t="str">
        <f>Базовый!B144</f>
        <v>уп.</v>
      </c>
      <c r="C156" s="60">
        <f>Базовый!C144</f>
        <v>0.48076923076923078</v>
      </c>
      <c r="D156" s="170"/>
    </row>
    <row r="157" spans="1:4" outlineLevel="3" x14ac:dyDescent="0.3">
      <c r="A157" s="55" t="str">
        <f>Базовый!A145</f>
        <v>Нафтизин</v>
      </c>
      <c r="B157" s="58" t="str">
        <f>Базовый!B145</f>
        <v>уп.</v>
      </c>
      <c r="C157" s="60">
        <f>Базовый!C145</f>
        <v>2.0833333333333332E-2</v>
      </c>
      <c r="D157" s="170"/>
    </row>
    <row r="158" spans="1:4" outlineLevel="3" x14ac:dyDescent="0.3">
      <c r="A158" s="55" t="str">
        <f>Базовый!A146</f>
        <v>Ксилен</v>
      </c>
      <c r="B158" s="58" t="str">
        <f>Базовый!B146</f>
        <v>уп.</v>
      </c>
      <c r="C158" s="60">
        <f>Базовый!C146</f>
        <v>4.807692307692308E-2</v>
      </c>
      <c r="D158" s="170"/>
    </row>
    <row r="159" spans="1:4" outlineLevel="3" x14ac:dyDescent="0.3">
      <c r="A159" s="55" t="str">
        <f>Базовый!A147</f>
        <v>Риностоп</v>
      </c>
      <c r="B159" s="58" t="str">
        <f>Базовый!B147</f>
        <v>уп.</v>
      </c>
      <c r="C159" s="60">
        <f>Базовый!C147</f>
        <v>2.0833333333333332E-2</v>
      </c>
      <c r="D159" s="170"/>
    </row>
    <row r="160" spans="1:4" outlineLevel="3" x14ac:dyDescent="0.3">
      <c r="A160" s="55" t="str">
        <f>Базовый!A148</f>
        <v>Тавегин</v>
      </c>
      <c r="B160" s="58" t="str">
        <f>Базовый!B148</f>
        <v>уп.</v>
      </c>
      <c r="C160" s="60">
        <f>Базовый!C148</f>
        <v>9.6153846153846159E-3</v>
      </c>
      <c r="D160" s="170"/>
    </row>
    <row r="161" spans="1:4" outlineLevel="3" x14ac:dyDescent="0.3">
      <c r="A161" s="55" t="str">
        <f>Базовый!A149</f>
        <v>Сульфацил-натрия</v>
      </c>
      <c r="B161" s="58" t="str">
        <f>Базовый!B149</f>
        <v>уп.</v>
      </c>
      <c r="C161" s="60">
        <f>Базовый!C149</f>
        <v>9.6153846153846159E-3</v>
      </c>
      <c r="D161" s="170"/>
    </row>
    <row r="162" spans="1:4" outlineLevel="3" x14ac:dyDescent="0.3">
      <c r="A162" s="55" t="str">
        <f>Базовый!A150</f>
        <v>Валосердин</v>
      </c>
      <c r="B162" s="58" t="str">
        <f>Базовый!B150</f>
        <v>уп.</v>
      </c>
      <c r="C162" s="60">
        <f>Базовый!C150</f>
        <v>1.0416666666666666E-2</v>
      </c>
      <c r="D162" s="170"/>
    </row>
    <row r="163" spans="1:4" outlineLevel="3" x14ac:dyDescent="0.3">
      <c r="A163" s="55" t="str">
        <f>Базовый!A151</f>
        <v>Нурофен</v>
      </c>
      <c r="B163" s="58" t="str">
        <f>Базовый!B151</f>
        <v>шт.</v>
      </c>
      <c r="C163" s="60">
        <f>Базовый!C151</f>
        <v>1.4285714285714285E-2</v>
      </c>
      <c r="D163" s="170"/>
    </row>
    <row r="164" spans="1:4" outlineLevel="3" x14ac:dyDescent="0.3">
      <c r="A164" s="55" t="str">
        <f>Базовый!A152</f>
        <v>Дротаверин</v>
      </c>
      <c r="B164" s="58" t="str">
        <f>Базовый!B152</f>
        <v>уп.</v>
      </c>
      <c r="C164" s="60">
        <f>Базовый!C152</f>
        <v>2.0833333333333332E-2</v>
      </c>
      <c r="D164" s="170"/>
    </row>
    <row r="165" spans="1:4" outlineLevel="3" x14ac:dyDescent="0.3">
      <c r="A165" s="55" t="str">
        <f>Базовый!A153</f>
        <v>Диазолин</v>
      </c>
      <c r="B165" s="58" t="str">
        <f>Базовый!B153</f>
        <v>уп.</v>
      </c>
      <c r="C165" s="60">
        <f>Базовый!C153</f>
        <v>4.1666666666666664E-2</v>
      </c>
      <c r="D165" s="170"/>
    </row>
    <row r="166" spans="1:4" outlineLevel="3" x14ac:dyDescent="0.3">
      <c r="A166" s="55" t="str">
        <f>Базовый!A154</f>
        <v>Тетрациклиновая глазная мазь</v>
      </c>
      <c r="B166" s="58" t="str">
        <f>Базовый!B154</f>
        <v>уп.</v>
      </c>
      <c r="C166" s="60">
        <f>Базовый!C154</f>
        <v>1.9230769230769232E-2</v>
      </c>
      <c r="D166" s="170"/>
    </row>
    <row r="167" spans="1:4" outlineLevel="3" x14ac:dyDescent="0.3">
      <c r="A167" s="55" t="str">
        <f>Базовый!A155</f>
        <v>Оксолиновая мазь</v>
      </c>
      <c r="B167" s="58" t="str">
        <f>Базовый!B155</f>
        <v>уп.</v>
      </c>
      <c r="C167" s="60">
        <f>Базовый!C155</f>
        <v>4.807692307692308E-2</v>
      </c>
      <c r="D167" s="170"/>
    </row>
    <row r="168" spans="1:4" outlineLevel="3" x14ac:dyDescent="0.3">
      <c r="A168" s="55" t="str">
        <f>Базовый!A156</f>
        <v>Цитрамон</v>
      </c>
      <c r="B168" s="58" t="str">
        <f>Базовый!B156</f>
        <v>уп.</v>
      </c>
      <c r="C168" s="60">
        <f>Базовый!C156</f>
        <v>4.2857142857142858E-2</v>
      </c>
      <c r="D168" s="170"/>
    </row>
    <row r="169" spans="1:4" outlineLevel="3" x14ac:dyDescent="0.3">
      <c r="A169" s="55" t="str">
        <f>Базовый!A157</f>
        <v>Напальчник</v>
      </c>
      <c r="B169" s="58" t="str">
        <f>Базовый!B157</f>
        <v>уп.</v>
      </c>
      <c r="C169" s="60">
        <f>Базовый!C157</f>
        <v>0.28846153846153844</v>
      </c>
      <c r="D169" s="170"/>
    </row>
    <row r="170" spans="1:4" outlineLevel="3" x14ac:dyDescent="0.3">
      <c r="A170" s="55" t="str">
        <f>Базовый!A158</f>
        <v>Л/П бактериц.</v>
      </c>
      <c r="B170" s="58" t="str">
        <f>Базовый!B158</f>
        <v>уп.</v>
      </c>
      <c r="C170" s="60">
        <f>Базовый!C158</f>
        <v>0.33653846153846156</v>
      </c>
      <c r="D170" s="170"/>
    </row>
    <row r="171" spans="1:4" outlineLevel="3" x14ac:dyDescent="0.3">
      <c r="A171" s="55" t="str">
        <f>Базовый!A159</f>
        <v>Вата</v>
      </c>
      <c r="B171" s="58" t="str">
        <f>Базовый!B159</f>
        <v>уп.</v>
      </c>
      <c r="C171" s="60">
        <f>Базовый!C159</f>
        <v>8.6538461538461536E-2</v>
      </c>
      <c r="D171" s="170"/>
    </row>
    <row r="172" spans="1:4" outlineLevel="3" x14ac:dyDescent="0.3">
      <c r="A172" s="55" t="str">
        <f>Базовый!A160</f>
        <v>Лейкопластырь</v>
      </c>
      <c r="B172" s="58" t="str">
        <f>Базовый!B160</f>
        <v>уп.</v>
      </c>
      <c r="C172" s="60">
        <f>Базовый!C160</f>
        <v>1.680672268907563</v>
      </c>
      <c r="D172" s="170"/>
    </row>
    <row r="173" spans="1:4" outlineLevel="3" x14ac:dyDescent="0.3">
      <c r="A173" s="55" t="str">
        <f>Базовый!A161</f>
        <v>Бинт</v>
      </c>
      <c r="B173" s="58" t="str">
        <f>Базовый!B161</f>
        <v>уп.</v>
      </c>
      <c r="C173" s="60">
        <f>Базовый!C161</f>
        <v>0.19230769230769232</v>
      </c>
      <c r="D173" s="170"/>
    </row>
    <row r="174" spans="1:4" outlineLevel="3" x14ac:dyDescent="0.3">
      <c r="A174" s="55" t="str">
        <f>Базовый!A162</f>
        <v xml:space="preserve">Шпатель </v>
      </c>
      <c r="B174" s="58" t="str">
        <f>Базовый!B162</f>
        <v>уп.</v>
      </c>
      <c r="C174" s="60">
        <f>Базовый!C162</f>
        <v>7.1428571428571432</v>
      </c>
      <c r="D174" s="170"/>
    </row>
    <row r="175" spans="1:4" outlineLevel="3" x14ac:dyDescent="0.3">
      <c r="A175" s="55" t="str">
        <f>Базовый!A163</f>
        <v>Перекись водорода</v>
      </c>
      <c r="B175" s="58" t="str">
        <f>Базовый!B163</f>
        <v>флакон</v>
      </c>
      <c r="C175" s="60">
        <f>Базовый!C163</f>
        <v>9.6153846153846159E-2</v>
      </c>
      <c r="D175" s="170"/>
    </row>
    <row r="176" spans="1:4" outlineLevel="3" x14ac:dyDescent="0.3">
      <c r="A176" s="55" t="str">
        <f>Базовый!A164</f>
        <v>Бриллиантовый зеленый</v>
      </c>
      <c r="B176" s="58" t="str">
        <f>Базовый!B164</f>
        <v>флакон</v>
      </c>
      <c r="C176" s="60">
        <f>Базовый!C164</f>
        <v>9.6153846153846159E-2</v>
      </c>
      <c r="D176" s="170"/>
    </row>
    <row r="177" spans="1:4" outlineLevel="3" x14ac:dyDescent="0.3">
      <c r="A177" s="55" t="str">
        <f>Базовый!A165</f>
        <v>Клей БФ</v>
      </c>
      <c r="B177" s="58" t="str">
        <f>Базовый!B165</f>
        <v>уп.</v>
      </c>
      <c r="C177" s="60">
        <f>Базовый!C165</f>
        <v>6.25E-2</v>
      </c>
      <c r="D177" s="170"/>
    </row>
    <row r="178" spans="1:4" outlineLevel="3" x14ac:dyDescent="0.3">
      <c r="A178" s="55" t="str">
        <f>Базовый!A166</f>
        <v>Уголь активированный</v>
      </c>
      <c r="B178" s="58" t="str">
        <f>Базовый!B166</f>
        <v>уп.</v>
      </c>
      <c r="C178" s="60">
        <f>Базовый!C166</f>
        <v>3.125E-2</v>
      </c>
      <c r="D178" s="170"/>
    </row>
    <row r="179" spans="1:4" outlineLevel="3" x14ac:dyDescent="0.3">
      <c r="A179" s="55" t="str">
        <f>Базовый!A167</f>
        <v>Нитроглицерин</v>
      </c>
      <c r="B179" s="58" t="str">
        <f>Базовый!B167</f>
        <v>уп.</v>
      </c>
      <c r="C179" s="60">
        <f>Базовый!C167</f>
        <v>1.0416666666666666E-2</v>
      </c>
      <c r="D179" s="170"/>
    </row>
    <row r="180" spans="1:4" outlineLevel="3" x14ac:dyDescent="0.3">
      <c r="A180" s="55" t="str">
        <f>Базовый!A168</f>
        <v>Настойка пустырника</v>
      </c>
      <c r="B180" s="58" t="str">
        <f>Базовый!B168</f>
        <v>флакон</v>
      </c>
      <c r="C180" s="60">
        <f>Базовый!C168</f>
        <v>3.8461538461538464E-2</v>
      </c>
      <c r="D180" s="170"/>
    </row>
    <row r="181" spans="1:4" outlineLevel="3" x14ac:dyDescent="0.3">
      <c r="A181" s="55" t="str">
        <f>Базовый!A169</f>
        <v>Валерианы эк-т</v>
      </c>
      <c r="B181" s="58" t="str">
        <f>Базовый!B169</f>
        <v>уп.</v>
      </c>
      <c r="C181" s="60">
        <f>Базовый!C169</f>
        <v>3.125E-2</v>
      </c>
      <c r="D181" s="170"/>
    </row>
    <row r="182" spans="1:4" outlineLevel="3" x14ac:dyDescent="0.3">
      <c r="A182" s="55" t="str">
        <f>Базовый!A170</f>
        <v>Салициловый к-ты спирт</v>
      </c>
      <c r="B182" s="58" t="str">
        <f>Базовый!B170</f>
        <v>флакон</v>
      </c>
      <c r="C182" s="60">
        <f>Базовый!C170</f>
        <v>0.20833333333333334</v>
      </c>
      <c r="D182" s="170"/>
    </row>
    <row r="183" spans="1:4" outlineLevel="3" x14ac:dyDescent="0.3">
      <c r="A183" s="55" t="str">
        <f>Базовый!A171</f>
        <v>Адреналина г/х</v>
      </c>
      <c r="B183" s="58" t="str">
        <f>Базовый!B171</f>
        <v>уп.</v>
      </c>
      <c r="C183" s="60">
        <f>Базовый!C171</f>
        <v>1.0416666666666666E-2</v>
      </c>
      <c r="D183" s="170"/>
    </row>
    <row r="184" spans="1:4" outlineLevel="3" x14ac:dyDescent="0.3">
      <c r="A184" s="55" t="str">
        <f>Базовый!A172</f>
        <v>Йод спиртовой 5%</v>
      </c>
      <c r="B184" s="58" t="str">
        <f>Базовый!B172</f>
        <v>флакон</v>
      </c>
      <c r="C184" s="60">
        <f>Базовый!C172</f>
        <v>0.10416666666666667</v>
      </c>
      <c r="D184" s="170"/>
    </row>
    <row r="185" spans="1:4" ht="26" outlineLevel="2" x14ac:dyDescent="0.3">
      <c r="A185" s="55" t="str">
        <f>Базовый!A173</f>
        <v>Чистящие, моющие, дезинфицирующие средства</v>
      </c>
      <c r="B185" s="58" t="str">
        <f>Базовый!B173</f>
        <v>х</v>
      </c>
      <c r="C185" s="60" t="str">
        <f>Базовый!C173</f>
        <v>х</v>
      </c>
      <c r="D185" s="170"/>
    </row>
    <row r="186" spans="1:4" outlineLevel="3" x14ac:dyDescent="0.3">
      <c r="A186" s="55" t="str">
        <f>Базовый!A174</f>
        <v>Мыло хозяйственное 72%(200гр)</v>
      </c>
      <c r="B186" s="58" t="str">
        <f>Базовый!B174</f>
        <v>шт.</v>
      </c>
      <c r="C186" s="60">
        <f>Базовый!C174</f>
        <v>1.7094017094017093</v>
      </c>
      <c r="D186" s="170"/>
    </row>
    <row r="187" spans="1:4" ht="26" outlineLevel="3" x14ac:dyDescent="0.3">
      <c r="A187" s="55" t="str">
        <f>Базовый!A175</f>
        <v>Порошок стиральный автомат (о,4 кг)</v>
      </c>
      <c r="B187" s="58" t="str">
        <f>Базовый!B175</f>
        <v>уп.</v>
      </c>
      <c r="C187" s="60">
        <f>Базовый!C175</f>
        <v>0.85470085470085466</v>
      </c>
      <c r="D187" s="170"/>
    </row>
    <row r="188" spans="1:4" outlineLevel="3" x14ac:dyDescent="0.3">
      <c r="A188" s="55" t="str">
        <f>Базовый!A176</f>
        <v>Кондиционер для белья</v>
      </c>
      <c r="B188" s="58" t="str">
        <f>Базовый!B176</f>
        <v>шт.</v>
      </c>
      <c r="C188" s="60">
        <f>Базовый!C176</f>
        <v>0.2857142857142857</v>
      </c>
      <c r="D188" s="170"/>
    </row>
    <row r="189" spans="1:4" outlineLevel="3" x14ac:dyDescent="0.3">
      <c r="A189" s="55" t="str">
        <f>Базовый!A177</f>
        <v>Сода 400 гр.</v>
      </c>
      <c r="B189" s="58" t="str">
        <f>Базовый!B177</f>
        <v>шт.</v>
      </c>
      <c r="C189" s="60">
        <f>Базовый!C177</f>
        <v>1.7094017094017093</v>
      </c>
      <c r="D189" s="170"/>
    </row>
    <row r="190" spans="1:4" outlineLevel="3" x14ac:dyDescent="0.3">
      <c r="A190" s="55" t="str">
        <f>Базовый!A178</f>
        <v>Чистящее средство (400гр)</v>
      </c>
      <c r="B190" s="58" t="str">
        <f>Базовый!B178</f>
        <v>банка</v>
      </c>
      <c r="C190" s="60">
        <f>Базовый!C178</f>
        <v>0.85470085470085466</v>
      </c>
      <c r="D190" s="170"/>
    </row>
    <row r="191" spans="1:4" outlineLevel="3" x14ac:dyDescent="0.3">
      <c r="A191" s="55" t="str">
        <f>Базовый!A179</f>
        <v>Мыло детское 90 гр.</v>
      </c>
      <c r="B191" s="58" t="str">
        <f>Базовый!B179</f>
        <v>шт.</v>
      </c>
      <c r="C191" s="60">
        <f>Базовый!C179</f>
        <v>3.4188034188034186</v>
      </c>
      <c r="D191" s="170"/>
    </row>
    <row r="192" spans="1:4" outlineLevel="3" x14ac:dyDescent="0.3">
      <c r="A192" s="55" t="str">
        <f>Базовый!A180</f>
        <v>Мыло жидкое(300мл)</v>
      </c>
      <c r="B192" s="58" t="str">
        <f>Базовый!B180</f>
        <v>шт.</v>
      </c>
      <c r="C192" s="60">
        <f>Базовый!C180</f>
        <v>0.44300876788186433</v>
      </c>
      <c r="D192" s="170"/>
    </row>
    <row r="193" spans="1:4" outlineLevel="3" x14ac:dyDescent="0.3">
      <c r="A193" s="55" t="str">
        <f>Базовый!A181</f>
        <v>Мыло жидкое(500 мл)</v>
      </c>
      <c r="B193" s="58" t="str">
        <f>Базовый!B181</f>
        <v>банка</v>
      </c>
      <c r="C193" s="60">
        <f>Базовый!C181</f>
        <v>8.4033613445378158E-2</v>
      </c>
      <c r="D193" s="170"/>
    </row>
    <row r="194" spans="1:4" outlineLevel="3" x14ac:dyDescent="0.3">
      <c r="A194" s="55" t="str">
        <f>Базовый!A182</f>
        <v>Мыло жидкое(1000мл)</v>
      </c>
      <c r="B194" s="58" t="str">
        <f>Базовый!B182</f>
        <v>банка</v>
      </c>
      <c r="C194" s="60">
        <f>Базовый!C182</f>
        <v>5.8823529411764705E-2</v>
      </c>
      <c r="D194" s="170"/>
    </row>
    <row r="195" spans="1:4" outlineLevel="3" x14ac:dyDescent="0.3">
      <c r="A195" s="55" t="str">
        <f>Базовый!A183</f>
        <v>Средство для мытья посуды(500мл)</v>
      </c>
      <c r="B195" s="58" t="str">
        <f>Базовый!B183</f>
        <v>банка</v>
      </c>
      <c r="C195" s="60">
        <f>Базовый!C183</f>
        <v>0.33613445378151263</v>
      </c>
      <c r="D195" s="170"/>
    </row>
    <row r="196" spans="1:4" outlineLevel="3" x14ac:dyDescent="0.3">
      <c r="A196" s="55" t="str">
        <f>Базовый!A184</f>
        <v>Средство для обработки яиц</v>
      </c>
      <c r="B196" s="58" t="str">
        <f>Базовый!B184</f>
        <v>шт.</v>
      </c>
      <c r="C196" s="60">
        <f>Базовый!C184</f>
        <v>0</v>
      </c>
      <c r="D196" s="170"/>
    </row>
    <row r="197" spans="1:4" outlineLevel="3" x14ac:dyDescent="0.3">
      <c r="A197" s="55" t="str">
        <f>Базовый!A185</f>
        <v xml:space="preserve">Чистящее средство для окон </v>
      </c>
      <c r="B197" s="58" t="str">
        <f>Базовый!B185</f>
        <v>банка</v>
      </c>
      <c r="C197" s="60">
        <f>Базовый!C185</f>
        <v>0.42735042735042733</v>
      </c>
      <c r="D197" s="170"/>
    </row>
    <row r="198" spans="1:4" outlineLevel="3" x14ac:dyDescent="0.3">
      <c r="A198" s="55" t="str">
        <f>Базовый!A186</f>
        <v>Тест-полоска Оптимакс 50 шт</v>
      </c>
      <c r="B198" s="58" t="str">
        <f>Базовый!B186</f>
        <v>уп.</v>
      </c>
      <c r="C198" s="60">
        <f>Базовый!C186</f>
        <v>8.5470085470085479E-3</v>
      </c>
      <c r="D198" s="170"/>
    </row>
    <row r="199" spans="1:4" outlineLevel="3" x14ac:dyDescent="0.3">
      <c r="A199" s="55" t="str">
        <f>Базовый!A187</f>
        <v>Дезсредство Оптимакс (1л)</v>
      </c>
      <c r="B199" s="58" t="str">
        <f>Базовый!B187</f>
        <v>банка</v>
      </c>
      <c r="C199" s="60">
        <f>Базовый!C187</f>
        <v>0.85470085470085466</v>
      </c>
      <c r="D199" s="170"/>
    </row>
    <row r="200" spans="1:4" outlineLevel="3" x14ac:dyDescent="0.3">
      <c r="A200" s="55" t="str">
        <f>Базовый!A188</f>
        <v>Отбеливатель Белизна 0,9 л</v>
      </c>
      <c r="B200" s="58" t="str">
        <f>Базовый!B188</f>
        <v>шт.</v>
      </c>
      <c r="C200" s="60">
        <f>Базовый!C188</f>
        <v>0.17094017094017094</v>
      </c>
      <c r="D200" s="170"/>
    </row>
    <row r="201" spans="1:4" outlineLevel="2" x14ac:dyDescent="0.3">
      <c r="A201" s="55" t="str">
        <f>Базовый!A189</f>
        <v>Прочие хозяйственные товары</v>
      </c>
      <c r="B201" s="58" t="str">
        <f>Базовый!B189</f>
        <v>х</v>
      </c>
      <c r="C201" s="60" t="str">
        <f>Базовый!C189</f>
        <v>х</v>
      </c>
      <c r="D201" s="170"/>
    </row>
    <row r="202" spans="1:4" outlineLevel="3" x14ac:dyDescent="0.3">
      <c r="A202" s="55" t="str">
        <f>Базовый!A190</f>
        <v>Салфетка микрофибра</v>
      </c>
      <c r="B202" s="58" t="str">
        <f>Базовый!B190</f>
        <v>шт.</v>
      </c>
      <c r="C202" s="60">
        <f>Базовый!C190</f>
        <v>0.7407407407407407</v>
      </c>
      <c r="D202" s="170"/>
    </row>
    <row r="203" spans="1:4" outlineLevel="3" x14ac:dyDescent="0.3">
      <c r="A203" s="55" t="str">
        <f>Базовый!A191</f>
        <v>Салфетка для пола х/б</v>
      </c>
      <c r="B203" s="58" t="str">
        <f>Базовый!B191</f>
        <v>шт.</v>
      </c>
      <c r="C203" s="60">
        <f>Базовый!C191</f>
        <v>0.61728395061728392</v>
      </c>
      <c r="D203" s="170"/>
    </row>
    <row r="204" spans="1:4" outlineLevel="3" x14ac:dyDescent="0.3">
      <c r="A204" s="55" t="str">
        <f>Базовый!A192</f>
        <v>Мешки для мусора</v>
      </c>
      <c r="B204" s="58" t="str">
        <f>Базовый!B192</f>
        <v>рул.</v>
      </c>
      <c r="C204" s="60">
        <f>Базовый!C192</f>
        <v>0.17094017094017094</v>
      </c>
      <c r="D204" s="170"/>
    </row>
    <row r="205" spans="1:4" s="14" customFormat="1" hidden="1" outlineLevel="2" x14ac:dyDescent="0.3">
      <c r="A205" s="48"/>
      <c r="B205" s="16"/>
      <c r="C205" s="19"/>
      <c r="D205" s="170"/>
    </row>
    <row r="206" spans="1:4" s="14" customFormat="1" hidden="1" outlineLevel="3" x14ac:dyDescent="0.3">
      <c r="A206" s="48"/>
      <c r="B206" s="16"/>
      <c r="C206" s="19"/>
      <c r="D206" s="170"/>
    </row>
    <row r="207" spans="1:4" s="14" customFormat="1" hidden="1" outlineLevel="3" x14ac:dyDescent="0.3">
      <c r="A207" s="48"/>
      <c r="B207" s="16"/>
      <c r="C207" s="19"/>
      <c r="D207" s="170"/>
    </row>
    <row r="208" spans="1:4" s="14" customFormat="1" hidden="1" outlineLevel="3" x14ac:dyDescent="0.3">
      <c r="A208" s="48"/>
      <c r="B208" s="16"/>
      <c r="C208" s="19"/>
      <c r="D208" s="170"/>
    </row>
    <row r="209" spans="1:4" x14ac:dyDescent="0.3">
      <c r="A209" s="178" t="s">
        <v>364</v>
      </c>
      <c r="B209" s="178"/>
      <c r="C209" s="178"/>
      <c r="D209" s="178"/>
    </row>
    <row r="210" spans="1:4" outlineLevel="1" collapsed="1" x14ac:dyDescent="0.3">
      <c r="A210" s="178" t="s">
        <v>365</v>
      </c>
      <c r="B210" s="178"/>
      <c r="C210" s="178"/>
      <c r="D210" s="178"/>
    </row>
    <row r="211" spans="1:4" s="14" customFormat="1" hidden="1" outlineLevel="2" x14ac:dyDescent="0.3">
      <c r="A211" s="48"/>
      <c r="B211" s="16"/>
      <c r="C211" s="19"/>
      <c r="D211" s="169" t="s">
        <v>414</v>
      </c>
    </row>
    <row r="212" spans="1:4" s="14" customFormat="1" hidden="1" outlineLevel="2" x14ac:dyDescent="0.3">
      <c r="A212" s="48"/>
      <c r="B212" s="16"/>
      <c r="C212" s="19"/>
      <c r="D212" s="170"/>
    </row>
    <row r="213" spans="1:4" s="14" customFormat="1" hidden="1" outlineLevel="2" x14ac:dyDescent="0.3">
      <c r="A213" s="48"/>
      <c r="B213" s="16"/>
      <c r="C213" s="19"/>
      <c r="D213" s="170"/>
    </row>
    <row r="214" spans="1:4" s="14" customFormat="1" hidden="1" outlineLevel="2" x14ac:dyDescent="0.3">
      <c r="A214" s="48"/>
      <c r="B214" s="16"/>
      <c r="C214" s="19"/>
      <c r="D214" s="170"/>
    </row>
    <row r="215" spans="1:4" s="14" customFormat="1" hidden="1" outlineLevel="2" x14ac:dyDescent="0.3">
      <c r="A215" s="48"/>
      <c r="B215" s="16"/>
      <c r="C215" s="19"/>
      <c r="D215" s="170"/>
    </row>
    <row r="216" spans="1:4" s="14" customFormat="1" hidden="1" outlineLevel="2" x14ac:dyDescent="0.3">
      <c r="A216" s="48"/>
      <c r="B216" s="16"/>
      <c r="C216" s="19"/>
      <c r="D216" s="170"/>
    </row>
    <row r="217" spans="1:4" s="14" customFormat="1" hidden="1" outlineLevel="2" x14ac:dyDescent="0.3">
      <c r="A217" s="48"/>
      <c r="B217" s="16"/>
      <c r="C217" s="19"/>
      <c r="D217" s="171"/>
    </row>
    <row r="218" spans="1:4" outlineLevel="1" collapsed="1" x14ac:dyDescent="0.3">
      <c r="A218" s="178" t="s">
        <v>366</v>
      </c>
      <c r="B218" s="178"/>
      <c r="C218" s="178"/>
      <c r="D218" s="178"/>
    </row>
    <row r="219" spans="1:4" s="14" customFormat="1" hidden="1" outlineLevel="2" x14ac:dyDescent="0.3">
      <c r="A219" s="48"/>
      <c r="B219" s="16"/>
      <c r="C219" s="19"/>
      <c r="D219" s="169" t="s">
        <v>414</v>
      </c>
    </row>
    <row r="220" spans="1:4" s="14" customFormat="1" hidden="1" outlineLevel="2" x14ac:dyDescent="0.3">
      <c r="A220" s="48"/>
      <c r="B220" s="16"/>
      <c r="C220" s="19"/>
      <c r="D220" s="170"/>
    </row>
    <row r="221" spans="1:4" s="14" customFormat="1" hidden="1" outlineLevel="2" x14ac:dyDescent="0.3">
      <c r="A221" s="48"/>
      <c r="B221" s="16"/>
      <c r="C221" s="19"/>
      <c r="D221" s="170"/>
    </row>
    <row r="222" spans="1:4" s="14" customFormat="1" hidden="1" outlineLevel="2" x14ac:dyDescent="0.3">
      <c r="A222" s="48"/>
      <c r="B222" s="16"/>
      <c r="C222" s="19"/>
      <c r="D222" s="170"/>
    </row>
    <row r="223" spans="1:4" s="14" customFormat="1" hidden="1" outlineLevel="2" x14ac:dyDescent="0.3">
      <c r="A223" s="48"/>
      <c r="B223" s="16"/>
      <c r="C223" s="19"/>
      <c r="D223" s="170"/>
    </row>
    <row r="224" spans="1:4" s="14" customFormat="1" hidden="1" outlineLevel="2" x14ac:dyDescent="0.3">
      <c r="A224" s="48"/>
      <c r="B224" s="16"/>
      <c r="C224" s="19"/>
      <c r="D224" s="170"/>
    </row>
    <row r="225" spans="1:4" s="14" customFormat="1" hidden="1" outlineLevel="2" x14ac:dyDescent="0.3">
      <c r="A225" s="48"/>
      <c r="B225" s="16"/>
      <c r="C225" s="19"/>
      <c r="D225" s="170"/>
    </row>
    <row r="226" spans="1:4" s="14" customFormat="1" hidden="1" outlineLevel="2" x14ac:dyDescent="0.3">
      <c r="A226" s="48"/>
      <c r="B226" s="16"/>
      <c r="C226" s="19"/>
      <c r="D226" s="170"/>
    </row>
    <row r="227" spans="1:4" s="14" customFormat="1" hidden="1" outlineLevel="2" x14ac:dyDescent="0.3">
      <c r="A227" s="48"/>
      <c r="B227" s="16"/>
      <c r="C227" s="19"/>
      <c r="D227" s="170"/>
    </row>
    <row r="228" spans="1:4" s="14" customFormat="1" hidden="1" outlineLevel="2" x14ac:dyDescent="0.3">
      <c r="A228" s="48"/>
      <c r="B228" s="16"/>
      <c r="C228" s="19"/>
      <c r="D228" s="170"/>
    </row>
    <row r="229" spans="1:4" s="14" customFormat="1" hidden="1" outlineLevel="2" x14ac:dyDescent="0.3">
      <c r="A229" s="48"/>
      <c r="B229" s="16"/>
      <c r="C229" s="19"/>
      <c r="D229" s="170"/>
    </row>
    <row r="230" spans="1:4" s="14" customFormat="1" hidden="1" outlineLevel="2" x14ac:dyDescent="0.3">
      <c r="A230" s="48"/>
      <c r="B230" s="16"/>
      <c r="C230" s="19"/>
      <c r="D230" s="170"/>
    </row>
    <row r="231" spans="1:4" s="14" customFormat="1" hidden="1" outlineLevel="2" x14ac:dyDescent="0.3">
      <c r="A231" s="48"/>
      <c r="B231" s="16"/>
      <c r="C231" s="19"/>
      <c r="D231" s="170"/>
    </row>
    <row r="232" spans="1:4" s="14" customFormat="1" hidden="1" outlineLevel="2" x14ac:dyDescent="0.3">
      <c r="A232" s="48"/>
      <c r="B232" s="16"/>
      <c r="C232" s="19"/>
      <c r="D232" s="170"/>
    </row>
    <row r="233" spans="1:4" s="14" customFormat="1" hidden="1" outlineLevel="2" x14ac:dyDescent="0.3">
      <c r="A233" s="48"/>
      <c r="B233" s="16"/>
      <c r="C233" s="19"/>
      <c r="D233" s="170"/>
    </row>
    <row r="234" spans="1:4" outlineLevel="1" collapsed="1" x14ac:dyDescent="0.3">
      <c r="A234" s="178" t="s">
        <v>367</v>
      </c>
      <c r="B234" s="178"/>
      <c r="C234" s="178"/>
      <c r="D234" s="178"/>
    </row>
    <row r="235" spans="1:4" s="14" customFormat="1" hidden="1" outlineLevel="2" x14ac:dyDescent="0.3">
      <c r="A235" s="48"/>
      <c r="B235" s="16"/>
      <c r="C235" s="19"/>
      <c r="D235" s="169" t="s">
        <v>414</v>
      </c>
    </row>
    <row r="236" spans="1:4" s="14" customFormat="1" hidden="1" outlineLevel="2" x14ac:dyDescent="0.3">
      <c r="A236" s="48"/>
      <c r="B236" s="16"/>
      <c r="C236" s="19"/>
      <c r="D236" s="171"/>
    </row>
    <row r="237" spans="1:4" outlineLevel="1" collapsed="1" x14ac:dyDescent="0.3">
      <c r="A237" s="178" t="s">
        <v>368</v>
      </c>
      <c r="B237" s="178"/>
      <c r="C237" s="178"/>
      <c r="D237" s="178"/>
    </row>
    <row r="238" spans="1:4" s="14" customFormat="1" hidden="1" outlineLevel="2" x14ac:dyDescent="0.3">
      <c r="A238" s="48"/>
      <c r="B238" s="16"/>
      <c r="C238" s="19"/>
      <c r="D238" s="169" t="s">
        <v>414</v>
      </c>
    </row>
    <row r="239" spans="1:4" s="14" customFormat="1" hidden="1" outlineLevel="2" x14ac:dyDescent="0.3">
      <c r="A239" s="48"/>
      <c r="B239" s="16"/>
      <c r="C239" s="19"/>
      <c r="D239" s="171"/>
    </row>
    <row r="240" spans="1:4" outlineLevel="1" collapsed="1" x14ac:dyDescent="0.3">
      <c r="A240" s="178" t="s">
        <v>369</v>
      </c>
      <c r="B240" s="178"/>
      <c r="C240" s="178"/>
      <c r="D240" s="178"/>
    </row>
    <row r="241" spans="1:4" s="14" customFormat="1" ht="26" hidden="1" outlineLevel="2" x14ac:dyDescent="0.3">
      <c r="A241" s="48"/>
      <c r="B241" s="48"/>
      <c r="C241" s="48"/>
      <c r="D241" s="48" t="s">
        <v>414</v>
      </c>
    </row>
    <row r="242" spans="1:4" outlineLevel="1" x14ac:dyDescent="0.3">
      <c r="A242" s="178" t="s">
        <v>370</v>
      </c>
      <c r="B242" s="178"/>
      <c r="C242" s="178"/>
      <c r="D242" s="178"/>
    </row>
    <row r="243" spans="1:4" ht="26" outlineLevel="2" x14ac:dyDescent="0.3">
      <c r="A243" s="55" t="str">
        <f>Базовый!A231</f>
        <v>Административно-управленческий персонал</v>
      </c>
      <c r="B243" s="58" t="str">
        <f>Базовый!B231</f>
        <v>шт.ед.</v>
      </c>
      <c r="C243" s="60">
        <f>Базовый!C231</f>
        <v>9.2293493308721747E-3</v>
      </c>
      <c r="D243" s="55"/>
    </row>
    <row r="244" spans="1:4" outlineLevel="2" x14ac:dyDescent="0.3">
      <c r="A244" s="55" t="str">
        <f>Базовый!A232</f>
        <v>Обслуживающий персонал</v>
      </c>
      <c r="B244" s="58" t="str">
        <f>Базовый!B232</f>
        <v>шт.ед.</v>
      </c>
      <c r="C244" s="60">
        <f>Базовый!C232</f>
        <v>6.2298107983387176E-2</v>
      </c>
      <c r="D244" s="55"/>
    </row>
    <row r="245" spans="1:4" outlineLevel="1" x14ac:dyDescent="0.3">
      <c r="A245" s="178" t="s">
        <v>371</v>
      </c>
      <c r="B245" s="178"/>
      <c r="C245" s="178"/>
      <c r="D245" s="178"/>
    </row>
    <row r="246" spans="1:4" outlineLevel="2" x14ac:dyDescent="0.3">
      <c r="A246" s="55" t="str">
        <f>Базовый!A234</f>
        <v>Исследование воды (питьевая)</v>
      </c>
      <c r="B246" s="58" t="str">
        <f>Базовый!B234</f>
        <v>усл. ед.</v>
      </c>
      <c r="C246" s="60">
        <f>Базовый!C234</f>
        <v>4.6146746654360873E-3</v>
      </c>
      <c r="D246" s="169" t="s">
        <v>414</v>
      </c>
    </row>
    <row r="247" spans="1:4" outlineLevel="2" x14ac:dyDescent="0.3">
      <c r="A247" s="55" t="str">
        <f>Базовый!A235</f>
        <v>Исследование песка</v>
      </c>
      <c r="B247" s="58" t="str">
        <f>Базовый!B235</f>
        <v>усл. ед.</v>
      </c>
      <c r="C247" s="60">
        <f>Базовый!C235</f>
        <v>4.6146746654360873E-3</v>
      </c>
      <c r="D247" s="170"/>
    </row>
    <row r="248" spans="1:4" ht="26" outlineLevel="2" x14ac:dyDescent="0.3">
      <c r="A248" s="55" t="str">
        <f>Базовый!A236</f>
        <v>Услуги СЭС (дезинфекция при ротовирусе)</v>
      </c>
      <c r="B248" s="58" t="str">
        <f>Базовый!B236</f>
        <v>усл. ед.</v>
      </c>
      <c r="C248" s="60">
        <f>Базовый!C236</f>
        <v>0</v>
      </c>
      <c r="D248" s="170"/>
    </row>
    <row r="249" spans="1:4" s="14" customFormat="1" hidden="1" outlineLevel="2" x14ac:dyDescent="0.3">
      <c r="A249" s="48"/>
      <c r="B249" s="16"/>
      <c r="C249" s="19"/>
      <c r="D249" s="170"/>
    </row>
    <row r="250" spans="1:4" s="14" customFormat="1" hidden="1" outlineLevel="2" x14ac:dyDescent="0.3">
      <c r="A250" s="48"/>
      <c r="B250" s="16"/>
      <c r="C250" s="19"/>
      <c r="D250" s="170"/>
    </row>
    <row r="251" spans="1:4" s="14" customFormat="1" hidden="1" outlineLevel="2" x14ac:dyDescent="0.3">
      <c r="A251" s="48"/>
      <c r="B251" s="16"/>
      <c r="C251" s="19"/>
      <c r="D251" s="170"/>
    </row>
    <row r="252" spans="1:4" s="14" customFormat="1" hidden="1" outlineLevel="2" x14ac:dyDescent="0.3">
      <c r="A252" s="48"/>
      <c r="B252" s="16"/>
      <c r="C252" s="19"/>
      <c r="D252" s="170"/>
    </row>
    <row r="253" spans="1:4" s="14" customFormat="1" hidden="1" outlineLevel="2" x14ac:dyDescent="0.3">
      <c r="A253" s="48"/>
      <c r="B253" s="16"/>
      <c r="C253" s="19"/>
      <c r="D253" s="170"/>
    </row>
    <row r="254" spans="1:4" s="14" customFormat="1" hidden="1" outlineLevel="2" x14ac:dyDescent="0.3">
      <c r="A254" s="48"/>
      <c r="B254" s="16"/>
      <c r="C254" s="19"/>
      <c r="D254" s="170"/>
    </row>
    <row r="255" spans="1:4" s="14" customFormat="1" hidden="1" outlineLevel="2" x14ac:dyDescent="0.3">
      <c r="A255" s="48"/>
      <c r="B255" s="16"/>
      <c r="C255" s="19"/>
      <c r="D255" s="170"/>
    </row>
    <row r="256" spans="1:4" s="14" customFormat="1" hidden="1" outlineLevel="2" x14ac:dyDescent="0.3">
      <c r="A256" s="48"/>
      <c r="B256" s="16"/>
      <c r="C256" s="19"/>
      <c r="D256" s="170"/>
    </row>
    <row r="257" spans="1:4" s="14" customFormat="1" hidden="1" outlineLevel="2" x14ac:dyDescent="0.3">
      <c r="A257" s="48"/>
      <c r="B257" s="16"/>
      <c r="C257" s="19"/>
      <c r="D257" s="170"/>
    </row>
    <row r="258" spans="1:4" s="14" customFormat="1" hidden="1" outlineLevel="2" x14ac:dyDescent="0.3">
      <c r="A258" s="48"/>
      <c r="B258" s="16"/>
      <c r="C258" s="19"/>
      <c r="D258" s="170"/>
    </row>
    <row r="259" spans="1:4" s="14" customFormat="1" hidden="1" outlineLevel="2" x14ac:dyDescent="0.3">
      <c r="A259" s="48"/>
      <c r="B259" s="16"/>
      <c r="C259" s="19"/>
      <c r="D259" s="170"/>
    </row>
    <row r="260" spans="1:4" s="14" customFormat="1" hidden="1" outlineLevel="2" x14ac:dyDescent="0.3">
      <c r="A260" s="48"/>
      <c r="B260" s="16"/>
      <c r="C260" s="19"/>
      <c r="D260" s="170"/>
    </row>
    <row r="261" spans="1:4" s="14" customFormat="1" hidden="1" outlineLevel="2" x14ac:dyDescent="0.3">
      <c r="A261" s="48"/>
      <c r="B261" s="16"/>
      <c r="C261" s="19"/>
      <c r="D261" s="170"/>
    </row>
    <row r="262" spans="1:4" s="14" customFormat="1" hidden="1" outlineLevel="2" x14ac:dyDescent="0.3">
      <c r="A262" s="48"/>
      <c r="B262" s="16"/>
      <c r="C262" s="19"/>
      <c r="D262" s="170"/>
    </row>
    <row r="263" spans="1:4" s="14" customFormat="1" hidden="1" outlineLevel="2" x14ac:dyDescent="0.3">
      <c r="A263" s="48"/>
      <c r="B263" s="16"/>
      <c r="C263" s="19"/>
      <c r="D263" s="170"/>
    </row>
    <row r="264" spans="1:4" s="14" customFormat="1" hidden="1" outlineLevel="2" x14ac:dyDescent="0.3">
      <c r="A264" s="48"/>
      <c r="B264" s="16"/>
      <c r="C264" s="19"/>
      <c r="D264" s="170"/>
    </row>
    <row r="265" spans="1:4" s="14" customFormat="1" hidden="1" outlineLevel="2" x14ac:dyDescent="0.3">
      <c r="A265" s="48"/>
      <c r="B265" s="16"/>
      <c r="C265" s="19"/>
      <c r="D265" s="170"/>
    </row>
    <row r="266" spans="1:4" s="14" customFormat="1" hidden="1" outlineLevel="2" x14ac:dyDescent="0.3">
      <c r="A266" s="48"/>
      <c r="B266" s="16"/>
      <c r="C266" s="19"/>
      <c r="D266" s="170"/>
    </row>
    <row r="267" spans="1:4" s="14" customFormat="1" hidden="1" outlineLevel="2" x14ac:dyDescent="0.3">
      <c r="A267" s="48"/>
      <c r="B267" s="16"/>
      <c r="C267" s="19"/>
      <c r="D267" s="170"/>
    </row>
    <row r="268" spans="1:4" s="14" customFormat="1" hidden="1" outlineLevel="2" x14ac:dyDescent="0.3">
      <c r="A268" s="48"/>
      <c r="B268" s="16"/>
      <c r="C268" s="19"/>
      <c r="D268" s="170"/>
    </row>
    <row r="269" spans="1:4" s="14" customFormat="1" hidden="1" outlineLevel="2" x14ac:dyDescent="0.3">
      <c r="A269" s="48"/>
      <c r="B269" s="16"/>
      <c r="C269" s="19"/>
      <c r="D269" s="170"/>
    </row>
    <row r="270" spans="1:4" s="14" customFormat="1" hidden="1" outlineLevel="2" x14ac:dyDescent="0.3">
      <c r="A270" s="48"/>
      <c r="B270" s="16"/>
      <c r="C270" s="19"/>
      <c r="D270" s="170"/>
    </row>
    <row r="271" spans="1:4" s="14" customFormat="1" hidden="1" outlineLevel="2" x14ac:dyDescent="0.3">
      <c r="A271" s="48"/>
      <c r="B271" s="16"/>
      <c r="C271" s="19"/>
      <c r="D271" s="170"/>
    </row>
    <row r="272" spans="1:4" s="14" customFormat="1" hidden="1" outlineLevel="2" x14ac:dyDescent="0.3">
      <c r="A272" s="48"/>
      <c r="B272" s="16"/>
      <c r="C272" s="19"/>
      <c r="D272" s="170"/>
    </row>
    <row r="273" spans="1:4" s="14" customFormat="1" hidden="1" outlineLevel="2" x14ac:dyDescent="0.3">
      <c r="A273" s="48"/>
      <c r="B273" s="16"/>
      <c r="C273" s="19"/>
      <c r="D273" s="170"/>
    </row>
    <row r="274" spans="1:4" s="14" customFormat="1" hidden="1" outlineLevel="2" x14ac:dyDescent="0.3">
      <c r="A274" s="48"/>
      <c r="B274" s="16"/>
      <c r="C274" s="19"/>
      <c r="D274" s="170"/>
    </row>
    <row r="275" spans="1:4" s="14" customFormat="1" hidden="1" outlineLevel="2" x14ac:dyDescent="0.3">
      <c r="A275" s="48"/>
      <c r="B275" s="16"/>
      <c r="C275" s="19"/>
      <c r="D275" s="170"/>
    </row>
    <row r="276" spans="1:4" s="14" customFormat="1" hidden="1" outlineLevel="2" x14ac:dyDescent="0.3">
      <c r="A276" s="48"/>
      <c r="B276" s="16"/>
      <c r="C276" s="19"/>
      <c r="D276" s="170"/>
    </row>
    <row r="277" spans="1:4" s="14" customFormat="1" hidden="1" outlineLevel="2" x14ac:dyDescent="0.3">
      <c r="A277" s="48"/>
      <c r="B277" s="16"/>
      <c r="C277" s="19"/>
      <c r="D277" s="170"/>
    </row>
    <row r="278" spans="1:4" s="14" customFormat="1" hidden="1" outlineLevel="2" x14ac:dyDescent="0.3">
      <c r="A278" s="48"/>
      <c r="B278" s="16"/>
      <c r="C278" s="19"/>
      <c r="D278" s="170"/>
    </row>
    <row r="279" spans="1:4" x14ac:dyDescent="0.3">
      <c r="A279" s="62"/>
    </row>
    <row r="280" spans="1:4" ht="37.5" customHeight="1" x14ac:dyDescent="0.3">
      <c r="A280" s="62" t="s">
        <v>372</v>
      </c>
      <c r="B280" s="63"/>
      <c r="C280" s="63"/>
    </row>
    <row r="281" spans="1:4" ht="17.25" customHeight="1" x14ac:dyDescent="0.3">
      <c r="A281" s="179" t="s">
        <v>373</v>
      </c>
      <c r="B281" s="179"/>
      <c r="C281" s="179"/>
      <c r="D281" s="179"/>
    </row>
    <row r="282" spans="1:4" ht="44.25" customHeight="1" x14ac:dyDescent="0.3">
      <c r="A282" s="179" t="s">
        <v>374</v>
      </c>
      <c r="B282" s="179"/>
      <c r="C282" s="179"/>
      <c r="D282" s="179"/>
    </row>
    <row r="283" spans="1:4" ht="42.75" customHeight="1" x14ac:dyDescent="0.3">
      <c r="A283" s="179" t="s">
        <v>374</v>
      </c>
      <c r="B283" s="179"/>
      <c r="C283" s="179"/>
      <c r="D283" s="179"/>
    </row>
    <row r="284" spans="1:4" ht="19.899999999999999" customHeight="1" x14ac:dyDescent="0.3">
      <c r="A284" s="179" t="s">
        <v>375</v>
      </c>
      <c r="B284" s="179"/>
      <c r="C284" s="179"/>
      <c r="D284" s="179"/>
    </row>
    <row r="285" spans="1:4" ht="36.65" customHeight="1" x14ac:dyDescent="0.3">
      <c r="A285" s="179" t="s">
        <v>376</v>
      </c>
      <c r="B285" s="179"/>
      <c r="C285" s="179"/>
      <c r="D285" s="179"/>
    </row>
  </sheetData>
  <autoFilter ref="A10:D278">
    <filterColumn colId="0">
      <customFilters>
        <customFilter operator="notEqual" val=" "/>
      </customFilters>
    </filterColumn>
  </autoFilter>
  <mergeCells count="33">
    <mergeCell ref="A284:D284"/>
    <mergeCell ref="A285:D285"/>
    <mergeCell ref="A240:D240"/>
    <mergeCell ref="A242:D242"/>
    <mergeCell ref="A245:D245"/>
    <mergeCell ref="D246:D278"/>
    <mergeCell ref="A281:D281"/>
    <mergeCell ref="A282:D282"/>
    <mergeCell ref="A283:D283"/>
    <mergeCell ref="A16:D16"/>
    <mergeCell ref="A20:D20"/>
    <mergeCell ref="D17:D19"/>
    <mergeCell ref="A13:D13"/>
    <mergeCell ref="A12:D12"/>
    <mergeCell ref="A14:D14"/>
    <mergeCell ref="A15:D15"/>
    <mergeCell ref="D238:D239"/>
    <mergeCell ref="D21:D110"/>
    <mergeCell ref="A111:D111"/>
    <mergeCell ref="D112:D208"/>
    <mergeCell ref="A209:D209"/>
    <mergeCell ref="A210:D210"/>
    <mergeCell ref="A218:D218"/>
    <mergeCell ref="D235:D236"/>
    <mergeCell ref="A237:D237"/>
    <mergeCell ref="D219:D233"/>
    <mergeCell ref="D211:D217"/>
    <mergeCell ref="A234:D234"/>
    <mergeCell ref="A4:D4"/>
    <mergeCell ref="A5:D5"/>
    <mergeCell ref="A6:D6"/>
    <mergeCell ref="A7:D7"/>
    <mergeCell ref="A11:D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20</vt:i4>
      </vt:variant>
    </vt:vector>
  </HeadingPairs>
  <TitlesOfParts>
    <vt:vector size="33" baseType="lpstr">
      <vt:lpstr>Базовый</vt:lpstr>
      <vt:lpstr>Внимание!</vt:lpstr>
      <vt:lpstr>1.1.</vt:lpstr>
      <vt:lpstr>1.2.</vt:lpstr>
      <vt:lpstr>2.1.</vt:lpstr>
      <vt:lpstr>2.2.</vt:lpstr>
      <vt:lpstr>3.1.</vt:lpstr>
      <vt:lpstr>3.2.</vt:lpstr>
      <vt:lpstr>4.1.</vt:lpstr>
      <vt:lpstr>4.2.</vt:lpstr>
      <vt:lpstr>5.</vt:lpstr>
      <vt:lpstr>6.</vt:lpstr>
      <vt:lpstr>7.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'4.1.'!Заголовки_для_печати</vt:lpstr>
      <vt:lpstr>'4.2.'!Заголовки_для_печати</vt:lpstr>
      <vt:lpstr>'6.'!Заголовки_для_печати</vt:lpstr>
      <vt:lpstr>Базовый!Заголовки_для_печати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'4.1.'!Область_печати</vt:lpstr>
      <vt:lpstr>'4.2.'!Область_печати</vt:lpstr>
      <vt:lpstr>'6.'!Область_печати</vt:lpstr>
      <vt:lpstr>'7.'!Область_печати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Тимакова А.И.</dc:creator>
  <cp:lastModifiedBy>Тимакова А.И.</cp:lastModifiedBy>
  <cp:lastPrinted>2017-03-02T08:22:20Z</cp:lastPrinted>
  <dcterms:created xsi:type="dcterms:W3CDTF">2016-09-21T07:32:32Z</dcterms:created>
  <dcterms:modified xsi:type="dcterms:W3CDTF">2017-03-02T08:22:31Z</dcterms:modified>
</cp:coreProperties>
</file>