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nny\fin\2017\02 Орг-я бюд-го процесса\02-20 Переписка с мин-ми, вед-ми, ком-ми\Минэкономразвитие МО\Запрос от 01.02.2017 № 04-04-333-ЕТ\нормативы\2018-2019\на сайт\"/>
    </mc:Choice>
  </mc:AlternateContent>
  <bookViews>
    <workbookView xWindow="210" yWindow="560" windowWidth="15450" windowHeight="12390" firstSheet="4" activeTab="16"/>
  </bookViews>
  <sheets>
    <sheet name="Черновик" sheetId="29" state="hidden" r:id="rId1"/>
    <sheet name="БазНорм (обр)" sheetId="19" state="hidden" r:id="rId2"/>
    <sheet name="БазНорм (лагеря)" sheetId="36" state="hidden" r:id="rId3"/>
    <sheet name="Внимание!" sheetId="25" state="hidden" r:id="rId4"/>
    <sheet name="1.1." sheetId="21" r:id="rId5"/>
    <sheet name="1.2." sheetId="22" state="hidden" r:id="rId6"/>
    <sheet name="2.1." sheetId="39" r:id="rId7"/>
    <sheet name="2.2." sheetId="40" state="hidden" r:id="rId8"/>
    <sheet name="3.1." sheetId="41" r:id="rId9"/>
    <sheet name="3.2." sheetId="42" state="hidden" r:id="rId10"/>
    <sheet name="4.1." sheetId="43" r:id="rId11"/>
    <sheet name="4.2." sheetId="44" state="hidden" r:id="rId12"/>
    <sheet name="5.1." sheetId="37" r:id="rId13"/>
    <sheet name="5.2." sheetId="38" state="hidden" r:id="rId14"/>
    <sheet name="6." sheetId="16" r:id="rId15"/>
    <sheet name="7." sheetId="17" r:id="rId16"/>
    <sheet name="8." sheetId="20" r:id="rId17"/>
  </sheets>
  <definedNames>
    <definedName name="_xlnm._FilterDatabase" localSheetId="1" hidden="1">'БазНорм (обр)'!$C$2:$P$334</definedName>
    <definedName name="_xlnm._FilterDatabase" localSheetId="0" hidden="1">Черновик!$Q$5:$T$310</definedName>
    <definedName name="_xlnm.Print_Titles" localSheetId="4">'1.1.'!$9:$10</definedName>
    <definedName name="_xlnm.Print_Titles" localSheetId="5">'1.2.'!$7:$8</definedName>
    <definedName name="_xlnm.Print_Titles" localSheetId="6">'2.1.'!$9:$10</definedName>
    <definedName name="_xlnm.Print_Titles" localSheetId="7">'2.2.'!$7:$8</definedName>
    <definedName name="_xlnm.Print_Titles" localSheetId="8">'3.1.'!$9:$10</definedName>
    <definedName name="_xlnm.Print_Titles" localSheetId="9">'3.2.'!$7:$8</definedName>
    <definedName name="_xlnm.Print_Titles" localSheetId="10">'4.1.'!$9:$10</definedName>
    <definedName name="_xlnm.Print_Titles" localSheetId="11">'4.2.'!$7:$8</definedName>
    <definedName name="_xlnm.Print_Titles" localSheetId="12">'5.1.'!$9:$10</definedName>
    <definedName name="_xlnm.Print_Titles" localSheetId="13">'5.2.'!$7:$8</definedName>
    <definedName name="_xlnm.Print_Titles" localSheetId="15">'7.'!$8:$11</definedName>
    <definedName name="_xlnm.Print_Titles" localSheetId="0">Черновик!$3:$4</definedName>
    <definedName name="_xlnm.Print_Area" localSheetId="4">'1.1.'!$A$1:$D$345</definedName>
    <definedName name="_xlnm.Print_Area" localSheetId="5">'1.2.'!$A$1:$F$342</definedName>
    <definedName name="_xlnm.Print_Area" localSheetId="6">'2.1.'!$A$1:$D$345</definedName>
    <definedName name="_xlnm.Print_Area" localSheetId="7">'2.2.'!$A$1:$F$342</definedName>
    <definedName name="_xlnm.Print_Area" localSheetId="8">'3.1.'!$A$1:$D$345</definedName>
    <definedName name="_xlnm.Print_Area" localSheetId="9">'3.2.'!$A$1:$F$342</definedName>
    <definedName name="_xlnm.Print_Area" localSheetId="10">'4.1.'!$A$1:$D$345</definedName>
    <definedName name="_xlnm.Print_Area" localSheetId="11">'4.2.'!$A$1:$F$342</definedName>
    <definedName name="_xlnm.Print_Area" localSheetId="12">'5.1.'!$A$1:$D$56</definedName>
    <definedName name="_xlnm.Print_Area" localSheetId="13">'5.2.'!$A$1:$F$67</definedName>
    <definedName name="_xlnm.Print_Area" localSheetId="14">'6.'!$A$1:$H$25</definedName>
    <definedName name="_xlnm.Print_Area" localSheetId="15">'7.'!$A$1:$H$47</definedName>
    <definedName name="_xlnm.Print_Area" localSheetId="0">Черновик!$A$1:$S$310</definedName>
  </definedNames>
  <calcPr calcId="152511"/>
</workbook>
</file>

<file path=xl/calcChain.xml><?xml version="1.0" encoding="utf-8"?>
<calcChain xmlns="http://schemas.openxmlformats.org/spreadsheetml/2006/main">
  <c r="B26" i="20" l="1"/>
  <c r="K165" i="19"/>
  <c r="R165" i="19" s="1"/>
  <c r="K166" i="19"/>
  <c r="R166" i="19"/>
  <c r="K167" i="19"/>
  <c r="R167" i="19"/>
  <c r="R168" i="19"/>
  <c r="R169" i="19"/>
  <c r="R171" i="19"/>
  <c r="R172" i="19"/>
  <c r="K173" i="19"/>
  <c r="K180" i="19"/>
  <c r="K181" i="19"/>
  <c r="R181" i="19"/>
  <c r="K182" i="19"/>
  <c r="R182" i="19" s="1"/>
  <c r="K185" i="19"/>
  <c r="R185" i="19" s="1"/>
  <c r="K186" i="19"/>
  <c r="R186" i="19" s="1"/>
  <c r="R187" i="19"/>
  <c r="K188" i="19"/>
  <c r="R188" i="19"/>
  <c r="K189" i="19"/>
  <c r="K190" i="19"/>
  <c r="K191" i="19"/>
  <c r="R191" i="19" s="1"/>
  <c r="K192" i="19"/>
  <c r="R192" i="19" s="1"/>
  <c r="K193" i="19"/>
  <c r="R193" i="19" s="1"/>
  <c r="K209" i="19"/>
  <c r="R209" i="19" s="1"/>
  <c r="K210" i="19"/>
  <c r="R210" i="19" s="1"/>
  <c r="K211" i="19"/>
  <c r="R211" i="19" s="1"/>
  <c r="K212" i="19"/>
  <c r="K213" i="19"/>
  <c r="R213" i="19" s="1"/>
  <c r="K214" i="19"/>
  <c r="R214" i="19" s="1"/>
  <c r="K215" i="19"/>
  <c r="R215" i="19" s="1"/>
  <c r="K216" i="19"/>
  <c r="K217" i="19"/>
  <c r="R217" i="19" s="1"/>
  <c r="R218" i="19"/>
  <c r="K219" i="19"/>
  <c r="R219" i="19" s="1"/>
  <c r="K220" i="19"/>
  <c r="K221" i="19"/>
  <c r="K222" i="19"/>
  <c r="R222" i="19" s="1"/>
  <c r="K223" i="19"/>
  <c r="R223" i="19" s="1"/>
  <c r="K225" i="19"/>
  <c r="K226" i="19"/>
  <c r="K227" i="19"/>
  <c r="R227" i="19" s="1"/>
  <c r="K228" i="19"/>
  <c r="R228" i="19" s="1"/>
  <c r="K229" i="19"/>
  <c r="R229" i="19" s="1"/>
  <c r="K230" i="19"/>
  <c r="K231" i="19"/>
  <c r="R231" i="19" s="1"/>
  <c r="W366" i="19"/>
  <c r="W365" i="19"/>
  <c r="S365" i="19"/>
  <c r="T365" i="19"/>
  <c r="W5" i="19"/>
  <c r="W4" i="19"/>
  <c r="W204" i="19"/>
  <c r="U5" i="19"/>
  <c r="U4" i="19"/>
  <c r="U353" i="19" s="1"/>
  <c r="U204" i="19"/>
  <c r="S5" i="19"/>
  <c r="S4" i="19" s="1"/>
  <c r="S204" i="19"/>
  <c r="R5" i="19"/>
  <c r="R204" i="19"/>
  <c r="V5" i="19"/>
  <c r="V4" i="19" s="1"/>
  <c r="V204" i="19"/>
  <c r="T5" i="19"/>
  <c r="T4" i="19"/>
  <c r="T204" i="19"/>
  <c r="V365" i="19"/>
  <c r="U365" i="19"/>
  <c r="R365" i="19"/>
  <c r="C16" i="38"/>
  <c r="C15" i="38"/>
  <c r="C14" i="38"/>
  <c r="C13" i="38"/>
  <c r="K11" i="36"/>
  <c r="D18" i="38" s="1"/>
  <c r="C11" i="36"/>
  <c r="B18" i="38"/>
  <c r="K8" i="36"/>
  <c r="D16" i="38" s="1"/>
  <c r="K7" i="36"/>
  <c r="D15" i="38" s="1"/>
  <c r="K6" i="36"/>
  <c r="D14" i="38" s="1"/>
  <c r="K5" i="36"/>
  <c r="D13" i="38" s="1"/>
  <c r="S8" i="36"/>
  <c r="R8" i="36"/>
  <c r="Q8" i="36"/>
  <c r="P8" i="36"/>
  <c r="O8" i="36"/>
  <c r="S7" i="36"/>
  <c r="R7" i="36"/>
  <c r="Q7" i="36"/>
  <c r="P7" i="36"/>
  <c r="O7" i="36"/>
  <c r="S6" i="36"/>
  <c r="R6" i="36"/>
  <c r="Q6" i="36"/>
  <c r="P6" i="36"/>
  <c r="O6" i="36"/>
  <c r="S5" i="36"/>
  <c r="R5" i="36"/>
  <c r="R4" i="36" s="1"/>
  <c r="Q5" i="36"/>
  <c r="P5" i="36"/>
  <c r="O5" i="36"/>
  <c r="C8" i="36"/>
  <c r="B16" i="38" s="1"/>
  <c r="E16" i="38" s="1"/>
  <c r="C7" i="36"/>
  <c r="B15" i="38" s="1"/>
  <c r="E15" i="38" s="1"/>
  <c r="C6" i="36"/>
  <c r="B14" i="38" s="1"/>
  <c r="E14" i="38" s="1"/>
  <c r="C5" i="36"/>
  <c r="B13" i="38" s="1"/>
  <c r="E13" i="38" s="1"/>
  <c r="C213" i="44"/>
  <c r="A213" i="44"/>
  <c r="C213" i="42"/>
  <c r="A213" i="42"/>
  <c r="C213" i="40"/>
  <c r="A213" i="40"/>
  <c r="C13" i="44"/>
  <c r="A13" i="44"/>
  <c r="C13" i="42"/>
  <c r="A13" i="42"/>
  <c r="C13" i="40"/>
  <c r="A13" i="40"/>
  <c r="C213" i="22"/>
  <c r="A213" i="22"/>
  <c r="C13" i="22"/>
  <c r="A13" i="22"/>
  <c r="K205" i="19"/>
  <c r="C205" i="19"/>
  <c r="B213" i="22" s="1"/>
  <c r="K5" i="19"/>
  <c r="D13" i="42" s="1"/>
  <c r="C5" i="19"/>
  <c r="D13" i="40"/>
  <c r="D213" i="40"/>
  <c r="D13" i="22"/>
  <c r="B213" i="40"/>
  <c r="B213" i="42"/>
  <c r="K333" i="19"/>
  <c r="K332" i="19"/>
  <c r="K331" i="19"/>
  <c r="U331" i="19" s="1"/>
  <c r="K330" i="19"/>
  <c r="K329" i="19"/>
  <c r="K328" i="19"/>
  <c r="K327" i="19"/>
  <c r="U327" i="19" s="1"/>
  <c r="K324" i="19"/>
  <c r="K319" i="19"/>
  <c r="K318" i="19"/>
  <c r="U318" i="19" s="1"/>
  <c r="K291" i="19"/>
  <c r="K282" i="19"/>
  <c r="K250" i="19"/>
  <c r="K249" i="19"/>
  <c r="K248" i="19"/>
  <c r="K243" i="19"/>
  <c r="K241" i="19"/>
  <c r="K116" i="19"/>
  <c r="D124" i="44" s="1"/>
  <c r="K60" i="19"/>
  <c r="K10" i="19"/>
  <c r="C96" i="19"/>
  <c r="C91" i="19"/>
  <c r="C90" i="19"/>
  <c r="C318" i="19"/>
  <c r="C319" i="19"/>
  <c r="C320" i="19"/>
  <c r="C321" i="19"/>
  <c r="C322" i="19"/>
  <c r="C323" i="19"/>
  <c r="K273" i="29"/>
  <c r="W116" i="19"/>
  <c r="T116" i="19"/>
  <c r="S116" i="19"/>
  <c r="R116" i="19"/>
  <c r="Q6" i="19"/>
  <c r="Q207" i="19"/>
  <c r="Y207" i="19" s="1"/>
  <c r="Q206" i="19"/>
  <c r="Y206" i="19" s="1"/>
  <c r="Q205" i="19"/>
  <c r="Y205" i="19" s="1"/>
  <c r="Q203" i="19"/>
  <c r="Y203" i="19" s="1"/>
  <c r="Q202" i="19"/>
  <c r="Y202" i="19" s="1"/>
  <c r="Q201" i="19"/>
  <c r="Y201" i="19" s="1"/>
  <c r="Q198" i="19"/>
  <c r="Y198" i="19" s="1"/>
  <c r="Q163" i="19"/>
  <c r="Y163" i="19" s="1"/>
  <c r="Q161" i="19"/>
  <c r="Y161" i="19" s="1"/>
  <c r="Q160" i="19"/>
  <c r="Y160" i="19" s="1"/>
  <c r="Q159" i="19"/>
  <c r="Y159" i="19" s="1"/>
  <c r="Q158" i="19"/>
  <c r="Y158" i="19" s="1"/>
  <c r="Q157" i="19"/>
  <c r="Y157" i="19" s="1"/>
  <c r="Q156" i="19"/>
  <c r="Y156" i="19" s="1"/>
  <c r="D341" i="44"/>
  <c r="C341" i="44"/>
  <c r="A341" i="44"/>
  <c r="C340" i="44"/>
  <c r="A340" i="44"/>
  <c r="D339" i="44"/>
  <c r="C339" i="44"/>
  <c r="A339" i="44"/>
  <c r="D338" i="44"/>
  <c r="C338" i="44"/>
  <c r="A338" i="44"/>
  <c r="D337" i="44"/>
  <c r="C337" i="44"/>
  <c r="A337" i="44"/>
  <c r="C336" i="44"/>
  <c r="A336" i="44"/>
  <c r="D335" i="44"/>
  <c r="C335" i="44"/>
  <c r="A335" i="44"/>
  <c r="C334" i="44"/>
  <c r="A334" i="44"/>
  <c r="C333" i="44"/>
  <c r="A333" i="44"/>
  <c r="D332" i="44"/>
  <c r="C332" i="44"/>
  <c r="A332" i="44"/>
  <c r="C331" i="44"/>
  <c r="A331" i="44"/>
  <c r="C330" i="44"/>
  <c r="A330" i="44"/>
  <c r="C329" i="44"/>
  <c r="A329" i="44"/>
  <c r="C328" i="44"/>
  <c r="A328" i="44"/>
  <c r="D327" i="44"/>
  <c r="C327" i="44"/>
  <c r="A327" i="44"/>
  <c r="C326" i="44"/>
  <c r="A326" i="44"/>
  <c r="C325" i="44"/>
  <c r="A325" i="44"/>
  <c r="C324" i="44"/>
  <c r="A324" i="44"/>
  <c r="C323" i="44"/>
  <c r="A323" i="44"/>
  <c r="C322" i="44"/>
  <c r="A322" i="44"/>
  <c r="C321" i="44"/>
  <c r="A321" i="44"/>
  <c r="C320" i="44"/>
  <c r="A320" i="44"/>
  <c r="C319" i="44"/>
  <c r="A319" i="44"/>
  <c r="C318" i="44"/>
  <c r="A318" i="44"/>
  <c r="C317" i="44"/>
  <c r="A317" i="44"/>
  <c r="C316" i="44"/>
  <c r="A316" i="44"/>
  <c r="C315" i="44"/>
  <c r="A315" i="44"/>
  <c r="C314" i="44"/>
  <c r="A314" i="44"/>
  <c r="C313" i="44"/>
  <c r="A313" i="44"/>
  <c r="C312" i="44"/>
  <c r="A312" i="44"/>
  <c r="C311" i="44"/>
  <c r="A311" i="44"/>
  <c r="C310" i="44"/>
  <c r="A310" i="44"/>
  <c r="C309" i="44"/>
  <c r="A309" i="44"/>
  <c r="C308" i="44"/>
  <c r="A308" i="44"/>
  <c r="C307" i="44"/>
  <c r="A307" i="44"/>
  <c r="C306" i="44"/>
  <c r="A306" i="44"/>
  <c r="C305" i="44"/>
  <c r="A305" i="44"/>
  <c r="C304" i="44"/>
  <c r="A304" i="44"/>
  <c r="C303" i="44"/>
  <c r="A303" i="44"/>
  <c r="C302" i="44"/>
  <c r="A302" i="44"/>
  <c r="C301" i="44"/>
  <c r="A301" i="44"/>
  <c r="C300" i="44"/>
  <c r="A300" i="44"/>
  <c r="D299" i="44"/>
  <c r="C299" i="44"/>
  <c r="A299" i="44"/>
  <c r="C298" i="44"/>
  <c r="A298" i="44"/>
  <c r="C296" i="44"/>
  <c r="A296" i="44"/>
  <c r="C295" i="44"/>
  <c r="A295" i="44"/>
  <c r="C294" i="44"/>
  <c r="A294" i="44"/>
  <c r="C292" i="44"/>
  <c r="A292" i="44"/>
  <c r="C291" i="44"/>
  <c r="A291" i="44"/>
  <c r="D290" i="44"/>
  <c r="C290" i="44"/>
  <c r="A290" i="44"/>
  <c r="C289" i="44"/>
  <c r="A289" i="44"/>
  <c r="C288" i="44"/>
  <c r="A288" i="44"/>
  <c r="C287" i="44"/>
  <c r="A287" i="44"/>
  <c r="C286" i="44"/>
  <c r="A286" i="44"/>
  <c r="C285" i="44"/>
  <c r="A285" i="44"/>
  <c r="C284" i="44"/>
  <c r="A284" i="44"/>
  <c r="C283" i="44"/>
  <c r="A283" i="44"/>
  <c r="C282" i="44"/>
  <c r="A282" i="44"/>
  <c r="C281" i="44"/>
  <c r="A281" i="44"/>
  <c r="C280" i="44"/>
  <c r="A280" i="44"/>
  <c r="C279" i="44"/>
  <c r="A279" i="44"/>
  <c r="C278" i="44"/>
  <c r="A278" i="44"/>
  <c r="C277" i="44"/>
  <c r="A277" i="44"/>
  <c r="C276" i="44"/>
  <c r="A276" i="44"/>
  <c r="C275" i="44"/>
  <c r="A275" i="44"/>
  <c r="C274" i="44"/>
  <c r="A274" i="44"/>
  <c r="C273" i="44"/>
  <c r="A273" i="44"/>
  <c r="C272" i="44"/>
  <c r="A272" i="44"/>
  <c r="C271" i="44"/>
  <c r="A271" i="44"/>
  <c r="C270" i="44"/>
  <c r="A270" i="44"/>
  <c r="C269" i="44"/>
  <c r="A269" i="44"/>
  <c r="C268" i="44"/>
  <c r="A268" i="44"/>
  <c r="C267" i="44"/>
  <c r="A267" i="44"/>
  <c r="C266" i="44"/>
  <c r="A266" i="44"/>
  <c r="C265" i="44"/>
  <c r="A265" i="44"/>
  <c r="C264" i="44"/>
  <c r="A264" i="44"/>
  <c r="C262" i="44"/>
  <c r="A262" i="44"/>
  <c r="C261" i="44"/>
  <c r="A261" i="44"/>
  <c r="C260" i="44"/>
  <c r="A260" i="44"/>
  <c r="D258" i="44"/>
  <c r="C258" i="44"/>
  <c r="A258" i="44"/>
  <c r="C257" i="44"/>
  <c r="A257" i="44"/>
  <c r="C256" i="44"/>
  <c r="A256" i="44"/>
  <c r="C255" i="44"/>
  <c r="A255" i="44"/>
  <c r="C254" i="44"/>
  <c r="A254" i="44"/>
  <c r="C253" i="44"/>
  <c r="A253" i="44"/>
  <c r="C252" i="44"/>
  <c r="A252" i="44"/>
  <c r="D251" i="44"/>
  <c r="C251" i="44"/>
  <c r="A251" i="44"/>
  <c r="C250" i="44"/>
  <c r="A250" i="44"/>
  <c r="D249" i="44"/>
  <c r="C249" i="44"/>
  <c r="A249" i="44"/>
  <c r="C248" i="44"/>
  <c r="A248" i="44"/>
  <c r="C247" i="44"/>
  <c r="A247" i="44"/>
  <c r="C246" i="44"/>
  <c r="A246" i="44"/>
  <c r="C245" i="44"/>
  <c r="A245" i="44"/>
  <c r="C244" i="44"/>
  <c r="A244" i="44"/>
  <c r="C243" i="44"/>
  <c r="A243" i="44"/>
  <c r="C242" i="44"/>
  <c r="A242" i="44"/>
  <c r="C241" i="44"/>
  <c r="A241" i="44"/>
  <c r="C239" i="44"/>
  <c r="A239" i="44"/>
  <c r="C238" i="44"/>
  <c r="A238" i="44"/>
  <c r="C237" i="44"/>
  <c r="A237" i="44"/>
  <c r="C236" i="44"/>
  <c r="A236" i="44"/>
  <c r="C235" i="44"/>
  <c r="A235" i="44"/>
  <c r="C234" i="44"/>
  <c r="A234" i="44"/>
  <c r="C233" i="44"/>
  <c r="A233" i="44"/>
  <c r="C232" i="44"/>
  <c r="A232" i="44"/>
  <c r="C231" i="44"/>
  <c r="A231" i="44"/>
  <c r="C230" i="44"/>
  <c r="A230" i="44"/>
  <c r="C229" i="44"/>
  <c r="A229" i="44"/>
  <c r="C228" i="44"/>
  <c r="A228" i="44"/>
  <c r="C227" i="44"/>
  <c r="A227" i="44"/>
  <c r="D226" i="44"/>
  <c r="C226" i="44"/>
  <c r="A226" i="44"/>
  <c r="C225" i="44"/>
  <c r="A225" i="44"/>
  <c r="C224" i="44"/>
  <c r="A224" i="44"/>
  <c r="C223" i="44"/>
  <c r="A223" i="44"/>
  <c r="C222" i="44"/>
  <c r="A222" i="44"/>
  <c r="C221" i="44"/>
  <c r="B221" i="44"/>
  <c r="A221" i="44"/>
  <c r="C220" i="44"/>
  <c r="A220" i="44"/>
  <c r="C219" i="44"/>
  <c r="A219" i="44"/>
  <c r="C218" i="44"/>
  <c r="A218" i="44"/>
  <c r="C217" i="44"/>
  <c r="A217" i="44"/>
  <c r="C207" i="44"/>
  <c r="A207" i="44"/>
  <c r="C206" i="44"/>
  <c r="A206" i="44"/>
  <c r="C205" i="44"/>
  <c r="A205" i="44"/>
  <c r="C203" i="44"/>
  <c r="A203" i="44"/>
  <c r="C201" i="44"/>
  <c r="A201" i="44"/>
  <c r="C200" i="44"/>
  <c r="A200" i="44"/>
  <c r="C199" i="44"/>
  <c r="A199" i="44"/>
  <c r="C198" i="44"/>
  <c r="A198" i="44"/>
  <c r="C197" i="44"/>
  <c r="A197" i="44"/>
  <c r="C196" i="44"/>
  <c r="A196" i="44"/>
  <c r="D195" i="44"/>
  <c r="C195" i="44"/>
  <c r="B195" i="44"/>
  <c r="A195" i="44"/>
  <c r="C194" i="44"/>
  <c r="A194" i="44"/>
  <c r="C193" i="44"/>
  <c r="A193" i="44"/>
  <c r="C192" i="44"/>
  <c r="A192" i="44"/>
  <c r="C191" i="44"/>
  <c r="A191" i="44"/>
  <c r="C190" i="44"/>
  <c r="A190" i="44"/>
  <c r="C189" i="44"/>
  <c r="A189" i="44"/>
  <c r="C188" i="44"/>
  <c r="A188" i="44"/>
  <c r="C187" i="44"/>
  <c r="A187" i="44"/>
  <c r="C186" i="44"/>
  <c r="A186" i="44"/>
  <c r="C185" i="44"/>
  <c r="A185" i="44"/>
  <c r="C184" i="44"/>
  <c r="A184" i="44"/>
  <c r="C183" i="44"/>
  <c r="A183" i="44"/>
  <c r="C182" i="44"/>
  <c r="A182" i="44"/>
  <c r="C181" i="44"/>
  <c r="A181" i="44"/>
  <c r="D180" i="44"/>
  <c r="C180" i="44"/>
  <c r="A180" i="44"/>
  <c r="D179" i="44"/>
  <c r="C179" i="44"/>
  <c r="A179" i="44"/>
  <c r="C178" i="44"/>
  <c r="A178" i="44"/>
  <c r="D177" i="44"/>
  <c r="C177" i="44"/>
  <c r="A177" i="44"/>
  <c r="D176" i="44"/>
  <c r="C176" i="44"/>
  <c r="A176" i="44"/>
  <c r="C175" i="44"/>
  <c r="A175" i="44"/>
  <c r="C174" i="44"/>
  <c r="A174" i="44"/>
  <c r="C173" i="44"/>
  <c r="A173" i="44"/>
  <c r="C171" i="44"/>
  <c r="A171" i="44"/>
  <c r="C170" i="44"/>
  <c r="A170" i="44"/>
  <c r="C169" i="44"/>
  <c r="A169" i="44"/>
  <c r="C168" i="44"/>
  <c r="A168" i="44"/>
  <c r="C167" i="44"/>
  <c r="A167" i="44"/>
  <c r="C166" i="44"/>
  <c r="A166" i="44"/>
  <c r="D165" i="44"/>
  <c r="C165" i="44"/>
  <c r="A165" i="44"/>
  <c r="C164" i="44"/>
  <c r="A164" i="44"/>
  <c r="C161" i="44"/>
  <c r="A161" i="44"/>
  <c r="C160" i="44"/>
  <c r="A160" i="44"/>
  <c r="C159" i="44"/>
  <c r="A159" i="44"/>
  <c r="C158" i="44"/>
  <c r="A158" i="44"/>
  <c r="C157" i="44"/>
  <c r="A157" i="44"/>
  <c r="C156" i="44"/>
  <c r="A156" i="44"/>
  <c r="C155" i="44"/>
  <c r="A155" i="44"/>
  <c r="C154" i="44"/>
  <c r="A154" i="44"/>
  <c r="C153" i="44"/>
  <c r="A153" i="44"/>
  <c r="C152" i="44"/>
  <c r="A152" i="44"/>
  <c r="C151" i="44"/>
  <c r="A151" i="44"/>
  <c r="C150" i="44"/>
  <c r="A150" i="44"/>
  <c r="C149" i="44"/>
  <c r="A149" i="44"/>
  <c r="C148" i="44"/>
  <c r="A148" i="44"/>
  <c r="C147" i="44"/>
  <c r="A147" i="44"/>
  <c r="C146" i="44"/>
  <c r="A146" i="44"/>
  <c r="C145" i="44"/>
  <c r="A145" i="44"/>
  <c r="C144" i="44"/>
  <c r="A144" i="44"/>
  <c r="C142" i="44"/>
  <c r="A142" i="44"/>
  <c r="C141" i="44"/>
  <c r="A141" i="44"/>
  <c r="C140" i="44"/>
  <c r="A140" i="44"/>
  <c r="C139" i="44"/>
  <c r="A139" i="44"/>
  <c r="C138" i="44"/>
  <c r="A138" i="44"/>
  <c r="C137" i="44"/>
  <c r="A137" i="44"/>
  <c r="C136" i="44"/>
  <c r="A136" i="44"/>
  <c r="C135" i="44"/>
  <c r="A135" i="44"/>
  <c r="C134" i="44"/>
  <c r="A134" i="44"/>
  <c r="C133" i="44"/>
  <c r="A133" i="44"/>
  <c r="C132" i="44"/>
  <c r="A132" i="44"/>
  <c r="C131" i="44"/>
  <c r="A131" i="44"/>
  <c r="C130" i="44"/>
  <c r="A130" i="44"/>
  <c r="C129" i="44"/>
  <c r="A129" i="44"/>
  <c r="C128" i="44"/>
  <c r="A128" i="44"/>
  <c r="C127" i="44"/>
  <c r="A127" i="44"/>
  <c r="C126" i="44"/>
  <c r="A126" i="44"/>
  <c r="C125" i="44"/>
  <c r="A125" i="44"/>
  <c r="C124" i="44"/>
  <c r="A124" i="44"/>
  <c r="C123" i="44"/>
  <c r="A123" i="44"/>
  <c r="C122" i="44"/>
  <c r="A122" i="44"/>
  <c r="C121" i="44"/>
  <c r="A121" i="44"/>
  <c r="C120" i="44"/>
  <c r="A120" i="44"/>
  <c r="C119" i="44"/>
  <c r="A119" i="44"/>
  <c r="C118" i="44"/>
  <c r="A118" i="44"/>
  <c r="C117" i="44"/>
  <c r="A117" i="44"/>
  <c r="C116" i="44"/>
  <c r="A116" i="44"/>
  <c r="C115" i="44"/>
  <c r="A115" i="44"/>
  <c r="C114" i="44"/>
  <c r="A114" i="44"/>
  <c r="C113" i="44"/>
  <c r="A113" i="44"/>
  <c r="C112" i="44"/>
  <c r="A112" i="44"/>
  <c r="C111" i="44"/>
  <c r="A111" i="44"/>
  <c r="C110" i="44"/>
  <c r="A110" i="44"/>
  <c r="C109" i="44"/>
  <c r="A109" i="44"/>
  <c r="C108" i="44"/>
  <c r="A108" i="44"/>
  <c r="D107" i="44"/>
  <c r="C107" i="44"/>
  <c r="A107" i="44"/>
  <c r="C106" i="44"/>
  <c r="A106" i="44"/>
  <c r="C105" i="44"/>
  <c r="A105" i="44"/>
  <c r="C104" i="44"/>
  <c r="A104" i="44"/>
  <c r="C102" i="44"/>
  <c r="A102" i="44"/>
  <c r="C101" i="44"/>
  <c r="A101" i="44"/>
  <c r="C100" i="44"/>
  <c r="A100" i="44"/>
  <c r="C99" i="44"/>
  <c r="A99" i="44"/>
  <c r="C98" i="44"/>
  <c r="A98" i="44"/>
  <c r="C97" i="44"/>
  <c r="A97" i="44"/>
  <c r="C96" i="44"/>
  <c r="A96" i="44"/>
  <c r="C94" i="44"/>
  <c r="A94" i="44"/>
  <c r="C93" i="44"/>
  <c r="A93" i="44"/>
  <c r="C92" i="44"/>
  <c r="A92" i="44"/>
  <c r="C90" i="44"/>
  <c r="A90" i="44"/>
  <c r="C89" i="44"/>
  <c r="A89" i="44"/>
  <c r="D86" i="44"/>
  <c r="C86" i="44"/>
  <c r="A86" i="44"/>
  <c r="C85" i="44"/>
  <c r="A85" i="44"/>
  <c r="C84" i="44"/>
  <c r="A84" i="44"/>
  <c r="C83" i="44"/>
  <c r="A83" i="44"/>
  <c r="C82" i="44"/>
  <c r="A82" i="44"/>
  <c r="C81" i="44"/>
  <c r="A81" i="44"/>
  <c r="C80" i="44"/>
  <c r="A80" i="44"/>
  <c r="C79" i="44"/>
  <c r="A79" i="44"/>
  <c r="C78" i="44"/>
  <c r="A78" i="44"/>
  <c r="C77" i="44"/>
  <c r="A77" i="44"/>
  <c r="C76" i="44"/>
  <c r="A76" i="44"/>
  <c r="C75" i="44"/>
  <c r="A75" i="44"/>
  <c r="C74" i="44"/>
  <c r="A74" i="44"/>
  <c r="C73" i="44"/>
  <c r="A73" i="44"/>
  <c r="C72" i="44"/>
  <c r="A72" i="44"/>
  <c r="C71" i="44"/>
  <c r="A71" i="44"/>
  <c r="C70" i="44"/>
  <c r="A70" i="44"/>
  <c r="C69" i="44"/>
  <c r="A69" i="44"/>
  <c r="C68" i="44"/>
  <c r="A68" i="44"/>
  <c r="C66" i="44"/>
  <c r="A66" i="44"/>
  <c r="C65" i="44"/>
  <c r="A65" i="44"/>
  <c r="C64" i="44"/>
  <c r="A64" i="44"/>
  <c r="C63" i="44"/>
  <c r="A63" i="44"/>
  <c r="C62" i="44"/>
  <c r="A62" i="44"/>
  <c r="C61" i="44"/>
  <c r="A61" i="44"/>
  <c r="C60" i="44"/>
  <c r="A60" i="44"/>
  <c r="C59" i="44"/>
  <c r="A59" i="44"/>
  <c r="C58" i="44"/>
  <c r="A58" i="44"/>
  <c r="C57" i="44"/>
  <c r="A57" i="44"/>
  <c r="C56" i="44"/>
  <c r="A56" i="44"/>
  <c r="C55" i="44"/>
  <c r="A55" i="44"/>
  <c r="C54" i="44"/>
  <c r="A54" i="44"/>
  <c r="C53" i="44"/>
  <c r="A53" i="44"/>
  <c r="C52" i="44"/>
  <c r="A52" i="44"/>
  <c r="C51" i="44"/>
  <c r="A51" i="44"/>
  <c r="C50" i="44"/>
  <c r="A50" i="44"/>
  <c r="C49" i="44"/>
  <c r="A49" i="44"/>
  <c r="C48" i="44"/>
  <c r="A48" i="44"/>
  <c r="C47" i="44"/>
  <c r="A47" i="44"/>
  <c r="C46" i="44"/>
  <c r="A46" i="44"/>
  <c r="C45" i="44"/>
  <c r="A45" i="44"/>
  <c r="C44" i="44"/>
  <c r="A44" i="44"/>
  <c r="C43" i="44"/>
  <c r="A43" i="44"/>
  <c r="C42" i="44"/>
  <c r="A42" i="44"/>
  <c r="C41" i="44"/>
  <c r="A41" i="44"/>
  <c r="C40" i="44"/>
  <c r="A40" i="44"/>
  <c r="C39" i="44"/>
  <c r="A39" i="44"/>
  <c r="C38" i="44"/>
  <c r="A38" i="44"/>
  <c r="C37" i="44"/>
  <c r="A37" i="44"/>
  <c r="C36" i="44"/>
  <c r="A36" i="44"/>
  <c r="C35" i="44"/>
  <c r="A35" i="44"/>
  <c r="C34" i="44"/>
  <c r="A34" i="44"/>
  <c r="C33" i="44"/>
  <c r="A33" i="44"/>
  <c r="C32" i="44"/>
  <c r="A32" i="44"/>
  <c r="C31" i="44"/>
  <c r="A31" i="44"/>
  <c r="C30" i="44"/>
  <c r="A30" i="44"/>
  <c r="C29" i="44"/>
  <c r="A29" i="44"/>
  <c r="C28" i="44"/>
  <c r="A28" i="44"/>
  <c r="C27" i="44"/>
  <c r="A27" i="44"/>
  <c r="C26" i="44"/>
  <c r="A26" i="44"/>
  <c r="C25" i="44"/>
  <c r="A25" i="44"/>
  <c r="C24" i="44"/>
  <c r="A24" i="44"/>
  <c r="C23" i="44"/>
  <c r="A23" i="44"/>
  <c r="C22" i="44"/>
  <c r="A22" i="44"/>
  <c r="C21" i="44"/>
  <c r="A21" i="44"/>
  <c r="C20" i="44"/>
  <c r="A20" i="44"/>
  <c r="C19" i="44"/>
  <c r="A19" i="44"/>
  <c r="C18" i="44"/>
  <c r="A18" i="44"/>
  <c r="C17" i="44"/>
  <c r="A17" i="44"/>
  <c r="B345" i="43"/>
  <c r="A345" i="43"/>
  <c r="B344" i="43"/>
  <c r="A344" i="43"/>
  <c r="B343" i="43"/>
  <c r="A343" i="43"/>
  <c r="B342" i="43"/>
  <c r="A342" i="43"/>
  <c r="B341" i="43"/>
  <c r="A341" i="43"/>
  <c r="B340" i="43"/>
  <c r="A340" i="43"/>
  <c r="B339" i="43"/>
  <c r="A339" i="43"/>
  <c r="B338" i="43"/>
  <c r="A338" i="43"/>
  <c r="B337" i="43"/>
  <c r="A337" i="43"/>
  <c r="B336" i="43"/>
  <c r="A336" i="43"/>
  <c r="B335" i="43"/>
  <c r="A335" i="43"/>
  <c r="B334" i="43"/>
  <c r="A334" i="43"/>
  <c r="B333" i="43"/>
  <c r="A333" i="43"/>
  <c r="B332" i="43"/>
  <c r="A332" i="43"/>
  <c r="B331" i="43"/>
  <c r="A331" i="43"/>
  <c r="B330" i="43"/>
  <c r="A330" i="43"/>
  <c r="B329" i="43"/>
  <c r="A329" i="43"/>
  <c r="B328" i="43"/>
  <c r="A328" i="43"/>
  <c r="B327" i="43"/>
  <c r="A327" i="43"/>
  <c r="B326" i="43"/>
  <c r="A326" i="43"/>
  <c r="B325" i="43"/>
  <c r="A325" i="43"/>
  <c r="B324" i="43"/>
  <c r="A324" i="43"/>
  <c r="B323" i="43"/>
  <c r="A323" i="43"/>
  <c r="B322" i="43"/>
  <c r="A322" i="43"/>
  <c r="B321" i="43"/>
  <c r="A321" i="43"/>
  <c r="B320" i="43"/>
  <c r="A320" i="43"/>
  <c r="B319" i="43"/>
  <c r="A319" i="43"/>
  <c r="B318" i="43"/>
  <c r="A318" i="43"/>
  <c r="B317" i="43"/>
  <c r="A317" i="43"/>
  <c r="B316" i="43"/>
  <c r="A316" i="43"/>
  <c r="B315" i="43"/>
  <c r="A315" i="43"/>
  <c r="B314" i="43"/>
  <c r="A314" i="43"/>
  <c r="B313" i="43"/>
  <c r="A313" i="43"/>
  <c r="B312" i="43"/>
  <c r="A312" i="43"/>
  <c r="B311" i="43"/>
  <c r="A311" i="43"/>
  <c r="B310" i="43"/>
  <c r="A310" i="43"/>
  <c r="B309" i="43"/>
  <c r="A309" i="43"/>
  <c r="B308" i="43"/>
  <c r="A308" i="43"/>
  <c r="B307" i="43"/>
  <c r="A307" i="43"/>
  <c r="B306" i="43"/>
  <c r="A306" i="43"/>
  <c r="B305" i="43"/>
  <c r="A305" i="43"/>
  <c r="B304" i="43"/>
  <c r="A304" i="43"/>
  <c r="B303" i="43"/>
  <c r="A303" i="43"/>
  <c r="B302" i="43"/>
  <c r="A302" i="43"/>
  <c r="B300" i="43"/>
  <c r="A300" i="43"/>
  <c r="B299" i="43"/>
  <c r="A299" i="43"/>
  <c r="B298" i="43"/>
  <c r="A298" i="43"/>
  <c r="B296" i="43"/>
  <c r="A296" i="43"/>
  <c r="B295" i="43"/>
  <c r="A295" i="43"/>
  <c r="B294" i="43"/>
  <c r="A294" i="43"/>
  <c r="B293" i="43"/>
  <c r="A293" i="43"/>
  <c r="B292" i="43"/>
  <c r="A292" i="43"/>
  <c r="B291" i="43"/>
  <c r="A291" i="43"/>
  <c r="B290" i="43"/>
  <c r="A290" i="43"/>
  <c r="B289" i="43"/>
  <c r="A289" i="43"/>
  <c r="B288" i="43"/>
  <c r="A288" i="43"/>
  <c r="B287" i="43"/>
  <c r="A287" i="43"/>
  <c r="B286" i="43"/>
  <c r="A286" i="43"/>
  <c r="B285" i="43"/>
  <c r="A285" i="43"/>
  <c r="B284" i="43"/>
  <c r="A284" i="43"/>
  <c r="B283" i="43"/>
  <c r="A283" i="43"/>
  <c r="B282" i="43"/>
  <c r="A282" i="43"/>
  <c r="B281" i="43"/>
  <c r="A281" i="43"/>
  <c r="B280" i="43"/>
  <c r="A280" i="43"/>
  <c r="B279" i="43"/>
  <c r="A279" i="43"/>
  <c r="B278" i="43"/>
  <c r="A278" i="43"/>
  <c r="B277" i="43"/>
  <c r="A277" i="43"/>
  <c r="B276" i="43"/>
  <c r="A276" i="43"/>
  <c r="B275" i="43"/>
  <c r="A275" i="43"/>
  <c r="B274" i="43"/>
  <c r="A274" i="43"/>
  <c r="B273" i="43"/>
  <c r="A273" i="43"/>
  <c r="B272" i="43"/>
  <c r="A272" i="43"/>
  <c r="B271" i="43"/>
  <c r="A271" i="43"/>
  <c r="B270" i="43"/>
  <c r="A270" i="43"/>
  <c r="B269" i="43"/>
  <c r="A269" i="43"/>
  <c r="B268" i="43"/>
  <c r="A268" i="43"/>
  <c r="B266" i="43"/>
  <c r="A266" i="43"/>
  <c r="B265" i="43"/>
  <c r="A265" i="43"/>
  <c r="B264" i="43"/>
  <c r="A264" i="43"/>
  <c r="B262" i="43"/>
  <c r="A262" i="43"/>
  <c r="B261" i="43"/>
  <c r="A261" i="43"/>
  <c r="B260" i="43"/>
  <c r="A260" i="43"/>
  <c r="B259" i="43"/>
  <c r="A259" i="43"/>
  <c r="B258" i="43"/>
  <c r="A258" i="43"/>
  <c r="B257" i="43"/>
  <c r="A257" i="43"/>
  <c r="B256" i="43"/>
  <c r="A256" i="43"/>
  <c r="B255" i="43"/>
  <c r="A255" i="43"/>
  <c r="B254" i="43"/>
  <c r="A254" i="43"/>
  <c r="B253" i="43"/>
  <c r="A253" i="43"/>
  <c r="B252" i="43"/>
  <c r="A252" i="43"/>
  <c r="B251" i="43"/>
  <c r="A251" i="43"/>
  <c r="B250" i="43"/>
  <c r="A250" i="43"/>
  <c r="B249" i="43"/>
  <c r="A249" i="43"/>
  <c r="B248" i="43"/>
  <c r="A248" i="43"/>
  <c r="B247" i="43"/>
  <c r="A247" i="43"/>
  <c r="B246" i="43"/>
  <c r="A246" i="43"/>
  <c r="B245" i="43"/>
  <c r="A245" i="43"/>
  <c r="B243" i="43"/>
  <c r="A243" i="43"/>
  <c r="B242" i="43"/>
  <c r="A242" i="43"/>
  <c r="B241" i="43"/>
  <c r="A241" i="43"/>
  <c r="B240" i="43"/>
  <c r="A240" i="43"/>
  <c r="B239" i="43"/>
  <c r="A239" i="43"/>
  <c r="B238" i="43"/>
  <c r="A238" i="43"/>
  <c r="B237" i="43"/>
  <c r="A237" i="43"/>
  <c r="B236" i="43"/>
  <c r="A236" i="43"/>
  <c r="B235" i="43"/>
  <c r="A235" i="43"/>
  <c r="B234" i="43"/>
  <c r="A234" i="43"/>
  <c r="B233" i="43"/>
  <c r="A233" i="43"/>
  <c r="B232" i="43"/>
  <c r="A232" i="43"/>
  <c r="B231" i="43"/>
  <c r="A231" i="43"/>
  <c r="B230" i="43"/>
  <c r="A230" i="43"/>
  <c r="B229" i="43"/>
  <c r="A229" i="43"/>
  <c r="B228" i="43"/>
  <c r="A228" i="43"/>
  <c r="B227" i="43"/>
  <c r="A227" i="43"/>
  <c r="B226" i="43"/>
  <c r="A226" i="43"/>
  <c r="C225" i="43"/>
  <c r="B225" i="43"/>
  <c r="A225" i="43"/>
  <c r="B224" i="43"/>
  <c r="A224" i="43"/>
  <c r="B223" i="43"/>
  <c r="A223" i="43"/>
  <c r="B222" i="43"/>
  <c r="A222" i="43"/>
  <c r="B221" i="43"/>
  <c r="A221" i="43"/>
  <c r="B211" i="43"/>
  <c r="A211" i="43"/>
  <c r="B210" i="43"/>
  <c r="A210" i="43"/>
  <c r="B209" i="43"/>
  <c r="A209" i="43"/>
  <c r="B207" i="43"/>
  <c r="A207" i="43"/>
  <c r="B205" i="43"/>
  <c r="A205" i="43"/>
  <c r="B204" i="43"/>
  <c r="A204" i="43"/>
  <c r="B203" i="43"/>
  <c r="A203" i="43"/>
  <c r="B202" i="43"/>
  <c r="A202" i="43"/>
  <c r="B201" i="43"/>
  <c r="A201" i="43"/>
  <c r="B200" i="43"/>
  <c r="A200" i="43"/>
  <c r="C199" i="43"/>
  <c r="B199" i="43"/>
  <c r="A199" i="43"/>
  <c r="B198" i="43"/>
  <c r="A198" i="43"/>
  <c r="B197" i="43"/>
  <c r="A197" i="43"/>
  <c r="B196" i="43"/>
  <c r="A196" i="43"/>
  <c r="B195" i="43"/>
  <c r="A195" i="43"/>
  <c r="B194" i="43"/>
  <c r="A194" i="43"/>
  <c r="B193" i="43"/>
  <c r="A193" i="43"/>
  <c r="B192" i="43"/>
  <c r="A192" i="43"/>
  <c r="B191" i="43"/>
  <c r="A191" i="43"/>
  <c r="B190" i="43"/>
  <c r="A190" i="43"/>
  <c r="B189" i="43"/>
  <c r="A189" i="43"/>
  <c r="B188" i="43"/>
  <c r="A188" i="43"/>
  <c r="B187" i="43"/>
  <c r="A187" i="43"/>
  <c r="B186" i="43"/>
  <c r="A186" i="43"/>
  <c r="B185" i="43"/>
  <c r="A185" i="43"/>
  <c r="B184" i="43"/>
  <c r="A184" i="43"/>
  <c r="B183" i="43"/>
  <c r="A183" i="43"/>
  <c r="B182" i="43"/>
  <c r="A182" i="43"/>
  <c r="B181" i="43"/>
  <c r="A181" i="43"/>
  <c r="B180" i="43"/>
  <c r="A180" i="43"/>
  <c r="B179" i="43"/>
  <c r="A179" i="43"/>
  <c r="B178" i="43"/>
  <c r="A178" i="43"/>
  <c r="B177" i="43"/>
  <c r="A177" i="43"/>
  <c r="B175" i="43"/>
  <c r="A175" i="43"/>
  <c r="B174" i="43"/>
  <c r="A174" i="43"/>
  <c r="B173" i="43"/>
  <c r="A173" i="43"/>
  <c r="B172" i="43"/>
  <c r="A172" i="43"/>
  <c r="B171" i="43"/>
  <c r="A171" i="43"/>
  <c r="B170" i="43"/>
  <c r="A170" i="43"/>
  <c r="B169" i="43"/>
  <c r="A169" i="43"/>
  <c r="B168" i="43"/>
  <c r="A168" i="43"/>
  <c r="B165" i="43"/>
  <c r="A165" i="43"/>
  <c r="B164" i="43"/>
  <c r="A164" i="43"/>
  <c r="B163" i="43"/>
  <c r="A163" i="43"/>
  <c r="B162" i="43"/>
  <c r="A162" i="43"/>
  <c r="B161" i="43"/>
  <c r="A161" i="43"/>
  <c r="B160" i="43"/>
  <c r="A160" i="43"/>
  <c r="B159" i="43"/>
  <c r="A159" i="43"/>
  <c r="B158" i="43"/>
  <c r="A158" i="43"/>
  <c r="B157" i="43"/>
  <c r="A157" i="43"/>
  <c r="B156" i="43"/>
  <c r="A156" i="43"/>
  <c r="B155" i="43"/>
  <c r="A155" i="43"/>
  <c r="B154" i="43"/>
  <c r="A154" i="43"/>
  <c r="B153" i="43"/>
  <c r="A153" i="43"/>
  <c r="B152" i="43"/>
  <c r="A152" i="43"/>
  <c r="B151" i="43"/>
  <c r="A151" i="43"/>
  <c r="B150" i="43"/>
  <c r="A150" i="43"/>
  <c r="B149" i="43"/>
  <c r="A149" i="43"/>
  <c r="B148" i="43"/>
  <c r="A148" i="43"/>
  <c r="B146" i="43"/>
  <c r="A146" i="43"/>
  <c r="B145" i="43"/>
  <c r="A145" i="43"/>
  <c r="B144" i="43"/>
  <c r="A144" i="43"/>
  <c r="B143" i="43"/>
  <c r="A143" i="43"/>
  <c r="B142" i="43"/>
  <c r="A142" i="43"/>
  <c r="B141" i="43"/>
  <c r="A141" i="43"/>
  <c r="B140" i="43"/>
  <c r="A140" i="43"/>
  <c r="B139" i="43"/>
  <c r="A139" i="43"/>
  <c r="B138" i="43"/>
  <c r="A138" i="43"/>
  <c r="B137" i="43"/>
  <c r="A137" i="43"/>
  <c r="B136" i="43"/>
  <c r="A136" i="43"/>
  <c r="B135" i="43"/>
  <c r="A135" i="43"/>
  <c r="B134" i="43"/>
  <c r="A134" i="43"/>
  <c r="B133" i="43"/>
  <c r="A133" i="43"/>
  <c r="B132" i="43"/>
  <c r="A132" i="43"/>
  <c r="B131" i="43"/>
  <c r="A131" i="43"/>
  <c r="B130" i="43"/>
  <c r="A130" i="43"/>
  <c r="B129" i="43"/>
  <c r="A129" i="43"/>
  <c r="B128" i="43"/>
  <c r="A128" i="43"/>
  <c r="B127" i="43"/>
  <c r="A127" i="43"/>
  <c r="B126" i="43"/>
  <c r="A126" i="43"/>
  <c r="B125" i="43"/>
  <c r="A125" i="43"/>
  <c r="B124" i="43"/>
  <c r="A124" i="43"/>
  <c r="B123" i="43"/>
  <c r="A123" i="43"/>
  <c r="B122" i="43"/>
  <c r="A122" i="43"/>
  <c r="B121" i="43"/>
  <c r="A121" i="43"/>
  <c r="B120" i="43"/>
  <c r="A120" i="43"/>
  <c r="B119" i="43"/>
  <c r="A119" i="43"/>
  <c r="B118" i="43"/>
  <c r="A118" i="43"/>
  <c r="B117" i="43"/>
  <c r="A117" i="43"/>
  <c r="B116" i="43"/>
  <c r="A116" i="43"/>
  <c r="B115" i="43"/>
  <c r="A115" i="43"/>
  <c r="B114" i="43"/>
  <c r="A114" i="43"/>
  <c r="B113" i="43"/>
  <c r="A113" i="43"/>
  <c r="B112" i="43"/>
  <c r="A112" i="43"/>
  <c r="B111" i="43"/>
  <c r="A111" i="43"/>
  <c r="B110" i="43"/>
  <c r="A110" i="43"/>
  <c r="B109" i="43"/>
  <c r="A109" i="43"/>
  <c r="B108" i="43"/>
  <c r="A108" i="43"/>
  <c r="B106" i="43"/>
  <c r="A106" i="43"/>
  <c r="B105" i="43"/>
  <c r="A105" i="43"/>
  <c r="B104" i="43"/>
  <c r="A104" i="43"/>
  <c r="B103" i="43"/>
  <c r="A103" i="43"/>
  <c r="B102" i="43"/>
  <c r="A102" i="43"/>
  <c r="B101" i="43"/>
  <c r="A101" i="43"/>
  <c r="B100" i="43"/>
  <c r="A100" i="43"/>
  <c r="B98" i="43"/>
  <c r="A98" i="43"/>
  <c r="B97" i="43"/>
  <c r="A97" i="43"/>
  <c r="B96" i="43"/>
  <c r="A96" i="43"/>
  <c r="B94" i="43"/>
  <c r="A94" i="43"/>
  <c r="B93" i="43"/>
  <c r="A93" i="43"/>
  <c r="B90" i="43"/>
  <c r="A90" i="43"/>
  <c r="B89" i="43"/>
  <c r="A89" i="43"/>
  <c r="B88" i="43"/>
  <c r="A88" i="43"/>
  <c r="B87" i="43"/>
  <c r="A87" i="43"/>
  <c r="B86" i="43"/>
  <c r="A86" i="43"/>
  <c r="B85" i="43"/>
  <c r="A85" i="43"/>
  <c r="B84" i="43"/>
  <c r="A84" i="43"/>
  <c r="B83" i="43"/>
  <c r="A83" i="43"/>
  <c r="B82" i="43"/>
  <c r="A82" i="43"/>
  <c r="B81" i="43"/>
  <c r="A81" i="43"/>
  <c r="B80" i="43"/>
  <c r="A80" i="43"/>
  <c r="B79" i="43"/>
  <c r="A79" i="43"/>
  <c r="B78" i="43"/>
  <c r="A78" i="43"/>
  <c r="B77" i="43"/>
  <c r="A77" i="43"/>
  <c r="B76" i="43"/>
  <c r="A76" i="43"/>
  <c r="B75" i="43"/>
  <c r="A75" i="43"/>
  <c r="B74" i="43"/>
  <c r="A74" i="43"/>
  <c r="B73" i="43"/>
  <c r="A73" i="43"/>
  <c r="B72" i="43"/>
  <c r="A72" i="43"/>
  <c r="B70" i="43"/>
  <c r="A70" i="43"/>
  <c r="B69" i="43"/>
  <c r="A69" i="43"/>
  <c r="B68" i="43"/>
  <c r="A68" i="43"/>
  <c r="B67" i="43"/>
  <c r="A67" i="43"/>
  <c r="B66" i="43"/>
  <c r="A66" i="43"/>
  <c r="B65" i="43"/>
  <c r="A65" i="43"/>
  <c r="B64" i="43"/>
  <c r="A64" i="43"/>
  <c r="B63" i="43"/>
  <c r="A63" i="43"/>
  <c r="B62" i="43"/>
  <c r="A62" i="43"/>
  <c r="B61" i="43"/>
  <c r="A61" i="43"/>
  <c r="B60" i="43"/>
  <c r="A60" i="43"/>
  <c r="B59" i="43"/>
  <c r="A59" i="43"/>
  <c r="B58" i="43"/>
  <c r="A58" i="43"/>
  <c r="B57" i="43"/>
  <c r="A57" i="43"/>
  <c r="B56" i="43"/>
  <c r="A56" i="43"/>
  <c r="B55" i="43"/>
  <c r="A55" i="43"/>
  <c r="B54" i="43"/>
  <c r="A54" i="43"/>
  <c r="B53" i="43"/>
  <c r="A53" i="43"/>
  <c r="B52" i="43"/>
  <c r="A52" i="43"/>
  <c r="B51" i="43"/>
  <c r="A51" i="43"/>
  <c r="B50" i="43"/>
  <c r="A50" i="43"/>
  <c r="B49" i="43"/>
  <c r="A49" i="43"/>
  <c r="B48" i="43"/>
  <c r="A48" i="43"/>
  <c r="B47" i="43"/>
  <c r="A47" i="43"/>
  <c r="B46" i="43"/>
  <c r="A46" i="43"/>
  <c r="B45" i="43"/>
  <c r="A45" i="43"/>
  <c r="B44" i="43"/>
  <c r="A44" i="43"/>
  <c r="B43" i="43"/>
  <c r="A43" i="43"/>
  <c r="B42" i="43"/>
  <c r="A42" i="43"/>
  <c r="B41" i="43"/>
  <c r="A41" i="43"/>
  <c r="B40" i="43"/>
  <c r="A40" i="43"/>
  <c r="B39" i="43"/>
  <c r="A39" i="43"/>
  <c r="B38" i="43"/>
  <c r="A38" i="43"/>
  <c r="B37" i="43"/>
  <c r="A37" i="43"/>
  <c r="B36" i="43"/>
  <c r="A36" i="43"/>
  <c r="B35" i="43"/>
  <c r="A35" i="43"/>
  <c r="B34" i="43"/>
  <c r="A34" i="43"/>
  <c r="B33" i="43"/>
  <c r="A33" i="43"/>
  <c r="B32" i="43"/>
  <c r="A32" i="43"/>
  <c r="B31" i="43"/>
  <c r="A31" i="43"/>
  <c r="B30" i="43"/>
  <c r="A30" i="43"/>
  <c r="B29" i="43"/>
  <c r="A29" i="43"/>
  <c r="B28" i="43"/>
  <c r="A28" i="43"/>
  <c r="B27" i="43"/>
  <c r="A27" i="43"/>
  <c r="B26" i="43"/>
  <c r="A26" i="43"/>
  <c r="B25" i="43"/>
  <c r="A25" i="43"/>
  <c r="B24" i="43"/>
  <c r="A24" i="43"/>
  <c r="B23" i="43"/>
  <c r="A23" i="43"/>
  <c r="B22" i="43"/>
  <c r="A22" i="43"/>
  <c r="B21" i="43"/>
  <c r="A21" i="43"/>
  <c r="C17" i="43"/>
  <c r="D341" i="42"/>
  <c r="C341" i="42"/>
  <c r="A341" i="42"/>
  <c r="C340" i="42"/>
  <c r="A340" i="42"/>
  <c r="D339" i="42"/>
  <c r="C339" i="42"/>
  <c r="A339" i="42"/>
  <c r="D338" i="42"/>
  <c r="C338" i="42"/>
  <c r="A338" i="42"/>
  <c r="D337" i="42"/>
  <c r="C337" i="42"/>
  <c r="A337" i="42"/>
  <c r="C336" i="42"/>
  <c r="A336" i="42"/>
  <c r="D335" i="42"/>
  <c r="C335" i="42"/>
  <c r="A335" i="42"/>
  <c r="C334" i="42"/>
  <c r="A334" i="42"/>
  <c r="C333" i="42"/>
  <c r="A333" i="42"/>
  <c r="D332" i="42"/>
  <c r="C332" i="42"/>
  <c r="A332" i="42"/>
  <c r="C331" i="42"/>
  <c r="A331" i="42"/>
  <c r="C330" i="42"/>
  <c r="A330" i="42"/>
  <c r="C329" i="42"/>
  <c r="A329" i="42"/>
  <c r="C328" i="42"/>
  <c r="A328" i="42"/>
  <c r="D327" i="42"/>
  <c r="C327" i="42"/>
  <c r="A327" i="42"/>
  <c r="C326" i="42"/>
  <c r="A326" i="42"/>
  <c r="C325" i="42"/>
  <c r="A325" i="42"/>
  <c r="C324" i="42"/>
  <c r="A324" i="42"/>
  <c r="C323" i="42"/>
  <c r="A323" i="42"/>
  <c r="C322" i="42"/>
  <c r="A322" i="42"/>
  <c r="C321" i="42"/>
  <c r="A321" i="42"/>
  <c r="C320" i="42"/>
  <c r="A320" i="42"/>
  <c r="C319" i="42"/>
  <c r="A319" i="42"/>
  <c r="C318" i="42"/>
  <c r="A318" i="42"/>
  <c r="C317" i="42"/>
  <c r="A317" i="42"/>
  <c r="C316" i="42"/>
  <c r="A316" i="42"/>
  <c r="C315" i="42"/>
  <c r="A315" i="42"/>
  <c r="C314" i="42"/>
  <c r="A314" i="42"/>
  <c r="C313" i="42"/>
  <c r="A313" i="42"/>
  <c r="C312" i="42"/>
  <c r="A312" i="42"/>
  <c r="C311" i="42"/>
  <c r="A311" i="42"/>
  <c r="C310" i="42"/>
  <c r="A310" i="42"/>
  <c r="C309" i="42"/>
  <c r="A309" i="42"/>
  <c r="C308" i="42"/>
  <c r="A308" i="42"/>
  <c r="C307" i="42"/>
  <c r="A307" i="42"/>
  <c r="C306" i="42"/>
  <c r="A306" i="42"/>
  <c r="C305" i="42"/>
  <c r="A305" i="42"/>
  <c r="C304" i="42"/>
  <c r="A304" i="42"/>
  <c r="C303" i="42"/>
  <c r="A303" i="42"/>
  <c r="C302" i="42"/>
  <c r="A302" i="42"/>
  <c r="C301" i="42"/>
  <c r="A301" i="42"/>
  <c r="C300" i="42"/>
  <c r="A300" i="42"/>
  <c r="D299" i="42"/>
  <c r="C299" i="42"/>
  <c r="A299" i="42"/>
  <c r="C298" i="42"/>
  <c r="A298" i="42"/>
  <c r="C296" i="42"/>
  <c r="A296" i="42"/>
  <c r="C295" i="42"/>
  <c r="A295" i="42"/>
  <c r="C294" i="42"/>
  <c r="A294" i="42"/>
  <c r="C292" i="42"/>
  <c r="A292" i="42"/>
  <c r="C291" i="42"/>
  <c r="A291" i="42"/>
  <c r="D290" i="42"/>
  <c r="C290" i="42"/>
  <c r="A290" i="42"/>
  <c r="C289" i="42"/>
  <c r="A289" i="42"/>
  <c r="C288" i="42"/>
  <c r="A288" i="42"/>
  <c r="C287" i="42"/>
  <c r="A287" i="42"/>
  <c r="C286" i="42"/>
  <c r="A286" i="42"/>
  <c r="C285" i="42"/>
  <c r="A285" i="42"/>
  <c r="C284" i="42"/>
  <c r="A284" i="42"/>
  <c r="C283" i="42"/>
  <c r="A283" i="42"/>
  <c r="C282" i="42"/>
  <c r="A282" i="42"/>
  <c r="C281" i="42"/>
  <c r="A281" i="42"/>
  <c r="C280" i="42"/>
  <c r="A280" i="42"/>
  <c r="C279" i="42"/>
  <c r="A279" i="42"/>
  <c r="C278" i="42"/>
  <c r="A278" i="42"/>
  <c r="C277" i="42"/>
  <c r="A277" i="42"/>
  <c r="C276" i="42"/>
  <c r="A276" i="42"/>
  <c r="C275" i="42"/>
  <c r="A275" i="42"/>
  <c r="C274" i="42"/>
  <c r="A274" i="42"/>
  <c r="C273" i="42"/>
  <c r="A273" i="42"/>
  <c r="C272" i="42"/>
  <c r="A272" i="42"/>
  <c r="C271" i="42"/>
  <c r="A271" i="42"/>
  <c r="C270" i="42"/>
  <c r="A270" i="42"/>
  <c r="C269" i="42"/>
  <c r="A269" i="42"/>
  <c r="C268" i="42"/>
  <c r="A268" i="42"/>
  <c r="C267" i="42"/>
  <c r="A267" i="42"/>
  <c r="C266" i="42"/>
  <c r="A266" i="42"/>
  <c r="C265" i="42"/>
  <c r="A265" i="42"/>
  <c r="C264" i="42"/>
  <c r="A264" i="42"/>
  <c r="C262" i="42"/>
  <c r="A262" i="42"/>
  <c r="C261" i="42"/>
  <c r="A261" i="42"/>
  <c r="C260" i="42"/>
  <c r="A260" i="42"/>
  <c r="D258" i="42"/>
  <c r="C258" i="42"/>
  <c r="A258" i="42"/>
  <c r="C257" i="42"/>
  <c r="A257" i="42"/>
  <c r="C256" i="42"/>
  <c r="A256" i="42"/>
  <c r="C255" i="42"/>
  <c r="A255" i="42"/>
  <c r="C254" i="42"/>
  <c r="A254" i="42"/>
  <c r="C253" i="42"/>
  <c r="A253" i="42"/>
  <c r="C252" i="42"/>
  <c r="A252" i="42"/>
  <c r="D251" i="42"/>
  <c r="C251" i="42"/>
  <c r="A251" i="42"/>
  <c r="C250" i="42"/>
  <c r="A250" i="42"/>
  <c r="D249" i="42"/>
  <c r="C249" i="42"/>
  <c r="A249" i="42"/>
  <c r="C248" i="42"/>
  <c r="A248" i="42"/>
  <c r="C247" i="42"/>
  <c r="A247" i="42"/>
  <c r="C246" i="42"/>
  <c r="A246" i="42"/>
  <c r="C245" i="42"/>
  <c r="A245" i="42"/>
  <c r="C244" i="42"/>
  <c r="A244" i="42"/>
  <c r="C243" i="42"/>
  <c r="A243" i="42"/>
  <c r="C242" i="42"/>
  <c r="A242" i="42"/>
  <c r="C241" i="42"/>
  <c r="A241" i="42"/>
  <c r="C239" i="42"/>
  <c r="A239" i="42"/>
  <c r="C238" i="42"/>
  <c r="A238" i="42"/>
  <c r="C237" i="42"/>
  <c r="A237" i="42"/>
  <c r="C236" i="42"/>
  <c r="A236" i="42"/>
  <c r="C235" i="42"/>
  <c r="A235" i="42"/>
  <c r="C234" i="42"/>
  <c r="A234" i="42"/>
  <c r="C233" i="42"/>
  <c r="A233" i="42"/>
  <c r="C232" i="42"/>
  <c r="A232" i="42"/>
  <c r="C231" i="42"/>
  <c r="A231" i="42"/>
  <c r="C230" i="42"/>
  <c r="A230" i="42"/>
  <c r="C229" i="42"/>
  <c r="A229" i="42"/>
  <c r="C228" i="42"/>
  <c r="A228" i="42"/>
  <c r="C227" i="42"/>
  <c r="A227" i="42"/>
  <c r="D226" i="42"/>
  <c r="C226" i="42"/>
  <c r="A226" i="42"/>
  <c r="C225" i="42"/>
  <c r="A225" i="42"/>
  <c r="C224" i="42"/>
  <c r="A224" i="42"/>
  <c r="C223" i="42"/>
  <c r="A223" i="42"/>
  <c r="C222" i="42"/>
  <c r="A222" i="42"/>
  <c r="C221" i="42"/>
  <c r="B221" i="42"/>
  <c r="A221" i="42"/>
  <c r="C220" i="42"/>
  <c r="A220" i="42"/>
  <c r="C219" i="42"/>
  <c r="A219" i="42"/>
  <c r="C218" i="42"/>
  <c r="A218" i="42"/>
  <c r="C217" i="42"/>
  <c r="A217" i="42"/>
  <c r="C207" i="42"/>
  <c r="A207" i="42"/>
  <c r="C206" i="42"/>
  <c r="A206" i="42"/>
  <c r="C205" i="42"/>
  <c r="A205" i="42"/>
  <c r="C203" i="42"/>
  <c r="A203" i="42"/>
  <c r="C201" i="42"/>
  <c r="A201" i="42"/>
  <c r="C200" i="42"/>
  <c r="A200" i="42"/>
  <c r="C199" i="42"/>
  <c r="A199" i="42"/>
  <c r="C198" i="42"/>
  <c r="A198" i="42"/>
  <c r="C197" i="42"/>
  <c r="A197" i="42"/>
  <c r="C196" i="42"/>
  <c r="A196" i="42"/>
  <c r="D195" i="42"/>
  <c r="C195" i="42"/>
  <c r="B195" i="42"/>
  <c r="A195" i="42"/>
  <c r="C194" i="42"/>
  <c r="A194" i="42"/>
  <c r="C193" i="42"/>
  <c r="A193" i="42"/>
  <c r="C192" i="42"/>
  <c r="A192" i="42"/>
  <c r="C191" i="42"/>
  <c r="A191" i="42"/>
  <c r="C190" i="42"/>
  <c r="A190" i="42"/>
  <c r="C189" i="42"/>
  <c r="A189" i="42"/>
  <c r="C188" i="42"/>
  <c r="A188" i="42"/>
  <c r="C187" i="42"/>
  <c r="A187" i="42"/>
  <c r="C186" i="42"/>
  <c r="A186" i="42"/>
  <c r="C185" i="42"/>
  <c r="A185" i="42"/>
  <c r="C184" i="42"/>
  <c r="A184" i="42"/>
  <c r="C183" i="42"/>
  <c r="A183" i="42"/>
  <c r="C182" i="42"/>
  <c r="A182" i="42"/>
  <c r="C181" i="42"/>
  <c r="A181" i="42"/>
  <c r="D180" i="42"/>
  <c r="C180" i="42"/>
  <c r="A180" i="42"/>
  <c r="D179" i="42"/>
  <c r="C179" i="42"/>
  <c r="A179" i="42"/>
  <c r="C178" i="42"/>
  <c r="A178" i="42"/>
  <c r="D177" i="42"/>
  <c r="C177" i="42"/>
  <c r="A177" i="42"/>
  <c r="D176" i="42"/>
  <c r="C176" i="42"/>
  <c r="A176" i="42"/>
  <c r="C175" i="42"/>
  <c r="A175" i="42"/>
  <c r="C174" i="42"/>
  <c r="A174" i="42"/>
  <c r="C173" i="42"/>
  <c r="A173" i="42"/>
  <c r="C171" i="42"/>
  <c r="A171" i="42"/>
  <c r="C170" i="42"/>
  <c r="A170" i="42"/>
  <c r="C169" i="42"/>
  <c r="A169" i="42"/>
  <c r="C168" i="42"/>
  <c r="A168" i="42"/>
  <c r="C167" i="42"/>
  <c r="A167" i="42"/>
  <c r="C166" i="42"/>
  <c r="A166" i="42"/>
  <c r="D165" i="42"/>
  <c r="C165" i="42"/>
  <c r="A165" i="42"/>
  <c r="C164" i="42"/>
  <c r="A164" i="42"/>
  <c r="C161" i="42"/>
  <c r="A161" i="42"/>
  <c r="C160" i="42"/>
  <c r="A160" i="42"/>
  <c r="C159" i="42"/>
  <c r="A159" i="42"/>
  <c r="C158" i="42"/>
  <c r="A158" i="42"/>
  <c r="C157" i="42"/>
  <c r="A157" i="42"/>
  <c r="C156" i="42"/>
  <c r="A156" i="42"/>
  <c r="C155" i="42"/>
  <c r="A155" i="42"/>
  <c r="C154" i="42"/>
  <c r="A154" i="42"/>
  <c r="C153" i="42"/>
  <c r="A153" i="42"/>
  <c r="C152" i="42"/>
  <c r="A152" i="42"/>
  <c r="C151" i="42"/>
  <c r="A151" i="42"/>
  <c r="C150" i="42"/>
  <c r="A150" i="42"/>
  <c r="C149" i="42"/>
  <c r="A149" i="42"/>
  <c r="C148" i="42"/>
  <c r="A148" i="42"/>
  <c r="C147" i="42"/>
  <c r="A147" i="42"/>
  <c r="C146" i="42"/>
  <c r="A146" i="42"/>
  <c r="C145" i="42"/>
  <c r="A145" i="42"/>
  <c r="C144" i="42"/>
  <c r="A144" i="42"/>
  <c r="C142" i="42"/>
  <c r="A142" i="42"/>
  <c r="C141" i="42"/>
  <c r="A141" i="42"/>
  <c r="C140" i="42"/>
  <c r="A140" i="42"/>
  <c r="C139" i="42"/>
  <c r="A139" i="42"/>
  <c r="C138" i="42"/>
  <c r="A138" i="42"/>
  <c r="C137" i="42"/>
  <c r="A137" i="42"/>
  <c r="C136" i="42"/>
  <c r="A136" i="42"/>
  <c r="C135" i="42"/>
  <c r="A135" i="42"/>
  <c r="C134" i="42"/>
  <c r="A134" i="42"/>
  <c r="C133" i="42"/>
  <c r="A133" i="42"/>
  <c r="C132" i="42"/>
  <c r="A132" i="42"/>
  <c r="C131" i="42"/>
  <c r="A131" i="42"/>
  <c r="C130" i="42"/>
  <c r="A130" i="42"/>
  <c r="C129" i="42"/>
  <c r="A129" i="42"/>
  <c r="C128" i="42"/>
  <c r="A128" i="42"/>
  <c r="C127" i="42"/>
  <c r="A127" i="42"/>
  <c r="C126" i="42"/>
  <c r="A126" i="42"/>
  <c r="C125" i="42"/>
  <c r="A125" i="42"/>
  <c r="D124" i="42"/>
  <c r="C124" i="42"/>
  <c r="A124" i="42"/>
  <c r="C123" i="42"/>
  <c r="A123" i="42"/>
  <c r="C122" i="42"/>
  <c r="A122" i="42"/>
  <c r="C121" i="42"/>
  <c r="A121" i="42"/>
  <c r="C120" i="42"/>
  <c r="A120" i="42"/>
  <c r="C119" i="42"/>
  <c r="A119" i="42"/>
  <c r="C118" i="42"/>
  <c r="A118" i="42"/>
  <c r="C117" i="42"/>
  <c r="A117" i="42"/>
  <c r="C116" i="42"/>
  <c r="A116" i="42"/>
  <c r="C115" i="42"/>
  <c r="A115" i="42"/>
  <c r="C114" i="42"/>
  <c r="A114" i="42"/>
  <c r="C113" i="42"/>
  <c r="A113" i="42"/>
  <c r="C112" i="42"/>
  <c r="A112" i="42"/>
  <c r="C111" i="42"/>
  <c r="A111" i="42"/>
  <c r="C110" i="42"/>
  <c r="A110" i="42"/>
  <c r="C109" i="42"/>
  <c r="A109" i="42"/>
  <c r="C108" i="42"/>
  <c r="A108" i="42"/>
  <c r="D107" i="42"/>
  <c r="C107" i="42"/>
  <c r="A107" i="42"/>
  <c r="C106" i="42"/>
  <c r="A106" i="42"/>
  <c r="C105" i="42"/>
  <c r="A105" i="42"/>
  <c r="C104" i="42"/>
  <c r="A104" i="42"/>
  <c r="C102" i="42"/>
  <c r="A102" i="42"/>
  <c r="C101" i="42"/>
  <c r="A101" i="42"/>
  <c r="C100" i="42"/>
  <c r="A100" i="42"/>
  <c r="C99" i="42"/>
  <c r="A99" i="42"/>
  <c r="C98" i="42"/>
  <c r="A98" i="42"/>
  <c r="C97" i="42"/>
  <c r="A97" i="42"/>
  <c r="C96" i="42"/>
  <c r="A96" i="42"/>
  <c r="C94" i="42"/>
  <c r="A94" i="42"/>
  <c r="C93" i="42"/>
  <c r="A93" i="42"/>
  <c r="C92" i="42"/>
  <c r="A92" i="42"/>
  <c r="C90" i="42"/>
  <c r="A90" i="42"/>
  <c r="C89" i="42"/>
  <c r="A89" i="42"/>
  <c r="D86" i="42"/>
  <c r="C86" i="42"/>
  <c r="A86" i="42"/>
  <c r="C85" i="42"/>
  <c r="A85" i="42"/>
  <c r="C84" i="42"/>
  <c r="A84" i="42"/>
  <c r="C83" i="42"/>
  <c r="A83" i="42"/>
  <c r="C82" i="42"/>
  <c r="A82" i="42"/>
  <c r="C81" i="42"/>
  <c r="A81" i="42"/>
  <c r="C80" i="42"/>
  <c r="A80" i="42"/>
  <c r="C79" i="42"/>
  <c r="A79" i="42"/>
  <c r="C78" i="42"/>
  <c r="A78" i="42"/>
  <c r="C77" i="42"/>
  <c r="A77" i="42"/>
  <c r="C76" i="42"/>
  <c r="A76" i="42"/>
  <c r="C75" i="42"/>
  <c r="A75" i="42"/>
  <c r="C74" i="42"/>
  <c r="A74" i="42"/>
  <c r="C73" i="42"/>
  <c r="A73" i="42"/>
  <c r="C72" i="42"/>
  <c r="A72" i="42"/>
  <c r="C71" i="42"/>
  <c r="A71" i="42"/>
  <c r="C70" i="42"/>
  <c r="A70" i="42"/>
  <c r="C69" i="42"/>
  <c r="A69" i="42"/>
  <c r="C68" i="42"/>
  <c r="A68" i="42"/>
  <c r="C66" i="42"/>
  <c r="A66" i="42"/>
  <c r="C65" i="42"/>
  <c r="A65" i="42"/>
  <c r="C64" i="42"/>
  <c r="A64" i="42"/>
  <c r="C63" i="42"/>
  <c r="A63" i="42"/>
  <c r="C62" i="42"/>
  <c r="A62" i="42"/>
  <c r="C61" i="42"/>
  <c r="A61" i="42"/>
  <c r="C60" i="42"/>
  <c r="A60" i="42"/>
  <c r="C59" i="42"/>
  <c r="A59" i="42"/>
  <c r="C58" i="42"/>
  <c r="A58" i="42"/>
  <c r="C57" i="42"/>
  <c r="A57" i="42"/>
  <c r="C56" i="42"/>
  <c r="A56" i="42"/>
  <c r="C55" i="42"/>
  <c r="A55" i="42"/>
  <c r="C54" i="42"/>
  <c r="A54" i="42"/>
  <c r="C53" i="42"/>
  <c r="A53" i="42"/>
  <c r="C52" i="42"/>
  <c r="A52" i="42"/>
  <c r="C51" i="42"/>
  <c r="A51" i="42"/>
  <c r="C50" i="42"/>
  <c r="A50" i="42"/>
  <c r="C49" i="42"/>
  <c r="A49" i="42"/>
  <c r="C48" i="42"/>
  <c r="A48" i="42"/>
  <c r="C47" i="42"/>
  <c r="A47" i="42"/>
  <c r="C46" i="42"/>
  <c r="A46" i="42"/>
  <c r="C45" i="42"/>
  <c r="A45" i="42"/>
  <c r="C44" i="42"/>
  <c r="A44" i="42"/>
  <c r="C43" i="42"/>
  <c r="A43" i="42"/>
  <c r="C42" i="42"/>
  <c r="A42" i="42"/>
  <c r="C41" i="42"/>
  <c r="A41" i="42"/>
  <c r="C40" i="42"/>
  <c r="A40" i="42"/>
  <c r="C39" i="42"/>
  <c r="A39" i="42"/>
  <c r="C38" i="42"/>
  <c r="A38" i="42"/>
  <c r="C37" i="42"/>
  <c r="A37" i="42"/>
  <c r="C36" i="42"/>
  <c r="A36" i="42"/>
  <c r="C35" i="42"/>
  <c r="A35" i="42"/>
  <c r="C34" i="42"/>
  <c r="A34" i="42"/>
  <c r="C33" i="42"/>
  <c r="A33" i="42"/>
  <c r="C32" i="42"/>
  <c r="A32" i="42"/>
  <c r="C31" i="42"/>
  <c r="A31" i="42"/>
  <c r="C30" i="42"/>
  <c r="A30" i="42"/>
  <c r="C29" i="42"/>
  <c r="A29" i="42"/>
  <c r="C28" i="42"/>
  <c r="A28" i="42"/>
  <c r="C27" i="42"/>
  <c r="A27" i="42"/>
  <c r="C26" i="42"/>
  <c r="A26" i="42"/>
  <c r="C25" i="42"/>
  <c r="A25" i="42"/>
  <c r="C24" i="42"/>
  <c r="A24" i="42"/>
  <c r="C23" i="42"/>
  <c r="A23" i="42"/>
  <c r="C22" i="42"/>
  <c r="A22" i="42"/>
  <c r="C21" i="42"/>
  <c r="A21" i="42"/>
  <c r="C20" i="42"/>
  <c r="A20" i="42"/>
  <c r="C19" i="42"/>
  <c r="A19" i="42"/>
  <c r="C18" i="42"/>
  <c r="A18" i="42"/>
  <c r="C17" i="42"/>
  <c r="A17" i="42"/>
  <c r="B345" i="41"/>
  <c r="A345" i="41"/>
  <c r="B344" i="41"/>
  <c r="A344" i="41"/>
  <c r="B343" i="41"/>
  <c r="A343" i="41"/>
  <c r="B342" i="41"/>
  <c r="A342" i="41"/>
  <c r="B341" i="41"/>
  <c r="A341" i="41"/>
  <c r="B340" i="41"/>
  <c r="A340" i="41"/>
  <c r="B339" i="41"/>
  <c r="A339" i="41"/>
  <c r="B338" i="41"/>
  <c r="A338" i="41"/>
  <c r="B337" i="41"/>
  <c r="A337" i="41"/>
  <c r="B336" i="41"/>
  <c r="A336" i="41"/>
  <c r="B335" i="41"/>
  <c r="A335" i="41"/>
  <c r="B334" i="41"/>
  <c r="A334" i="41"/>
  <c r="B333" i="41"/>
  <c r="A333" i="41"/>
  <c r="B332" i="41"/>
  <c r="A332" i="41"/>
  <c r="B331" i="41"/>
  <c r="A331" i="41"/>
  <c r="B330" i="41"/>
  <c r="A330" i="41"/>
  <c r="B329" i="41"/>
  <c r="A329" i="41"/>
  <c r="B328" i="41"/>
  <c r="A328" i="41"/>
  <c r="B327" i="41"/>
  <c r="A327" i="41"/>
  <c r="B326" i="41"/>
  <c r="A326" i="41"/>
  <c r="B325" i="41"/>
  <c r="A325" i="41"/>
  <c r="B324" i="41"/>
  <c r="A324" i="41"/>
  <c r="B323" i="41"/>
  <c r="A323" i="41"/>
  <c r="B322" i="41"/>
  <c r="A322" i="41"/>
  <c r="B321" i="41"/>
  <c r="A321" i="41"/>
  <c r="B320" i="41"/>
  <c r="A320" i="41"/>
  <c r="B319" i="41"/>
  <c r="A319" i="41"/>
  <c r="B318" i="41"/>
  <c r="A318" i="41"/>
  <c r="B317" i="41"/>
  <c r="A317" i="41"/>
  <c r="B316" i="41"/>
  <c r="A316" i="41"/>
  <c r="B315" i="41"/>
  <c r="A315" i="41"/>
  <c r="B314" i="41"/>
  <c r="A314" i="41"/>
  <c r="B313" i="41"/>
  <c r="A313" i="41"/>
  <c r="B312" i="41"/>
  <c r="A312" i="41"/>
  <c r="B311" i="41"/>
  <c r="A311" i="41"/>
  <c r="B310" i="41"/>
  <c r="A310" i="41"/>
  <c r="B309" i="41"/>
  <c r="A309" i="41"/>
  <c r="B308" i="41"/>
  <c r="A308" i="41"/>
  <c r="B307" i="41"/>
  <c r="A307" i="41"/>
  <c r="B306" i="41"/>
  <c r="A306" i="41"/>
  <c r="B305" i="41"/>
  <c r="A305" i="41"/>
  <c r="B304" i="41"/>
  <c r="A304" i="41"/>
  <c r="B303" i="41"/>
  <c r="A303" i="41"/>
  <c r="B302" i="41"/>
  <c r="A302" i="41"/>
  <c r="B300" i="41"/>
  <c r="A300" i="41"/>
  <c r="B299" i="41"/>
  <c r="A299" i="41"/>
  <c r="B298" i="41"/>
  <c r="A298" i="41"/>
  <c r="B296" i="41"/>
  <c r="A296" i="41"/>
  <c r="B295" i="41"/>
  <c r="A295" i="41"/>
  <c r="B294" i="41"/>
  <c r="A294" i="41"/>
  <c r="B293" i="41"/>
  <c r="A293" i="41"/>
  <c r="B292" i="41"/>
  <c r="A292" i="41"/>
  <c r="B291" i="41"/>
  <c r="A291" i="41"/>
  <c r="B290" i="41"/>
  <c r="A290" i="41"/>
  <c r="B289" i="41"/>
  <c r="A289" i="41"/>
  <c r="B288" i="41"/>
  <c r="A288" i="41"/>
  <c r="B287" i="41"/>
  <c r="A287" i="41"/>
  <c r="B286" i="41"/>
  <c r="A286" i="41"/>
  <c r="B285" i="41"/>
  <c r="A285" i="41"/>
  <c r="B284" i="41"/>
  <c r="A284" i="41"/>
  <c r="B283" i="41"/>
  <c r="A283" i="41"/>
  <c r="B282" i="41"/>
  <c r="A282" i="41"/>
  <c r="B281" i="41"/>
  <c r="A281" i="41"/>
  <c r="B280" i="41"/>
  <c r="A280" i="41"/>
  <c r="B279" i="41"/>
  <c r="A279" i="41"/>
  <c r="B278" i="41"/>
  <c r="A278" i="41"/>
  <c r="B277" i="41"/>
  <c r="A277" i="41"/>
  <c r="B276" i="41"/>
  <c r="A276" i="41"/>
  <c r="B275" i="41"/>
  <c r="A275" i="41"/>
  <c r="B274" i="41"/>
  <c r="A274" i="41"/>
  <c r="B273" i="41"/>
  <c r="A273" i="41"/>
  <c r="B272" i="41"/>
  <c r="A272" i="41"/>
  <c r="B271" i="41"/>
  <c r="A271" i="41"/>
  <c r="B270" i="41"/>
  <c r="A270" i="41"/>
  <c r="B269" i="41"/>
  <c r="A269" i="41"/>
  <c r="B268" i="41"/>
  <c r="A268" i="41"/>
  <c r="B266" i="41"/>
  <c r="A266" i="41"/>
  <c r="B265" i="41"/>
  <c r="A265" i="41"/>
  <c r="B264" i="41"/>
  <c r="A264" i="41"/>
  <c r="B262" i="41"/>
  <c r="A262" i="41"/>
  <c r="B261" i="41"/>
  <c r="A261" i="41"/>
  <c r="B260" i="41"/>
  <c r="A260" i="41"/>
  <c r="B259" i="41"/>
  <c r="A259" i="41"/>
  <c r="B258" i="41"/>
  <c r="A258" i="41"/>
  <c r="B257" i="41"/>
  <c r="A257" i="41"/>
  <c r="B256" i="41"/>
  <c r="A256" i="41"/>
  <c r="B255" i="41"/>
  <c r="A255" i="41"/>
  <c r="B254" i="41"/>
  <c r="A254" i="41"/>
  <c r="B253" i="41"/>
  <c r="A253" i="41"/>
  <c r="B252" i="41"/>
  <c r="A252" i="41"/>
  <c r="B251" i="41"/>
  <c r="A251" i="41"/>
  <c r="B250" i="41"/>
  <c r="A250" i="41"/>
  <c r="B249" i="41"/>
  <c r="A249" i="41"/>
  <c r="B248" i="41"/>
  <c r="A248" i="41"/>
  <c r="B247" i="41"/>
  <c r="A247" i="41"/>
  <c r="B246" i="41"/>
  <c r="A246" i="41"/>
  <c r="B245" i="41"/>
  <c r="A245" i="41"/>
  <c r="B243" i="41"/>
  <c r="A243" i="41"/>
  <c r="B242" i="41"/>
  <c r="A242" i="41"/>
  <c r="B241" i="41"/>
  <c r="A241" i="41"/>
  <c r="B240" i="41"/>
  <c r="A240" i="41"/>
  <c r="B239" i="41"/>
  <c r="A239" i="41"/>
  <c r="B238" i="41"/>
  <c r="A238" i="41"/>
  <c r="B237" i="41"/>
  <c r="A237" i="41"/>
  <c r="B236" i="41"/>
  <c r="A236" i="41"/>
  <c r="B235" i="41"/>
  <c r="A235" i="41"/>
  <c r="B234" i="41"/>
  <c r="A234" i="41"/>
  <c r="B233" i="41"/>
  <c r="A233" i="41"/>
  <c r="B232" i="41"/>
  <c r="A232" i="41"/>
  <c r="B231" i="41"/>
  <c r="A231" i="41"/>
  <c r="B230" i="41"/>
  <c r="A230" i="41"/>
  <c r="B229" i="41"/>
  <c r="A229" i="41"/>
  <c r="B228" i="41"/>
  <c r="A228" i="41"/>
  <c r="B227" i="41"/>
  <c r="A227" i="41"/>
  <c r="B226" i="41"/>
  <c r="A226" i="41"/>
  <c r="C225" i="41"/>
  <c r="B225" i="41"/>
  <c r="A225" i="41"/>
  <c r="B224" i="41"/>
  <c r="A224" i="41"/>
  <c r="B223" i="41"/>
  <c r="A223" i="41"/>
  <c r="B222" i="41"/>
  <c r="A222" i="41"/>
  <c r="B221" i="41"/>
  <c r="A221" i="41"/>
  <c r="B211" i="41"/>
  <c r="A211" i="41"/>
  <c r="B210" i="41"/>
  <c r="A210" i="41"/>
  <c r="B209" i="41"/>
  <c r="A209" i="41"/>
  <c r="B207" i="41"/>
  <c r="A207" i="41"/>
  <c r="B205" i="41"/>
  <c r="A205" i="41"/>
  <c r="B204" i="41"/>
  <c r="A204" i="41"/>
  <c r="B203" i="41"/>
  <c r="A203" i="41"/>
  <c r="B202" i="41"/>
  <c r="A202" i="41"/>
  <c r="B201" i="41"/>
  <c r="A201" i="41"/>
  <c r="B200" i="41"/>
  <c r="A200" i="41"/>
  <c r="C199" i="41"/>
  <c r="B199" i="41"/>
  <c r="A199" i="41"/>
  <c r="B198" i="41"/>
  <c r="A198" i="41"/>
  <c r="B197" i="41"/>
  <c r="A197" i="41"/>
  <c r="B196" i="41"/>
  <c r="A196" i="41"/>
  <c r="B195" i="41"/>
  <c r="A195" i="41"/>
  <c r="B194" i="41"/>
  <c r="A194" i="41"/>
  <c r="B193" i="41"/>
  <c r="A193" i="41"/>
  <c r="B192" i="41"/>
  <c r="A192" i="41"/>
  <c r="B191" i="41"/>
  <c r="A191" i="41"/>
  <c r="B190" i="41"/>
  <c r="A190" i="41"/>
  <c r="B189" i="41"/>
  <c r="A189" i="41"/>
  <c r="B188" i="41"/>
  <c r="A188" i="41"/>
  <c r="B187" i="41"/>
  <c r="A187" i="41"/>
  <c r="B186" i="41"/>
  <c r="A186" i="41"/>
  <c r="B185" i="41"/>
  <c r="A185" i="41"/>
  <c r="B184" i="41"/>
  <c r="A184" i="41"/>
  <c r="B183" i="41"/>
  <c r="A183" i="41"/>
  <c r="B182" i="41"/>
  <c r="A182" i="41"/>
  <c r="B181" i="41"/>
  <c r="A181" i="41"/>
  <c r="B180" i="41"/>
  <c r="A180" i="41"/>
  <c r="B179" i="41"/>
  <c r="A179" i="41"/>
  <c r="B178" i="41"/>
  <c r="A178" i="41"/>
  <c r="B177" i="41"/>
  <c r="A177" i="41"/>
  <c r="B175" i="41"/>
  <c r="A175" i="41"/>
  <c r="B174" i="41"/>
  <c r="A174" i="41"/>
  <c r="B173" i="41"/>
  <c r="A173" i="41"/>
  <c r="B172" i="41"/>
  <c r="A172" i="41"/>
  <c r="B171" i="41"/>
  <c r="A171" i="41"/>
  <c r="B170" i="41"/>
  <c r="A170" i="41"/>
  <c r="B169" i="41"/>
  <c r="A169" i="41"/>
  <c r="B168" i="41"/>
  <c r="A168" i="41"/>
  <c r="B165" i="41"/>
  <c r="A165" i="41"/>
  <c r="B164" i="41"/>
  <c r="A164" i="41"/>
  <c r="B163" i="41"/>
  <c r="A163" i="41"/>
  <c r="B162" i="41"/>
  <c r="A162" i="41"/>
  <c r="B161" i="41"/>
  <c r="A161" i="41"/>
  <c r="B160" i="41"/>
  <c r="A160" i="41"/>
  <c r="B159" i="41"/>
  <c r="A159" i="41"/>
  <c r="B158" i="41"/>
  <c r="A158" i="41"/>
  <c r="B157" i="41"/>
  <c r="A157" i="41"/>
  <c r="B156" i="41"/>
  <c r="A156" i="41"/>
  <c r="B155" i="41"/>
  <c r="A155" i="41"/>
  <c r="B154" i="41"/>
  <c r="A154" i="41"/>
  <c r="B153" i="41"/>
  <c r="A153" i="41"/>
  <c r="B152" i="41"/>
  <c r="A152" i="41"/>
  <c r="B151" i="41"/>
  <c r="A151" i="41"/>
  <c r="B150" i="41"/>
  <c r="A150" i="41"/>
  <c r="B149" i="41"/>
  <c r="A149" i="41"/>
  <c r="B148" i="41"/>
  <c r="A148" i="41"/>
  <c r="B146" i="41"/>
  <c r="A146" i="41"/>
  <c r="B145" i="41"/>
  <c r="A145" i="41"/>
  <c r="B144" i="41"/>
  <c r="A144" i="41"/>
  <c r="B143" i="41"/>
  <c r="A143" i="41"/>
  <c r="B142" i="41"/>
  <c r="A142" i="41"/>
  <c r="B141" i="41"/>
  <c r="A141" i="41"/>
  <c r="B140" i="41"/>
  <c r="A140" i="41"/>
  <c r="B139" i="41"/>
  <c r="A139" i="41"/>
  <c r="B138" i="41"/>
  <c r="A138" i="41"/>
  <c r="B137" i="41"/>
  <c r="A137" i="41"/>
  <c r="B136" i="41"/>
  <c r="A136" i="41"/>
  <c r="B135" i="41"/>
  <c r="A135" i="41"/>
  <c r="B134" i="41"/>
  <c r="A134" i="41"/>
  <c r="B133" i="41"/>
  <c r="A133" i="41"/>
  <c r="B132" i="41"/>
  <c r="A132" i="41"/>
  <c r="B131" i="41"/>
  <c r="A131" i="41"/>
  <c r="B130" i="41"/>
  <c r="A130" i="41"/>
  <c r="B129" i="41"/>
  <c r="A129" i="41"/>
  <c r="B128" i="41"/>
  <c r="A128" i="41"/>
  <c r="B127" i="41"/>
  <c r="A127" i="41"/>
  <c r="B126" i="41"/>
  <c r="A126" i="41"/>
  <c r="B125" i="41"/>
  <c r="A125" i="41"/>
  <c r="B124" i="41"/>
  <c r="A124" i="41"/>
  <c r="B123" i="41"/>
  <c r="A123" i="41"/>
  <c r="B122" i="41"/>
  <c r="A122" i="41"/>
  <c r="B121" i="41"/>
  <c r="A121" i="41"/>
  <c r="B120" i="41"/>
  <c r="A120" i="41"/>
  <c r="B119" i="41"/>
  <c r="A119" i="41"/>
  <c r="B118" i="41"/>
  <c r="A118" i="41"/>
  <c r="B117" i="41"/>
  <c r="A117" i="41"/>
  <c r="B116" i="41"/>
  <c r="A116" i="41"/>
  <c r="B115" i="41"/>
  <c r="A115" i="41"/>
  <c r="B114" i="41"/>
  <c r="A114" i="41"/>
  <c r="B113" i="41"/>
  <c r="A113" i="41"/>
  <c r="B112" i="41"/>
  <c r="A112" i="41"/>
  <c r="B111" i="41"/>
  <c r="A111" i="41"/>
  <c r="B110" i="41"/>
  <c r="A110" i="41"/>
  <c r="B109" i="41"/>
  <c r="A109" i="41"/>
  <c r="B108" i="41"/>
  <c r="A108" i="41"/>
  <c r="B106" i="41"/>
  <c r="A106" i="41"/>
  <c r="B105" i="41"/>
  <c r="A105" i="41"/>
  <c r="B104" i="41"/>
  <c r="A104" i="41"/>
  <c r="B103" i="41"/>
  <c r="A103" i="41"/>
  <c r="B102" i="41"/>
  <c r="A102" i="41"/>
  <c r="B101" i="41"/>
  <c r="A101" i="41"/>
  <c r="B100" i="41"/>
  <c r="A100" i="41"/>
  <c r="B98" i="41"/>
  <c r="A98" i="41"/>
  <c r="B97" i="41"/>
  <c r="A97" i="41"/>
  <c r="B96" i="41"/>
  <c r="A96" i="41"/>
  <c r="B94" i="41"/>
  <c r="A94" i="41"/>
  <c r="B93" i="41"/>
  <c r="A93" i="41"/>
  <c r="B90" i="41"/>
  <c r="A90" i="41"/>
  <c r="B89" i="41"/>
  <c r="A89" i="41"/>
  <c r="B88" i="41"/>
  <c r="A88" i="41"/>
  <c r="B87" i="41"/>
  <c r="A87" i="41"/>
  <c r="B86" i="41"/>
  <c r="A86" i="41"/>
  <c r="B85" i="41"/>
  <c r="A85" i="41"/>
  <c r="B84" i="41"/>
  <c r="A84" i="41"/>
  <c r="B83" i="41"/>
  <c r="A83" i="41"/>
  <c r="B82" i="41"/>
  <c r="A82" i="41"/>
  <c r="B81" i="41"/>
  <c r="A81" i="41"/>
  <c r="B80" i="41"/>
  <c r="A80" i="41"/>
  <c r="B79" i="41"/>
  <c r="A79" i="41"/>
  <c r="B78" i="41"/>
  <c r="A78" i="41"/>
  <c r="B77" i="41"/>
  <c r="A77" i="41"/>
  <c r="B76" i="41"/>
  <c r="A76" i="41"/>
  <c r="B75" i="41"/>
  <c r="A75" i="41"/>
  <c r="B74" i="41"/>
  <c r="A74" i="41"/>
  <c r="B73" i="41"/>
  <c r="A73" i="41"/>
  <c r="B72" i="41"/>
  <c r="A72" i="41"/>
  <c r="B70" i="41"/>
  <c r="A70" i="41"/>
  <c r="B69" i="41"/>
  <c r="A69" i="41"/>
  <c r="B68" i="41"/>
  <c r="A68" i="41"/>
  <c r="B67" i="41"/>
  <c r="A67" i="41"/>
  <c r="B66" i="41"/>
  <c r="A66" i="41"/>
  <c r="B65" i="41"/>
  <c r="A65" i="41"/>
  <c r="B64" i="41"/>
  <c r="A64" i="41"/>
  <c r="B63" i="41"/>
  <c r="A63" i="41"/>
  <c r="B62" i="41"/>
  <c r="A62" i="41"/>
  <c r="B61" i="41"/>
  <c r="A61" i="41"/>
  <c r="B60" i="41"/>
  <c r="A60" i="41"/>
  <c r="B59" i="41"/>
  <c r="A59" i="41"/>
  <c r="B58" i="41"/>
  <c r="A58" i="41"/>
  <c r="B57" i="41"/>
  <c r="A57" i="41"/>
  <c r="B56" i="41"/>
  <c r="A56" i="41"/>
  <c r="B55" i="41"/>
  <c r="A55" i="41"/>
  <c r="B54" i="41"/>
  <c r="A54" i="41"/>
  <c r="B53" i="41"/>
  <c r="A53" i="41"/>
  <c r="B52" i="41"/>
  <c r="A52" i="41"/>
  <c r="B51" i="41"/>
  <c r="A51" i="41"/>
  <c r="B50" i="41"/>
  <c r="A50" i="41"/>
  <c r="B49" i="41"/>
  <c r="A49" i="41"/>
  <c r="B48" i="41"/>
  <c r="A48" i="41"/>
  <c r="B47" i="41"/>
  <c r="A47" i="41"/>
  <c r="B46" i="41"/>
  <c r="A46" i="41"/>
  <c r="B45" i="41"/>
  <c r="A45" i="41"/>
  <c r="B44" i="41"/>
  <c r="A44" i="41"/>
  <c r="B43" i="41"/>
  <c r="A43" i="41"/>
  <c r="B42" i="41"/>
  <c r="A42" i="41"/>
  <c r="B41" i="41"/>
  <c r="A41" i="41"/>
  <c r="B40" i="41"/>
  <c r="A40" i="41"/>
  <c r="B39" i="41"/>
  <c r="A39" i="41"/>
  <c r="B38" i="41"/>
  <c r="A38" i="41"/>
  <c r="B37" i="41"/>
  <c r="A37" i="41"/>
  <c r="B36" i="41"/>
  <c r="A36" i="41"/>
  <c r="B35" i="41"/>
  <c r="A35" i="41"/>
  <c r="B34" i="41"/>
  <c r="A34" i="41"/>
  <c r="B33" i="41"/>
  <c r="A33" i="41"/>
  <c r="B32" i="41"/>
  <c r="A32" i="41"/>
  <c r="B31" i="41"/>
  <c r="A31" i="41"/>
  <c r="B30" i="41"/>
  <c r="A30" i="41"/>
  <c r="B29" i="41"/>
  <c r="A29" i="41"/>
  <c r="B28" i="41"/>
  <c r="A28" i="41"/>
  <c r="B27" i="41"/>
  <c r="A27" i="41"/>
  <c r="B26" i="41"/>
  <c r="A26" i="41"/>
  <c r="B25" i="41"/>
  <c r="A25" i="41"/>
  <c r="B24" i="41"/>
  <c r="A24" i="41"/>
  <c r="B23" i="41"/>
  <c r="A23" i="41"/>
  <c r="B22" i="41"/>
  <c r="A22" i="41"/>
  <c r="B21" i="41"/>
  <c r="A21" i="41"/>
  <c r="C17" i="41"/>
  <c r="D341" i="40"/>
  <c r="C341" i="40"/>
  <c r="A341" i="40"/>
  <c r="C340" i="40"/>
  <c r="A340" i="40"/>
  <c r="D339" i="40"/>
  <c r="C339" i="40"/>
  <c r="A339" i="40"/>
  <c r="D338" i="40"/>
  <c r="C338" i="40"/>
  <c r="A338" i="40"/>
  <c r="D337" i="40"/>
  <c r="C337" i="40"/>
  <c r="A337" i="40"/>
  <c r="C336" i="40"/>
  <c r="A336" i="40"/>
  <c r="D335" i="40"/>
  <c r="C335" i="40"/>
  <c r="A335" i="40"/>
  <c r="C334" i="40"/>
  <c r="A334" i="40"/>
  <c r="C333" i="40"/>
  <c r="A333" i="40"/>
  <c r="D332" i="40"/>
  <c r="C332" i="40"/>
  <c r="A332" i="40"/>
  <c r="C331" i="40"/>
  <c r="A331" i="40"/>
  <c r="C330" i="40"/>
  <c r="A330" i="40"/>
  <c r="C329" i="40"/>
  <c r="A329" i="40"/>
  <c r="C328" i="40"/>
  <c r="A328" i="40"/>
  <c r="D327" i="40"/>
  <c r="C327" i="40"/>
  <c r="A327" i="40"/>
  <c r="C326" i="40"/>
  <c r="A326" i="40"/>
  <c r="C325" i="40"/>
  <c r="A325" i="40"/>
  <c r="C324" i="40"/>
  <c r="A324" i="40"/>
  <c r="C323" i="40"/>
  <c r="A323" i="40"/>
  <c r="C322" i="40"/>
  <c r="A322" i="40"/>
  <c r="C321" i="40"/>
  <c r="A321" i="40"/>
  <c r="C320" i="40"/>
  <c r="A320" i="40"/>
  <c r="C319" i="40"/>
  <c r="A319" i="40"/>
  <c r="C318" i="40"/>
  <c r="A318" i="40"/>
  <c r="C317" i="40"/>
  <c r="A317" i="40"/>
  <c r="C316" i="40"/>
  <c r="A316" i="40"/>
  <c r="C315" i="40"/>
  <c r="A315" i="40"/>
  <c r="C314" i="40"/>
  <c r="A314" i="40"/>
  <c r="C313" i="40"/>
  <c r="A313" i="40"/>
  <c r="C312" i="40"/>
  <c r="A312" i="40"/>
  <c r="C311" i="40"/>
  <c r="A311" i="40"/>
  <c r="C310" i="40"/>
  <c r="A310" i="40"/>
  <c r="C309" i="40"/>
  <c r="A309" i="40"/>
  <c r="C308" i="40"/>
  <c r="A308" i="40"/>
  <c r="C307" i="40"/>
  <c r="A307" i="40"/>
  <c r="C306" i="40"/>
  <c r="A306" i="40"/>
  <c r="C305" i="40"/>
  <c r="A305" i="40"/>
  <c r="C304" i="40"/>
  <c r="A304" i="40"/>
  <c r="C303" i="40"/>
  <c r="A303" i="40"/>
  <c r="C302" i="40"/>
  <c r="A302" i="40"/>
  <c r="C301" i="40"/>
  <c r="A301" i="40"/>
  <c r="C300" i="40"/>
  <c r="A300" i="40"/>
  <c r="D299" i="40"/>
  <c r="C299" i="40"/>
  <c r="A299" i="40"/>
  <c r="C298" i="40"/>
  <c r="A298" i="40"/>
  <c r="C296" i="40"/>
  <c r="A296" i="40"/>
  <c r="C295" i="40"/>
  <c r="A295" i="40"/>
  <c r="C294" i="40"/>
  <c r="A294" i="40"/>
  <c r="C292" i="40"/>
  <c r="A292" i="40"/>
  <c r="C291" i="40"/>
  <c r="A291" i="40"/>
  <c r="D290" i="40"/>
  <c r="C290" i="40"/>
  <c r="A290" i="40"/>
  <c r="C289" i="40"/>
  <c r="A289" i="40"/>
  <c r="C288" i="40"/>
  <c r="A288" i="40"/>
  <c r="C287" i="40"/>
  <c r="A287" i="40"/>
  <c r="C286" i="40"/>
  <c r="A286" i="40"/>
  <c r="C285" i="40"/>
  <c r="A285" i="40"/>
  <c r="C284" i="40"/>
  <c r="A284" i="40"/>
  <c r="C283" i="40"/>
  <c r="A283" i="40"/>
  <c r="C282" i="40"/>
  <c r="A282" i="40"/>
  <c r="C281" i="40"/>
  <c r="A281" i="40"/>
  <c r="C280" i="40"/>
  <c r="A280" i="40"/>
  <c r="C279" i="40"/>
  <c r="A279" i="40"/>
  <c r="C278" i="40"/>
  <c r="A278" i="40"/>
  <c r="C277" i="40"/>
  <c r="A277" i="40"/>
  <c r="C276" i="40"/>
  <c r="A276" i="40"/>
  <c r="C275" i="40"/>
  <c r="A275" i="40"/>
  <c r="C274" i="40"/>
  <c r="A274" i="40"/>
  <c r="C273" i="40"/>
  <c r="A273" i="40"/>
  <c r="C272" i="40"/>
  <c r="A272" i="40"/>
  <c r="C271" i="40"/>
  <c r="A271" i="40"/>
  <c r="C270" i="40"/>
  <c r="A270" i="40"/>
  <c r="C269" i="40"/>
  <c r="A269" i="40"/>
  <c r="C268" i="40"/>
  <c r="A268" i="40"/>
  <c r="C267" i="40"/>
  <c r="A267" i="40"/>
  <c r="C266" i="40"/>
  <c r="A266" i="40"/>
  <c r="C265" i="40"/>
  <c r="A265" i="40"/>
  <c r="C264" i="40"/>
  <c r="A264" i="40"/>
  <c r="C262" i="40"/>
  <c r="A262" i="40"/>
  <c r="C261" i="40"/>
  <c r="A261" i="40"/>
  <c r="C260" i="40"/>
  <c r="A260" i="40"/>
  <c r="D258" i="40"/>
  <c r="C258" i="40"/>
  <c r="A258" i="40"/>
  <c r="C257" i="40"/>
  <c r="A257" i="40"/>
  <c r="C256" i="40"/>
  <c r="A256" i="40"/>
  <c r="C255" i="40"/>
  <c r="A255" i="40"/>
  <c r="C254" i="40"/>
  <c r="A254" i="40"/>
  <c r="C253" i="40"/>
  <c r="A253" i="40"/>
  <c r="C252" i="40"/>
  <c r="A252" i="40"/>
  <c r="D251" i="40"/>
  <c r="C251" i="40"/>
  <c r="A251" i="40"/>
  <c r="C250" i="40"/>
  <c r="A250" i="40"/>
  <c r="D249" i="40"/>
  <c r="C249" i="40"/>
  <c r="A249" i="40"/>
  <c r="C248" i="40"/>
  <c r="A248" i="40"/>
  <c r="C247" i="40"/>
  <c r="A247" i="40"/>
  <c r="C246" i="40"/>
  <c r="A246" i="40"/>
  <c r="C245" i="40"/>
  <c r="A245" i="40"/>
  <c r="C244" i="40"/>
  <c r="A244" i="40"/>
  <c r="C243" i="40"/>
  <c r="A243" i="40"/>
  <c r="C242" i="40"/>
  <c r="A242" i="40"/>
  <c r="C241" i="40"/>
  <c r="A241" i="40"/>
  <c r="C239" i="40"/>
  <c r="A239" i="40"/>
  <c r="C238" i="40"/>
  <c r="A238" i="40"/>
  <c r="C237" i="40"/>
  <c r="A237" i="40"/>
  <c r="C236" i="40"/>
  <c r="A236" i="40"/>
  <c r="C235" i="40"/>
  <c r="A235" i="40"/>
  <c r="C234" i="40"/>
  <c r="A234" i="40"/>
  <c r="C233" i="40"/>
  <c r="A233" i="40"/>
  <c r="C232" i="40"/>
  <c r="A232" i="40"/>
  <c r="C231" i="40"/>
  <c r="A231" i="40"/>
  <c r="C230" i="40"/>
  <c r="A230" i="40"/>
  <c r="C229" i="40"/>
  <c r="A229" i="40"/>
  <c r="C228" i="40"/>
  <c r="A228" i="40"/>
  <c r="C227" i="40"/>
  <c r="A227" i="40"/>
  <c r="D226" i="40"/>
  <c r="C226" i="40"/>
  <c r="A226" i="40"/>
  <c r="C225" i="40"/>
  <c r="A225" i="40"/>
  <c r="C224" i="40"/>
  <c r="A224" i="40"/>
  <c r="C223" i="40"/>
  <c r="A223" i="40"/>
  <c r="C222" i="40"/>
  <c r="A222" i="40"/>
  <c r="C221" i="40"/>
  <c r="B221" i="40"/>
  <c r="A221" i="40"/>
  <c r="C220" i="40"/>
  <c r="A220" i="40"/>
  <c r="C219" i="40"/>
  <c r="A219" i="40"/>
  <c r="C218" i="40"/>
  <c r="A218" i="40"/>
  <c r="C217" i="40"/>
  <c r="A217" i="40"/>
  <c r="C207" i="40"/>
  <c r="A207" i="40"/>
  <c r="C206" i="40"/>
  <c r="A206" i="40"/>
  <c r="C205" i="40"/>
  <c r="A205" i="40"/>
  <c r="C203" i="40"/>
  <c r="A203" i="40"/>
  <c r="C201" i="40"/>
  <c r="A201" i="40"/>
  <c r="C200" i="40"/>
  <c r="A200" i="40"/>
  <c r="C199" i="40"/>
  <c r="A199" i="40"/>
  <c r="C198" i="40"/>
  <c r="A198" i="40"/>
  <c r="C197" i="40"/>
  <c r="A197" i="40"/>
  <c r="C196" i="40"/>
  <c r="A196" i="40"/>
  <c r="D195" i="40"/>
  <c r="C195" i="40"/>
  <c r="B195" i="40"/>
  <c r="A195" i="40"/>
  <c r="C194" i="40"/>
  <c r="A194" i="40"/>
  <c r="C193" i="40"/>
  <c r="A193" i="40"/>
  <c r="C192" i="40"/>
  <c r="A192" i="40"/>
  <c r="C191" i="40"/>
  <c r="A191" i="40"/>
  <c r="C190" i="40"/>
  <c r="A190" i="40"/>
  <c r="C189" i="40"/>
  <c r="A189" i="40"/>
  <c r="C188" i="40"/>
  <c r="A188" i="40"/>
  <c r="C187" i="40"/>
  <c r="A187" i="40"/>
  <c r="C186" i="40"/>
  <c r="A186" i="40"/>
  <c r="C185" i="40"/>
  <c r="A185" i="40"/>
  <c r="C184" i="40"/>
  <c r="A184" i="40"/>
  <c r="C183" i="40"/>
  <c r="A183" i="40"/>
  <c r="C182" i="40"/>
  <c r="A182" i="40"/>
  <c r="C181" i="40"/>
  <c r="A181" i="40"/>
  <c r="D180" i="40"/>
  <c r="C180" i="40"/>
  <c r="A180" i="40"/>
  <c r="D179" i="40"/>
  <c r="C179" i="40"/>
  <c r="A179" i="40"/>
  <c r="C178" i="40"/>
  <c r="A178" i="40"/>
  <c r="D177" i="40"/>
  <c r="C177" i="40"/>
  <c r="A177" i="40"/>
  <c r="D176" i="40"/>
  <c r="C176" i="40"/>
  <c r="A176" i="40"/>
  <c r="C175" i="40"/>
  <c r="A175" i="40"/>
  <c r="C174" i="40"/>
  <c r="A174" i="40"/>
  <c r="C173" i="40"/>
  <c r="A173" i="40"/>
  <c r="C171" i="40"/>
  <c r="A171" i="40"/>
  <c r="C170" i="40"/>
  <c r="A170" i="40"/>
  <c r="C169" i="40"/>
  <c r="A169" i="40"/>
  <c r="C168" i="40"/>
  <c r="A168" i="40"/>
  <c r="C167" i="40"/>
  <c r="A167" i="40"/>
  <c r="C166" i="40"/>
  <c r="A166" i="40"/>
  <c r="D165" i="40"/>
  <c r="C165" i="40"/>
  <c r="A165" i="40"/>
  <c r="C164" i="40"/>
  <c r="A164" i="40"/>
  <c r="C161" i="40"/>
  <c r="A161" i="40"/>
  <c r="C160" i="40"/>
  <c r="A160" i="40"/>
  <c r="C159" i="40"/>
  <c r="A159" i="40"/>
  <c r="C158" i="40"/>
  <c r="A158" i="40"/>
  <c r="C157" i="40"/>
  <c r="A157" i="40"/>
  <c r="C156" i="40"/>
  <c r="A156" i="40"/>
  <c r="C155" i="40"/>
  <c r="A155" i="40"/>
  <c r="C154" i="40"/>
  <c r="A154" i="40"/>
  <c r="C153" i="40"/>
  <c r="A153" i="40"/>
  <c r="C152" i="40"/>
  <c r="A152" i="40"/>
  <c r="C151" i="40"/>
  <c r="A151" i="40"/>
  <c r="C150" i="40"/>
  <c r="A150" i="40"/>
  <c r="C149" i="40"/>
  <c r="A149" i="40"/>
  <c r="C148" i="40"/>
  <c r="A148" i="40"/>
  <c r="C147" i="40"/>
  <c r="A147" i="40"/>
  <c r="C146" i="40"/>
  <c r="A146" i="40"/>
  <c r="C145" i="40"/>
  <c r="A145" i="40"/>
  <c r="C144" i="40"/>
  <c r="A144" i="40"/>
  <c r="C142" i="40"/>
  <c r="A142" i="40"/>
  <c r="C141" i="40"/>
  <c r="A141" i="40"/>
  <c r="C140" i="40"/>
  <c r="A140" i="40"/>
  <c r="C139" i="40"/>
  <c r="A139" i="40"/>
  <c r="C138" i="40"/>
  <c r="A138" i="40"/>
  <c r="C137" i="40"/>
  <c r="A137" i="40"/>
  <c r="C136" i="40"/>
  <c r="A136" i="40"/>
  <c r="C135" i="40"/>
  <c r="A135" i="40"/>
  <c r="C134" i="40"/>
  <c r="A134" i="40"/>
  <c r="C133" i="40"/>
  <c r="A133" i="40"/>
  <c r="C132" i="40"/>
  <c r="A132" i="40"/>
  <c r="C131" i="40"/>
  <c r="A131" i="40"/>
  <c r="C130" i="40"/>
  <c r="A130" i="40"/>
  <c r="C129" i="40"/>
  <c r="A129" i="40"/>
  <c r="C128" i="40"/>
  <c r="A128" i="40"/>
  <c r="C127" i="40"/>
  <c r="A127" i="40"/>
  <c r="C126" i="40"/>
  <c r="A126" i="40"/>
  <c r="C125" i="40"/>
  <c r="A125" i="40"/>
  <c r="C124" i="40"/>
  <c r="A124" i="40"/>
  <c r="C123" i="40"/>
  <c r="A123" i="40"/>
  <c r="C122" i="40"/>
  <c r="A122" i="40"/>
  <c r="C121" i="40"/>
  <c r="A121" i="40"/>
  <c r="C120" i="40"/>
  <c r="A120" i="40"/>
  <c r="C119" i="40"/>
  <c r="A119" i="40"/>
  <c r="C118" i="40"/>
  <c r="A118" i="40"/>
  <c r="C117" i="40"/>
  <c r="A117" i="40"/>
  <c r="C116" i="40"/>
  <c r="A116" i="40"/>
  <c r="C115" i="40"/>
  <c r="A115" i="40"/>
  <c r="C114" i="40"/>
  <c r="A114" i="40"/>
  <c r="C113" i="40"/>
  <c r="A113" i="40"/>
  <c r="C112" i="40"/>
  <c r="A112" i="40"/>
  <c r="C111" i="40"/>
  <c r="A111" i="40"/>
  <c r="C110" i="40"/>
  <c r="A110" i="40"/>
  <c r="C109" i="40"/>
  <c r="A109" i="40"/>
  <c r="C108" i="40"/>
  <c r="A108" i="40"/>
  <c r="D107" i="40"/>
  <c r="C107" i="40"/>
  <c r="A107" i="40"/>
  <c r="C106" i="40"/>
  <c r="A106" i="40"/>
  <c r="C105" i="40"/>
  <c r="A105" i="40"/>
  <c r="C104" i="40"/>
  <c r="A104" i="40"/>
  <c r="C102" i="40"/>
  <c r="A102" i="40"/>
  <c r="C101" i="40"/>
  <c r="A101" i="40"/>
  <c r="C100" i="40"/>
  <c r="A100" i="40"/>
  <c r="C99" i="40"/>
  <c r="A99" i="40"/>
  <c r="C98" i="40"/>
  <c r="A98" i="40"/>
  <c r="C97" i="40"/>
  <c r="A97" i="40"/>
  <c r="C96" i="40"/>
  <c r="A96" i="40"/>
  <c r="C94" i="40"/>
  <c r="A94" i="40"/>
  <c r="C93" i="40"/>
  <c r="A93" i="40"/>
  <c r="C92" i="40"/>
  <c r="A92" i="40"/>
  <c r="C90" i="40"/>
  <c r="A90" i="40"/>
  <c r="C89" i="40"/>
  <c r="A89" i="40"/>
  <c r="D86" i="40"/>
  <c r="C86" i="40"/>
  <c r="A86" i="40"/>
  <c r="C85" i="40"/>
  <c r="A85" i="40"/>
  <c r="C84" i="40"/>
  <c r="A84" i="40"/>
  <c r="C83" i="40"/>
  <c r="A83" i="40"/>
  <c r="C82" i="40"/>
  <c r="A82" i="40"/>
  <c r="C81" i="40"/>
  <c r="A81" i="40"/>
  <c r="C80" i="40"/>
  <c r="A80" i="40"/>
  <c r="C79" i="40"/>
  <c r="A79" i="40"/>
  <c r="C78" i="40"/>
  <c r="A78" i="40"/>
  <c r="C77" i="40"/>
  <c r="A77" i="40"/>
  <c r="C76" i="40"/>
  <c r="A76" i="40"/>
  <c r="C75" i="40"/>
  <c r="A75" i="40"/>
  <c r="C74" i="40"/>
  <c r="A74" i="40"/>
  <c r="C73" i="40"/>
  <c r="A73" i="40"/>
  <c r="C72" i="40"/>
  <c r="A72" i="40"/>
  <c r="C71" i="40"/>
  <c r="A71" i="40"/>
  <c r="C70" i="40"/>
  <c r="A70" i="40"/>
  <c r="C69" i="40"/>
  <c r="A69" i="40"/>
  <c r="C68" i="40"/>
  <c r="A68" i="40"/>
  <c r="C66" i="40"/>
  <c r="A66" i="40"/>
  <c r="C65" i="40"/>
  <c r="A65" i="40"/>
  <c r="C64" i="40"/>
  <c r="A64" i="40"/>
  <c r="C63" i="40"/>
  <c r="A63" i="40"/>
  <c r="C62" i="40"/>
  <c r="A62" i="40"/>
  <c r="C61" i="40"/>
  <c r="A61" i="40"/>
  <c r="C60" i="40"/>
  <c r="A60" i="40"/>
  <c r="C59" i="40"/>
  <c r="A59" i="40"/>
  <c r="C58" i="40"/>
  <c r="A58" i="40"/>
  <c r="C57" i="40"/>
  <c r="A57" i="40"/>
  <c r="C56" i="40"/>
  <c r="A56" i="40"/>
  <c r="C55" i="40"/>
  <c r="A55" i="40"/>
  <c r="C54" i="40"/>
  <c r="A54" i="40"/>
  <c r="C53" i="40"/>
  <c r="A53" i="40"/>
  <c r="C52" i="40"/>
  <c r="A52" i="40"/>
  <c r="C51" i="40"/>
  <c r="A51" i="40"/>
  <c r="C50" i="40"/>
  <c r="A50" i="40"/>
  <c r="C49" i="40"/>
  <c r="A49" i="40"/>
  <c r="C48" i="40"/>
  <c r="A48" i="40"/>
  <c r="C47" i="40"/>
  <c r="A47" i="40"/>
  <c r="C46" i="40"/>
  <c r="A46" i="40"/>
  <c r="C45" i="40"/>
  <c r="A45" i="40"/>
  <c r="C44" i="40"/>
  <c r="A44" i="40"/>
  <c r="C43" i="40"/>
  <c r="A43" i="40"/>
  <c r="C42" i="40"/>
  <c r="A42" i="40"/>
  <c r="C41" i="40"/>
  <c r="A41" i="40"/>
  <c r="C40" i="40"/>
  <c r="A40" i="40"/>
  <c r="C39" i="40"/>
  <c r="A39" i="40"/>
  <c r="C38" i="40"/>
  <c r="A38" i="40"/>
  <c r="C37" i="40"/>
  <c r="A37" i="40"/>
  <c r="C36" i="40"/>
  <c r="A36" i="40"/>
  <c r="C35" i="40"/>
  <c r="A35" i="40"/>
  <c r="C34" i="40"/>
  <c r="A34" i="40"/>
  <c r="C33" i="40"/>
  <c r="A33" i="40"/>
  <c r="C32" i="40"/>
  <c r="A32" i="40"/>
  <c r="C31" i="40"/>
  <c r="A31" i="40"/>
  <c r="C30" i="40"/>
  <c r="A30" i="40"/>
  <c r="C29" i="40"/>
  <c r="A29" i="40"/>
  <c r="C28" i="40"/>
  <c r="A28" i="40"/>
  <c r="C27" i="40"/>
  <c r="A27" i="40"/>
  <c r="C26" i="40"/>
  <c r="A26" i="40"/>
  <c r="C25" i="40"/>
  <c r="A25" i="40"/>
  <c r="C24" i="40"/>
  <c r="A24" i="40"/>
  <c r="C23" i="40"/>
  <c r="A23" i="40"/>
  <c r="C22" i="40"/>
  <c r="A22" i="40"/>
  <c r="C21" i="40"/>
  <c r="A21" i="40"/>
  <c r="C20" i="40"/>
  <c r="A20" i="40"/>
  <c r="C19" i="40"/>
  <c r="A19" i="40"/>
  <c r="C18" i="40"/>
  <c r="A18" i="40"/>
  <c r="C17" i="40"/>
  <c r="A17" i="40"/>
  <c r="B345" i="39"/>
  <c r="A345" i="39"/>
  <c r="B344" i="39"/>
  <c r="A344" i="39"/>
  <c r="B343" i="39"/>
  <c r="A343" i="39"/>
  <c r="B342" i="39"/>
  <c r="A342" i="39"/>
  <c r="B341" i="39"/>
  <c r="A341" i="39"/>
  <c r="B340" i="39"/>
  <c r="A340" i="39"/>
  <c r="B339" i="39"/>
  <c r="A339" i="39"/>
  <c r="B338" i="39"/>
  <c r="A338" i="39"/>
  <c r="B337" i="39"/>
  <c r="A337" i="39"/>
  <c r="B336" i="39"/>
  <c r="A336" i="39"/>
  <c r="B335" i="39"/>
  <c r="A335" i="39"/>
  <c r="B334" i="39"/>
  <c r="A334" i="39"/>
  <c r="B333" i="39"/>
  <c r="A333" i="39"/>
  <c r="B332" i="39"/>
  <c r="A332" i="39"/>
  <c r="B331" i="39"/>
  <c r="A331" i="39"/>
  <c r="B330" i="39"/>
  <c r="A330" i="39"/>
  <c r="B329" i="39"/>
  <c r="A329" i="39"/>
  <c r="B328" i="39"/>
  <c r="A328" i="39"/>
  <c r="B327" i="39"/>
  <c r="A327" i="39"/>
  <c r="B326" i="39"/>
  <c r="A326" i="39"/>
  <c r="B325" i="39"/>
  <c r="A325" i="39"/>
  <c r="B324" i="39"/>
  <c r="A324" i="39"/>
  <c r="B323" i="39"/>
  <c r="A323" i="39"/>
  <c r="B322" i="39"/>
  <c r="A322" i="39"/>
  <c r="B321" i="39"/>
  <c r="A321" i="39"/>
  <c r="B320" i="39"/>
  <c r="A320" i="39"/>
  <c r="B319" i="39"/>
  <c r="A319" i="39"/>
  <c r="B318" i="39"/>
  <c r="A318" i="39"/>
  <c r="B317" i="39"/>
  <c r="A317" i="39"/>
  <c r="B316" i="39"/>
  <c r="A316" i="39"/>
  <c r="B315" i="39"/>
  <c r="A315" i="39"/>
  <c r="B314" i="39"/>
  <c r="A314" i="39"/>
  <c r="B313" i="39"/>
  <c r="A313" i="39"/>
  <c r="B312" i="39"/>
  <c r="A312" i="39"/>
  <c r="B311" i="39"/>
  <c r="A311" i="39"/>
  <c r="B310" i="39"/>
  <c r="A310" i="39"/>
  <c r="B309" i="39"/>
  <c r="A309" i="39"/>
  <c r="B308" i="39"/>
  <c r="A308" i="39"/>
  <c r="B307" i="39"/>
  <c r="A307" i="39"/>
  <c r="B306" i="39"/>
  <c r="A306" i="39"/>
  <c r="B305" i="39"/>
  <c r="A305" i="39"/>
  <c r="B304" i="39"/>
  <c r="A304" i="39"/>
  <c r="B303" i="39"/>
  <c r="A303" i="39"/>
  <c r="B302" i="39"/>
  <c r="A302" i="39"/>
  <c r="B300" i="39"/>
  <c r="A300" i="39"/>
  <c r="B299" i="39"/>
  <c r="A299" i="39"/>
  <c r="B298" i="39"/>
  <c r="A298" i="39"/>
  <c r="B296" i="39"/>
  <c r="A296" i="39"/>
  <c r="B295" i="39"/>
  <c r="A295" i="39"/>
  <c r="B294" i="39"/>
  <c r="A294" i="39"/>
  <c r="B293" i="39"/>
  <c r="A293" i="39"/>
  <c r="B292" i="39"/>
  <c r="A292" i="39"/>
  <c r="B291" i="39"/>
  <c r="A291" i="39"/>
  <c r="B290" i="39"/>
  <c r="A290" i="39"/>
  <c r="B289" i="39"/>
  <c r="A289" i="39"/>
  <c r="B288" i="39"/>
  <c r="A288" i="39"/>
  <c r="B287" i="39"/>
  <c r="A287" i="39"/>
  <c r="B286" i="39"/>
  <c r="A286" i="39"/>
  <c r="B285" i="39"/>
  <c r="A285" i="39"/>
  <c r="B284" i="39"/>
  <c r="A284" i="39"/>
  <c r="B283" i="39"/>
  <c r="A283" i="39"/>
  <c r="B282" i="39"/>
  <c r="A282" i="39"/>
  <c r="B281" i="39"/>
  <c r="A281" i="39"/>
  <c r="B280" i="39"/>
  <c r="A280" i="39"/>
  <c r="B279" i="39"/>
  <c r="A279" i="39"/>
  <c r="B278" i="39"/>
  <c r="A278" i="39"/>
  <c r="B277" i="39"/>
  <c r="A277" i="39"/>
  <c r="B276" i="39"/>
  <c r="A276" i="39"/>
  <c r="B275" i="39"/>
  <c r="A275" i="39"/>
  <c r="B274" i="39"/>
  <c r="A274" i="39"/>
  <c r="B273" i="39"/>
  <c r="A273" i="39"/>
  <c r="B272" i="39"/>
  <c r="A272" i="39"/>
  <c r="B271" i="39"/>
  <c r="A271" i="39"/>
  <c r="B270" i="39"/>
  <c r="A270" i="39"/>
  <c r="B269" i="39"/>
  <c r="A269" i="39"/>
  <c r="B268" i="39"/>
  <c r="A268" i="39"/>
  <c r="B266" i="39"/>
  <c r="A266" i="39"/>
  <c r="B265" i="39"/>
  <c r="A265" i="39"/>
  <c r="B264" i="39"/>
  <c r="A264" i="39"/>
  <c r="B262" i="39"/>
  <c r="A262" i="39"/>
  <c r="B261" i="39"/>
  <c r="A261" i="39"/>
  <c r="B260" i="39"/>
  <c r="A260" i="39"/>
  <c r="B259" i="39"/>
  <c r="A259" i="39"/>
  <c r="B258" i="39"/>
  <c r="A258" i="39"/>
  <c r="B257" i="39"/>
  <c r="A257" i="39"/>
  <c r="B256" i="39"/>
  <c r="A256" i="39"/>
  <c r="B255" i="39"/>
  <c r="A255" i="39"/>
  <c r="B254" i="39"/>
  <c r="A254" i="39"/>
  <c r="B253" i="39"/>
  <c r="A253" i="39"/>
  <c r="B252" i="39"/>
  <c r="A252" i="39"/>
  <c r="B251" i="39"/>
  <c r="A251" i="39"/>
  <c r="B250" i="39"/>
  <c r="A250" i="39"/>
  <c r="B249" i="39"/>
  <c r="A249" i="39"/>
  <c r="B248" i="39"/>
  <c r="A248" i="39"/>
  <c r="B247" i="39"/>
  <c r="A247" i="39"/>
  <c r="B246" i="39"/>
  <c r="A246" i="39"/>
  <c r="B245" i="39"/>
  <c r="A245" i="39"/>
  <c r="B243" i="39"/>
  <c r="A243" i="39"/>
  <c r="B242" i="39"/>
  <c r="A242" i="39"/>
  <c r="B241" i="39"/>
  <c r="A241" i="39"/>
  <c r="B240" i="39"/>
  <c r="A240" i="39"/>
  <c r="B239" i="39"/>
  <c r="A239" i="39"/>
  <c r="B238" i="39"/>
  <c r="A238" i="39"/>
  <c r="B237" i="39"/>
  <c r="A237" i="39"/>
  <c r="B236" i="39"/>
  <c r="A236" i="39"/>
  <c r="B235" i="39"/>
  <c r="A235" i="39"/>
  <c r="B234" i="39"/>
  <c r="A234" i="39"/>
  <c r="B233" i="39"/>
  <c r="A233" i="39"/>
  <c r="B232" i="39"/>
  <c r="A232" i="39"/>
  <c r="B231" i="39"/>
  <c r="A231" i="39"/>
  <c r="B230" i="39"/>
  <c r="A230" i="39"/>
  <c r="B229" i="39"/>
  <c r="A229" i="39"/>
  <c r="B228" i="39"/>
  <c r="A228" i="39"/>
  <c r="B227" i="39"/>
  <c r="A227" i="39"/>
  <c r="B226" i="39"/>
  <c r="A226" i="39"/>
  <c r="C225" i="39"/>
  <c r="B225" i="39"/>
  <c r="A225" i="39"/>
  <c r="B224" i="39"/>
  <c r="A224" i="39"/>
  <c r="B223" i="39"/>
  <c r="A223" i="39"/>
  <c r="B222" i="39"/>
  <c r="A222" i="39"/>
  <c r="B221" i="39"/>
  <c r="A221" i="39"/>
  <c r="B211" i="39"/>
  <c r="A211" i="39"/>
  <c r="B210" i="39"/>
  <c r="A210" i="39"/>
  <c r="B209" i="39"/>
  <c r="A209" i="39"/>
  <c r="B207" i="39"/>
  <c r="A207" i="39"/>
  <c r="B205" i="39"/>
  <c r="A205" i="39"/>
  <c r="B204" i="39"/>
  <c r="A204" i="39"/>
  <c r="B203" i="39"/>
  <c r="A203" i="39"/>
  <c r="B202" i="39"/>
  <c r="A202" i="39"/>
  <c r="B201" i="39"/>
  <c r="A201" i="39"/>
  <c r="B200" i="39"/>
  <c r="A200" i="39"/>
  <c r="C199" i="39"/>
  <c r="B199" i="39"/>
  <c r="A199" i="39"/>
  <c r="B198" i="39"/>
  <c r="A198" i="39"/>
  <c r="B197" i="39"/>
  <c r="A197" i="39"/>
  <c r="B196" i="39"/>
  <c r="A196" i="39"/>
  <c r="B195" i="39"/>
  <c r="A195" i="39"/>
  <c r="B194" i="39"/>
  <c r="A194" i="39"/>
  <c r="B193" i="39"/>
  <c r="A193" i="39"/>
  <c r="B192" i="39"/>
  <c r="A192" i="39"/>
  <c r="B191" i="39"/>
  <c r="A191" i="39"/>
  <c r="B190" i="39"/>
  <c r="A190" i="39"/>
  <c r="B189" i="39"/>
  <c r="A189" i="39"/>
  <c r="B188" i="39"/>
  <c r="A188" i="39"/>
  <c r="B187" i="39"/>
  <c r="A187" i="39"/>
  <c r="B186" i="39"/>
  <c r="A186" i="39"/>
  <c r="B185" i="39"/>
  <c r="A185" i="39"/>
  <c r="B184" i="39"/>
  <c r="A184" i="39"/>
  <c r="B183" i="39"/>
  <c r="A183" i="39"/>
  <c r="B182" i="39"/>
  <c r="A182" i="39"/>
  <c r="B181" i="39"/>
  <c r="A181" i="39"/>
  <c r="B180" i="39"/>
  <c r="A180" i="39"/>
  <c r="B179" i="39"/>
  <c r="A179" i="39"/>
  <c r="B178" i="39"/>
  <c r="A178" i="39"/>
  <c r="B177" i="39"/>
  <c r="A177" i="39"/>
  <c r="B175" i="39"/>
  <c r="A175" i="39"/>
  <c r="B174" i="39"/>
  <c r="A174" i="39"/>
  <c r="B173" i="39"/>
  <c r="A173" i="39"/>
  <c r="B172" i="39"/>
  <c r="A172" i="39"/>
  <c r="B171" i="39"/>
  <c r="A171" i="39"/>
  <c r="B170" i="39"/>
  <c r="A170" i="39"/>
  <c r="B169" i="39"/>
  <c r="A169" i="39"/>
  <c r="B168" i="39"/>
  <c r="A168" i="39"/>
  <c r="B165" i="39"/>
  <c r="A165" i="39"/>
  <c r="B164" i="39"/>
  <c r="A164" i="39"/>
  <c r="B163" i="39"/>
  <c r="A163" i="39"/>
  <c r="B162" i="39"/>
  <c r="A162" i="39"/>
  <c r="B161" i="39"/>
  <c r="A161" i="39"/>
  <c r="B160" i="39"/>
  <c r="A160" i="39"/>
  <c r="B159" i="39"/>
  <c r="A159" i="39"/>
  <c r="B158" i="39"/>
  <c r="A158" i="39"/>
  <c r="B157" i="39"/>
  <c r="A157" i="39"/>
  <c r="B156" i="39"/>
  <c r="A156" i="39"/>
  <c r="B155" i="39"/>
  <c r="A155" i="39"/>
  <c r="B154" i="39"/>
  <c r="A154" i="39"/>
  <c r="B153" i="39"/>
  <c r="A153" i="39"/>
  <c r="B152" i="39"/>
  <c r="A152" i="39"/>
  <c r="B151" i="39"/>
  <c r="A151" i="39"/>
  <c r="B150" i="39"/>
  <c r="A150" i="39"/>
  <c r="B149" i="39"/>
  <c r="A149" i="39"/>
  <c r="B148" i="39"/>
  <c r="A148" i="39"/>
  <c r="B146" i="39"/>
  <c r="A146" i="39"/>
  <c r="B145" i="39"/>
  <c r="A145" i="39"/>
  <c r="B144" i="39"/>
  <c r="A144" i="39"/>
  <c r="B143" i="39"/>
  <c r="A143" i="39"/>
  <c r="B142" i="39"/>
  <c r="A142" i="39"/>
  <c r="B141" i="39"/>
  <c r="A141" i="39"/>
  <c r="B140" i="39"/>
  <c r="A140" i="39"/>
  <c r="B139" i="39"/>
  <c r="A139" i="39"/>
  <c r="B138" i="39"/>
  <c r="A138" i="39"/>
  <c r="B137" i="39"/>
  <c r="A137" i="39"/>
  <c r="B136" i="39"/>
  <c r="A136" i="39"/>
  <c r="B135" i="39"/>
  <c r="A135" i="39"/>
  <c r="B134" i="39"/>
  <c r="A134" i="39"/>
  <c r="B133" i="39"/>
  <c r="A133" i="39"/>
  <c r="B132" i="39"/>
  <c r="A132" i="39"/>
  <c r="B131" i="39"/>
  <c r="A131" i="39"/>
  <c r="B130" i="39"/>
  <c r="A130" i="39"/>
  <c r="B129" i="39"/>
  <c r="A129" i="39"/>
  <c r="B128" i="39"/>
  <c r="A128" i="39"/>
  <c r="B127" i="39"/>
  <c r="A127" i="39"/>
  <c r="B126" i="39"/>
  <c r="A126" i="39"/>
  <c r="B125" i="39"/>
  <c r="A125" i="39"/>
  <c r="B124" i="39"/>
  <c r="A124" i="39"/>
  <c r="B123" i="39"/>
  <c r="A123" i="39"/>
  <c r="B122" i="39"/>
  <c r="A122" i="39"/>
  <c r="B121" i="39"/>
  <c r="A121" i="39"/>
  <c r="B120" i="39"/>
  <c r="A120" i="39"/>
  <c r="B119" i="39"/>
  <c r="A119" i="39"/>
  <c r="B118" i="39"/>
  <c r="A118" i="39"/>
  <c r="B117" i="39"/>
  <c r="A117" i="39"/>
  <c r="B116" i="39"/>
  <c r="A116" i="39"/>
  <c r="B115" i="39"/>
  <c r="A115" i="39"/>
  <c r="B114" i="39"/>
  <c r="A114" i="39"/>
  <c r="B113" i="39"/>
  <c r="A113" i="39"/>
  <c r="B112" i="39"/>
  <c r="A112" i="39"/>
  <c r="B111" i="39"/>
  <c r="A111" i="39"/>
  <c r="B110" i="39"/>
  <c r="A110" i="39"/>
  <c r="B109" i="39"/>
  <c r="A109" i="39"/>
  <c r="B108" i="39"/>
  <c r="A108" i="39"/>
  <c r="B106" i="39"/>
  <c r="A106" i="39"/>
  <c r="B105" i="39"/>
  <c r="A105" i="39"/>
  <c r="B104" i="39"/>
  <c r="A104" i="39"/>
  <c r="B103" i="39"/>
  <c r="A103" i="39"/>
  <c r="B102" i="39"/>
  <c r="A102" i="39"/>
  <c r="B101" i="39"/>
  <c r="A101" i="39"/>
  <c r="B100" i="39"/>
  <c r="A100" i="39"/>
  <c r="B98" i="39"/>
  <c r="A98" i="39"/>
  <c r="B97" i="39"/>
  <c r="A97" i="39"/>
  <c r="B96" i="39"/>
  <c r="A96" i="39"/>
  <c r="B94" i="39"/>
  <c r="A94" i="39"/>
  <c r="B93" i="39"/>
  <c r="A93" i="39"/>
  <c r="B90" i="39"/>
  <c r="A90" i="39"/>
  <c r="B89" i="39"/>
  <c r="A89" i="39"/>
  <c r="B88" i="39"/>
  <c r="A88" i="39"/>
  <c r="B87" i="39"/>
  <c r="A87" i="39"/>
  <c r="B86" i="39"/>
  <c r="A86" i="39"/>
  <c r="B85" i="39"/>
  <c r="A85" i="39"/>
  <c r="B84" i="39"/>
  <c r="A84" i="39"/>
  <c r="B83" i="39"/>
  <c r="A83" i="39"/>
  <c r="B82" i="39"/>
  <c r="A82" i="39"/>
  <c r="B81" i="39"/>
  <c r="A81" i="39"/>
  <c r="B80" i="39"/>
  <c r="A80" i="39"/>
  <c r="B79" i="39"/>
  <c r="A79" i="39"/>
  <c r="B78" i="39"/>
  <c r="A78" i="39"/>
  <c r="B77" i="39"/>
  <c r="A77" i="39"/>
  <c r="B76" i="39"/>
  <c r="A76" i="39"/>
  <c r="B75" i="39"/>
  <c r="A75" i="39"/>
  <c r="B74" i="39"/>
  <c r="A74" i="39"/>
  <c r="B73" i="39"/>
  <c r="A73" i="39"/>
  <c r="B72" i="39"/>
  <c r="A72" i="39"/>
  <c r="B70" i="39"/>
  <c r="A70" i="39"/>
  <c r="B69" i="39"/>
  <c r="A69" i="39"/>
  <c r="B68" i="39"/>
  <c r="A68" i="39"/>
  <c r="B67" i="39"/>
  <c r="A67" i="39"/>
  <c r="B66" i="39"/>
  <c r="A66" i="39"/>
  <c r="B65" i="39"/>
  <c r="A65" i="39"/>
  <c r="B64" i="39"/>
  <c r="A64" i="39"/>
  <c r="B63" i="39"/>
  <c r="A63" i="39"/>
  <c r="B62" i="39"/>
  <c r="A62" i="39"/>
  <c r="B61" i="39"/>
  <c r="A61" i="39"/>
  <c r="B60" i="39"/>
  <c r="A60" i="39"/>
  <c r="B59" i="39"/>
  <c r="A59" i="39"/>
  <c r="B58" i="39"/>
  <c r="A58" i="39"/>
  <c r="B57" i="39"/>
  <c r="A57" i="39"/>
  <c r="B56" i="39"/>
  <c r="A56" i="39"/>
  <c r="B55" i="39"/>
  <c r="A55" i="39"/>
  <c r="B54" i="39"/>
  <c r="A54" i="39"/>
  <c r="B53" i="39"/>
  <c r="A53" i="39"/>
  <c r="B52" i="39"/>
  <c r="A52" i="39"/>
  <c r="B51" i="39"/>
  <c r="A51" i="39"/>
  <c r="B50" i="39"/>
  <c r="A50" i="39"/>
  <c r="B49" i="39"/>
  <c r="A49" i="39"/>
  <c r="B48" i="39"/>
  <c r="A48" i="39"/>
  <c r="B47" i="39"/>
  <c r="A47" i="39"/>
  <c r="B46" i="39"/>
  <c r="A46" i="39"/>
  <c r="B45" i="39"/>
  <c r="A45" i="39"/>
  <c r="B44" i="39"/>
  <c r="A44" i="39"/>
  <c r="B43" i="39"/>
  <c r="A43" i="39"/>
  <c r="B42" i="39"/>
  <c r="A42" i="39"/>
  <c r="B41" i="39"/>
  <c r="A41" i="39"/>
  <c r="B40" i="39"/>
  <c r="A40" i="39"/>
  <c r="B39" i="39"/>
  <c r="A39" i="39"/>
  <c r="B38" i="39"/>
  <c r="A38" i="39"/>
  <c r="B37" i="39"/>
  <c r="A37" i="39"/>
  <c r="B36" i="39"/>
  <c r="A36" i="39"/>
  <c r="B35" i="39"/>
  <c r="A35" i="39"/>
  <c r="B34" i="39"/>
  <c r="A34" i="39"/>
  <c r="B33" i="39"/>
  <c r="A33" i="39"/>
  <c r="B32" i="39"/>
  <c r="A32" i="39"/>
  <c r="B31" i="39"/>
  <c r="A31" i="39"/>
  <c r="B30" i="39"/>
  <c r="A30" i="39"/>
  <c r="B29" i="39"/>
  <c r="A29" i="39"/>
  <c r="B28" i="39"/>
  <c r="A28" i="39"/>
  <c r="B27" i="39"/>
  <c r="A27" i="39"/>
  <c r="B26" i="39"/>
  <c r="A26" i="39"/>
  <c r="B25" i="39"/>
  <c r="A25" i="39"/>
  <c r="B24" i="39"/>
  <c r="A24" i="39"/>
  <c r="B23" i="39"/>
  <c r="A23" i="39"/>
  <c r="B22" i="39"/>
  <c r="A22" i="39"/>
  <c r="B21" i="39"/>
  <c r="A21" i="39"/>
  <c r="C17" i="39"/>
  <c r="B345" i="21"/>
  <c r="A345" i="21"/>
  <c r="B344" i="21"/>
  <c r="A344" i="21"/>
  <c r="B343" i="21"/>
  <c r="A343" i="21"/>
  <c r="B342" i="21"/>
  <c r="A342" i="21"/>
  <c r="B341" i="21"/>
  <c r="A341" i="21"/>
  <c r="B340" i="21"/>
  <c r="A340" i="21"/>
  <c r="B339" i="21"/>
  <c r="A339" i="21"/>
  <c r="B338" i="21"/>
  <c r="A338" i="21"/>
  <c r="B337" i="21"/>
  <c r="A337" i="21"/>
  <c r="B336" i="21"/>
  <c r="A336" i="21"/>
  <c r="B335" i="21"/>
  <c r="A335" i="21"/>
  <c r="B334" i="21"/>
  <c r="A334" i="21"/>
  <c r="B333" i="21"/>
  <c r="A333" i="21"/>
  <c r="B332" i="21"/>
  <c r="A332" i="21"/>
  <c r="B331" i="21"/>
  <c r="A331" i="21"/>
  <c r="B330" i="21"/>
  <c r="A330" i="21"/>
  <c r="B329" i="21"/>
  <c r="A329" i="21"/>
  <c r="B328" i="21"/>
  <c r="A328" i="21"/>
  <c r="B327" i="21"/>
  <c r="A327" i="21"/>
  <c r="B326" i="21"/>
  <c r="A326" i="21"/>
  <c r="B325" i="21"/>
  <c r="A325" i="21"/>
  <c r="B324" i="21"/>
  <c r="A324" i="21"/>
  <c r="B323" i="21"/>
  <c r="A323" i="21"/>
  <c r="B322" i="21"/>
  <c r="A322" i="21"/>
  <c r="B321" i="21"/>
  <c r="A321" i="21"/>
  <c r="B320" i="21"/>
  <c r="A320" i="21"/>
  <c r="B319" i="21"/>
  <c r="A319" i="21"/>
  <c r="B318" i="21"/>
  <c r="A318" i="21"/>
  <c r="B317" i="21"/>
  <c r="A317" i="21"/>
  <c r="B316" i="21"/>
  <c r="A316" i="21"/>
  <c r="B315" i="21"/>
  <c r="A315" i="21"/>
  <c r="B314" i="21"/>
  <c r="A314" i="21"/>
  <c r="B313" i="21"/>
  <c r="A313" i="21"/>
  <c r="B312" i="21"/>
  <c r="A312" i="21"/>
  <c r="B311" i="21"/>
  <c r="A311" i="21"/>
  <c r="B310" i="21"/>
  <c r="A310" i="21"/>
  <c r="B309" i="21"/>
  <c r="A309" i="21"/>
  <c r="B308" i="21"/>
  <c r="A308" i="21"/>
  <c r="B307" i="21"/>
  <c r="A307" i="21"/>
  <c r="B306" i="21"/>
  <c r="A306" i="21"/>
  <c r="B305" i="21"/>
  <c r="A305" i="21"/>
  <c r="B304" i="21"/>
  <c r="A304" i="21"/>
  <c r="B303" i="21"/>
  <c r="A303" i="21"/>
  <c r="B302" i="21"/>
  <c r="A302" i="21"/>
  <c r="B300" i="21"/>
  <c r="A300" i="21"/>
  <c r="B299" i="21"/>
  <c r="A299" i="21"/>
  <c r="B298" i="21"/>
  <c r="A298" i="21"/>
  <c r="B296" i="21"/>
  <c r="A296" i="21"/>
  <c r="B295" i="21"/>
  <c r="A295" i="21"/>
  <c r="B294" i="21"/>
  <c r="A294" i="21"/>
  <c r="B293" i="21"/>
  <c r="A293" i="21"/>
  <c r="B292" i="21"/>
  <c r="A292" i="21"/>
  <c r="B291" i="21"/>
  <c r="A291" i="21"/>
  <c r="B290" i="21"/>
  <c r="A290" i="21"/>
  <c r="B289" i="21"/>
  <c r="A289" i="21"/>
  <c r="B288" i="21"/>
  <c r="A288" i="21"/>
  <c r="B287" i="21"/>
  <c r="A287" i="21"/>
  <c r="B286" i="21"/>
  <c r="A286" i="21"/>
  <c r="B285" i="21"/>
  <c r="A285" i="21"/>
  <c r="B284" i="21"/>
  <c r="A284" i="21"/>
  <c r="B283" i="21"/>
  <c r="A283" i="21"/>
  <c r="B282" i="21"/>
  <c r="A282" i="21"/>
  <c r="B281" i="21"/>
  <c r="A281" i="21"/>
  <c r="B280" i="21"/>
  <c r="A280" i="21"/>
  <c r="B279" i="21"/>
  <c r="A279" i="21"/>
  <c r="B278" i="21"/>
  <c r="A278" i="21"/>
  <c r="B277" i="21"/>
  <c r="A277" i="21"/>
  <c r="B276" i="21"/>
  <c r="A276" i="21"/>
  <c r="B275" i="21"/>
  <c r="A275" i="21"/>
  <c r="B274" i="21"/>
  <c r="A274" i="21"/>
  <c r="B273" i="21"/>
  <c r="A273" i="21"/>
  <c r="B272" i="21"/>
  <c r="A272" i="21"/>
  <c r="B271" i="21"/>
  <c r="A271" i="21"/>
  <c r="B270" i="21"/>
  <c r="A270" i="21"/>
  <c r="B269" i="21"/>
  <c r="A269" i="21"/>
  <c r="B268" i="21"/>
  <c r="A268" i="21"/>
  <c r="B266" i="21"/>
  <c r="A266" i="21"/>
  <c r="B265" i="21"/>
  <c r="A265" i="21"/>
  <c r="B264" i="21"/>
  <c r="A264" i="21"/>
  <c r="B262" i="21"/>
  <c r="A262" i="21"/>
  <c r="B261" i="21"/>
  <c r="A261" i="21"/>
  <c r="B260" i="21"/>
  <c r="A260" i="21"/>
  <c r="B259" i="21"/>
  <c r="A259" i="21"/>
  <c r="B258" i="21"/>
  <c r="A258" i="21"/>
  <c r="B257" i="21"/>
  <c r="A257" i="21"/>
  <c r="B256" i="21"/>
  <c r="A256" i="21"/>
  <c r="B255" i="21"/>
  <c r="A255" i="21"/>
  <c r="B254" i="21"/>
  <c r="A254" i="21"/>
  <c r="B253" i="21"/>
  <c r="A253" i="21"/>
  <c r="B252" i="21"/>
  <c r="A252" i="21"/>
  <c r="B251" i="21"/>
  <c r="A251" i="21"/>
  <c r="B250" i="21"/>
  <c r="A250" i="21"/>
  <c r="B249" i="21"/>
  <c r="A249" i="21"/>
  <c r="B248" i="21"/>
  <c r="A248" i="21"/>
  <c r="B247" i="21"/>
  <c r="A247" i="21"/>
  <c r="B246" i="21"/>
  <c r="A246" i="21"/>
  <c r="B245" i="21"/>
  <c r="A245" i="21"/>
  <c r="B243" i="21"/>
  <c r="A243" i="21"/>
  <c r="B242" i="21"/>
  <c r="A242" i="21"/>
  <c r="B241" i="21"/>
  <c r="A241" i="21"/>
  <c r="B240" i="21"/>
  <c r="A240" i="21"/>
  <c r="B239" i="21"/>
  <c r="A239" i="21"/>
  <c r="B238" i="21"/>
  <c r="A238" i="21"/>
  <c r="B237" i="21"/>
  <c r="A237" i="21"/>
  <c r="B236" i="21"/>
  <c r="A236" i="21"/>
  <c r="B235" i="21"/>
  <c r="A235" i="21"/>
  <c r="B234" i="21"/>
  <c r="A234" i="21"/>
  <c r="B233" i="21"/>
  <c r="A233" i="21"/>
  <c r="B232" i="21"/>
  <c r="A232" i="21"/>
  <c r="B231" i="21"/>
  <c r="A231" i="21"/>
  <c r="B230" i="21"/>
  <c r="A230" i="21"/>
  <c r="B229" i="21"/>
  <c r="A229" i="21"/>
  <c r="B228" i="21"/>
  <c r="A228" i="21"/>
  <c r="B227" i="21"/>
  <c r="A227" i="21"/>
  <c r="B226" i="21"/>
  <c r="A226" i="21"/>
  <c r="C225" i="21"/>
  <c r="B225" i="21"/>
  <c r="A225" i="21"/>
  <c r="B224" i="21"/>
  <c r="A224" i="21"/>
  <c r="B223" i="21"/>
  <c r="A223" i="21"/>
  <c r="B222" i="21"/>
  <c r="A222" i="21"/>
  <c r="B221" i="21"/>
  <c r="A221" i="21"/>
  <c r="B211" i="21"/>
  <c r="A211" i="21"/>
  <c r="B210" i="21"/>
  <c r="A210" i="21"/>
  <c r="B209" i="21"/>
  <c r="A209" i="21"/>
  <c r="B207" i="21"/>
  <c r="A207" i="21"/>
  <c r="B205" i="21"/>
  <c r="A205" i="21"/>
  <c r="B204" i="21"/>
  <c r="A204" i="21"/>
  <c r="B203" i="21"/>
  <c r="A203" i="21"/>
  <c r="B202" i="21"/>
  <c r="A202" i="21"/>
  <c r="B201" i="21"/>
  <c r="A201" i="21"/>
  <c r="B200" i="21"/>
  <c r="A200" i="21"/>
  <c r="C199" i="21"/>
  <c r="B199" i="21"/>
  <c r="A199" i="21"/>
  <c r="B198" i="21"/>
  <c r="A198" i="21"/>
  <c r="B197" i="21"/>
  <c r="A197" i="21"/>
  <c r="B196" i="21"/>
  <c r="A196" i="21"/>
  <c r="B195" i="21"/>
  <c r="A195" i="21"/>
  <c r="B194" i="21"/>
  <c r="A194" i="21"/>
  <c r="B193" i="21"/>
  <c r="A193" i="21"/>
  <c r="B192" i="21"/>
  <c r="A192" i="21"/>
  <c r="B191" i="21"/>
  <c r="A191" i="21"/>
  <c r="B190" i="21"/>
  <c r="A190" i="21"/>
  <c r="B189" i="21"/>
  <c r="A189" i="21"/>
  <c r="B188" i="21"/>
  <c r="A188" i="21"/>
  <c r="B187" i="21"/>
  <c r="A187" i="21"/>
  <c r="B186" i="21"/>
  <c r="A186" i="21"/>
  <c r="B185" i="21"/>
  <c r="A185" i="21"/>
  <c r="B184" i="21"/>
  <c r="A184" i="21"/>
  <c r="B183" i="21"/>
  <c r="A183" i="21"/>
  <c r="B182" i="21"/>
  <c r="A182" i="21"/>
  <c r="B181" i="21"/>
  <c r="A181" i="21"/>
  <c r="B180" i="21"/>
  <c r="A180" i="21"/>
  <c r="B179" i="21"/>
  <c r="A179" i="21"/>
  <c r="B178" i="21"/>
  <c r="A178" i="21"/>
  <c r="B177" i="21"/>
  <c r="A177" i="21"/>
  <c r="B175" i="21"/>
  <c r="A175" i="21"/>
  <c r="B174" i="21"/>
  <c r="A174" i="21"/>
  <c r="B173" i="21"/>
  <c r="A173" i="21"/>
  <c r="B172" i="21"/>
  <c r="A172" i="21"/>
  <c r="B171" i="21"/>
  <c r="A171" i="21"/>
  <c r="B170" i="21"/>
  <c r="A170" i="21"/>
  <c r="B169" i="21"/>
  <c r="A169" i="21"/>
  <c r="B168" i="21"/>
  <c r="A168" i="21"/>
  <c r="B165" i="21"/>
  <c r="A165" i="21"/>
  <c r="B164" i="21"/>
  <c r="A164" i="21"/>
  <c r="B163" i="21"/>
  <c r="A163" i="21"/>
  <c r="B162" i="21"/>
  <c r="A162" i="21"/>
  <c r="B161" i="21"/>
  <c r="A161" i="21"/>
  <c r="B160" i="21"/>
  <c r="A160" i="21"/>
  <c r="B159" i="21"/>
  <c r="A159" i="21"/>
  <c r="B158" i="21"/>
  <c r="A158" i="21"/>
  <c r="B157" i="21"/>
  <c r="A157" i="21"/>
  <c r="B156" i="21"/>
  <c r="A156" i="21"/>
  <c r="B155" i="21"/>
  <c r="A155" i="21"/>
  <c r="B154" i="21"/>
  <c r="A154" i="21"/>
  <c r="B153" i="21"/>
  <c r="A153" i="21"/>
  <c r="B152" i="21"/>
  <c r="A152" i="21"/>
  <c r="B151" i="21"/>
  <c r="A151" i="21"/>
  <c r="B150" i="21"/>
  <c r="A150" i="21"/>
  <c r="B149" i="21"/>
  <c r="A149" i="21"/>
  <c r="B148" i="21"/>
  <c r="A148" i="21"/>
  <c r="B146" i="21"/>
  <c r="A146" i="21"/>
  <c r="B145" i="21"/>
  <c r="A145" i="21"/>
  <c r="B144" i="21"/>
  <c r="A144" i="21"/>
  <c r="B143" i="21"/>
  <c r="A143" i="21"/>
  <c r="B142" i="21"/>
  <c r="A142" i="21"/>
  <c r="B141" i="21"/>
  <c r="A141" i="21"/>
  <c r="B140" i="21"/>
  <c r="A140" i="21"/>
  <c r="B139" i="21"/>
  <c r="A139" i="21"/>
  <c r="B138" i="21"/>
  <c r="A138" i="21"/>
  <c r="B137" i="21"/>
  <c r="A137" i="21"/>
  <c r="B136" i="21"/>
  <c r="A136" i="21"/>
  <c r="B135" i="21"/>
  <c r="A135" i="21"/>
  <c r="B134" i="21"/>
  <c r="A134" i="21"/>
  <c r="B133" i="21"/>
  <c r="A133" i="21"/>
  <c r="B132" i="21"/>
  <c r="A132" i="21"/>
  <c r="B131" i="21"/>
  <c r="A131" i="21"/>
  <c r="B130" i="21"/>
  <c r="A130" i="21"/>
  <c r="B129" i="21"/>
  <c r="A129" i="21"/>
  <c r="B128" i="21"/>
  <c r="A128" i="21"/>
  <c r="B127" i="21"/>
  <c r="A127" i="21"/>
  <c r="B126" i="21"/>
  <c r="A126" i="21"/>
  <c r="B125" i="21"/>
  <c r="A125" i="21"/>
  <c r="B124" i="21"/>
  <c r="A124" i="21"/>
  <c r="B123" i="21"/>
  <c r="A123" i="21"/>
  <c r="B122" i="21"/>
  <c r="A122" i="21"/>
  <c r="B121" i="21"/>
  <c r="A121" i="21"/>
  <c r="B120" i="21"/>
  <c r="A120" i="21"/>
  <c r="B119" i="21"/>
  <c r="A119" i="21"/>
  <c r="B118" i="21"/>
  <c r="A118" i="21"/>
  <c r="B117" i="21"/>
  <c r="A117" i="21"/>
  <c r="B116" i="21"/>
  <c r="A116" i="21"/>
  <c r="B115" i="21"/>
  <c r="A115" i="21"/>
  <c r="B114" i="21"/>
  <c r="A114" i="21"/>
  <c r="B113" i="21"/>
  <c r="A113" i="21"/>
  <c r="B112" i="21"/>
  <c r="A112" i="21"/>
  <c r="B111" i="21"/>
  <c r="A111" i="21"/>
  <c r="B110" i="21"/>
  <c r="A110" i="21"/>
  <c r="B109" i="21"/>
  <c r="A109" i="21"/>
  <c r="B108" i="21"/>
  <c r="A108" i="21"/>
  <c r="B106" i="21"/>
  <c r="A106" i="21"/>
  <c r="B105" i="21"/>
  <c r="A105" i="21"/>
  <c r="B104" i="21"/>
  <c r="A104" i="21"/>
  <c r="B103" i="21"/>
  <c r="A103" i="21"/>
  <c r="B102" i="21"/>
  <c r="A102" i="21"/>
  <c r="B101" i="21"/>
  <c r="A101" i="21"/>
  <c r="B100" i="21"/>
  <c r="A100" i="21"/>
  <c r="B98" i="21"/>
  <c r="A98" i="21"/>
  <c r="B97" i="21"/>
  <c r="A97" i="21"/>
  <c r="B96" i="21"/>
  <c r="A96" i="21"/>
  <c r="B94" i="21"/>
  <c r="A94" i="21"/>
  <c r="B93" i="21"/>
  <c r="A93" i="21"/>
  <c r="B90" i="21"/>
  <c r="A90" i="21"/>
  <c r="B89" i="21"/>
  <c r="A89" i="21"/>
  <c r="B88" i="21"/>
  <c r="A88" i="21"/>
  <c r="B87" i="21"/>
  <c r="A87" i="21"/>
  <c r="B86" i="21"/>
  <c r="A86" i="21"/>
  <c r="B85" i="21"/>
  <c r="A85" i="21"/>
  <c r="B84" i="21"/>
  <c r="A84" i="21"/>
  <c r="B83" i="21"/>
  <c r="A83" i="21"/>
  <c r="B82" i="21"/>
  <c r="A82" i="21"/>
  <c r="B81" i="21"/>
  <c r="A81" i="21"/>
  <c r="B80" i="21"/>
  <c r="A80" i="21"/>
  <c r="B79" i="21"/>
  <c r="A79" i="21"/>
  <c r="B78" i="21"/>
  <c r="A78" i="21"/>
  <c r="B77" i="21"/>
  <c r="A77" i="21"/>
  <c r="B76" i="21"/>
  <c r="A76" i="21"/>
  <c r="B75" i="21"/>
  <c r="A75" i="21"/>
  <c r="B74" i="21"/>
  <c r="A74" i="21"/>
  <c r="B73" i="21"/>
  <c r="A73" i="21"/>
  <c r="B72" i="21"/>
  <c r="A72" i="21"/>
  <c r="B70" i="21"/>
  <c r="A70" i="21"/>
  <c r="B69" i="21"/>
  <c r="A69" i="21"/>
  <c r="B68" i="21"/>
  <c r="A68" i="21"/>
  <c r="B67" i="21"/>
  <c r="A67" i="21"/>
  <c r="B66" i="21"/>
  <c r="A66" i="21"/>
  <c r="B65" i="21"/>
  <c r="A65" i="21"/>
  <c r="B64" i="21"/>
  <c r="A64" i="21"/>
  <c r="B63" i="21"/>
  <c r="A63" i="21"/>
  <c r="B62" i="21"/>
  <c r="A62" i="21"/>
  <c r="B61" i="21"/>
  <c r="A61" i="21"/>
  <c r="B60" i="21"/>
  <c r="A60" i="21"/>
  <c r="B59" i="21"/>
  <c r="A59" i="21"/>
  <c r="B58" i="21"/>
  <c r="A58" i="21"/>
  <c r="B57" i="21"/>
  <c r="A57" i="21"/>
  <c r="B56" i="21"/>
  <c r="A56" i="21"/>
  <c r="B55" i="21"/>
  <c r="A55" i="21"/>
  <c r="B54" i="21"/>
  <c r="A54" i="21"/>
  <c r="B53" i="21"/>
  <c r="A53" i="21"/>
  <c r="B52" i="21"/>
  <c r="A52" i="21"/>
  <c r="B51" i="21"/>
  <c r="A51" i="21"/>
  <c r="B50" i="21"/>
  <c r="A50" i="21"/>
  <c r="B49" i="21"/>
  <c r="A49" i="21"/>
  <c r="B48" i="21"/>
  <c r="A48" i="21"/>
  <c r="B47" i="21"/>
  <c r="A47" i="21"/>
  <c r="B46" i="21"/>
  <c r="A46" i="21"/>
  <c r="B45" i="21"/>
  <c r="A45" i="21"/>
  <c r="B44" i="21"/>
  <c r="A44" i="21"/>
  <c r="B43" i="21"/>
  <c r="A43" i="21"/>
  <c r="B42" i="21"/>
  <c r="A42" i="21"/>
  <c r="B41" i="21"/>
  <c r="A41" i="21"/>
  <c r="B40" i="21"/>
  <c r="A40" i="21"/>
  <c r="B39" i="21"/>
  <c r="A39" i="21"/>
  <c r="B38" i="21"/>
  <c r="A38" i="21"/>
  <c r="B37" i="21"/>
  <c r="A37" i="21"/>
  <c r="B36" i="21"/>
  <c r="A36" i="21"/>
  <c r="B35" i="21"/>
  <c r="A35" i="21"/>
  <c r="B34" i="21"/>
  <c r="A34" i="21"/>
  <c r="B33" i="21"/>
  <c r="A33" i="21"/>
  <c r="B32" i="21"/>
  <c r="A32" i="21"/>
  <c r="B31" i="21"/>
  <c r="A31" i="21"/>
  <c r="B30" i="21"/>
  <c r="A30" i="21"/>
  <c r="B29" i="21"/>
  <c r="A29" i="21"/>
  <c r="B28" i="21"/>
  <c r="A28" i="21"/>
  <c r="B27" i="21"/>
  <c r="A27" i="21"/>
  <c r="B26" i="21"/>
  <c r="A26" i="21"/>
  <c r="B25" i="21"/>
  <c r="A25" i="21"/>
  <c r="B24" i="21"/>
  <c r="A24" i="21"/>
  <c r="B23" i="21"/>
  <c r="A23" i="21"/>
  <c r="B22" i="21"/>
  <c r="A22" i="21"/>
  <c r="B21" i="21"/>
  <c r="A21" i="21"/>
  <c r="D341" i="22"/>
  <c r="C341" i="22"/>
  <c r="A341" i="22"/>
  <c r="C340" i="22"/>
  <c r="A340" i="22"/>
  <c r="D339" i="22"/>
  <c r="C339" i="22"/>
  <c r="A339" i="22"/>
  <c r="D338" i="22"/>
  <c r="C338" i="22"/>
  <c r="A338" i="22"/>
  <c r="D337" i="22"/>
  <c r="C337" i="22"/>
  <c r="A337" i="22"/>
  <c r="C336" i="22"/>
  <c r="A336" i="22"/>
  <c r="D335" i="22"/>
  <c r="C335" i="22"/>
  <c r="A335" i="22"/>
  <c r="C334" i="22"/>
  <c r="A334" i="22"/>
  <c r="C333" i="22"/>
  <c r="A333" i="22"/>
  <c r="D332" i="22"/>
  <c r="C332" i="22"/>
  <c r="A332" i="22"/>
  <c r="C331" i="22"/>
  <c r="A331" i="22"/>
  <c r="C330" i="22"/>
  <c r="A330" i="22"/>
  <c r="C329" i="22"/>
  <c r="A329" i="22"/>
  <c r="C328" i="22"/>
  <c r="A328" i="22"/>
  <c r="D327" i="22"/>
  <c r="C327" i="22"/>
  <c r="A327" i="22"/>
  <c r="C326" i="22"/>
  <c r="A326" i="22"/>
  <c r="C325" i="22"/>
  <c r="A325" i="22"/>
  <c r="C324" i="22"/>
  <c r="A324" i="22"/>
  <c r="C323" i="22"/>
  <c r="A323" i="22"/>
  <c r="C322" i="22"/>
  <c r="A322" i="22"/>
  <c r="C321" i="22"/>
  <c r="A321" i="22"/>
  <c r="C320" i="22"/>
  <c r="A320" i="22"/>
  <c r="C319" i="22"/>
  <c r="A319" i="22"/>
  <c r="C318" i="22"/>
  <c r="A318" i="22"/>
  <c r="C317" i="22"/>
  <c r="A317" i="22"/>
  <c r="C316" i="22"/>
  <c r="A316" i="22"/>
  <c r="C315" i="22"/>
  <c r="A315" i="22"/>
  <c r="C314" i="22"/>
  <c r="A314" i="22"/>
  <c r="C313" i="22"/>
  <c r="A313" i="22"/>
  <c r="C312" i="22"/>
  <c r="A312" i="22"/>
  <c r="C311" i="22"/>
  <c r="A311" i="22"/>
  <c r="C310" i="22"/>
  <c r="A310" i="22"/>
  <c r="C309" i="22"/>
  <c r="A309" i="22"/>
  <c r="C308" i="22"/>
  <c r="A308" i="22"/>
  <c r="C307" i="22"/>
  <c r="A307" i="22"/>
  <c r="C306" i="22"/>
  <c r="A306" i="22"/>
  <c r="C305" i="22"/>
  <c r="A305" i="22"/>
  <c r="C304" i="22"/>
  <c r="A304" i="22"/>
  <c r="C303" i="22"/>
  <c r="A303" i="22"/>
  <c r="C302" i="22"/>
  <c r="A302" i="22"/>
  <c r="C301" i="22"/>
  <c r="A301" i="22"/>
  <c r="C300" i="22"/>
  <c r="A300" i="22"/>
  <c r="D299" i="22"/>
  <c r="C299" i="22"/>
  <c r="A299" i="22"/>
  <c r="C298" i="22"/>
  <c r="A298" i="22"/>
  <c r="C296" i="22"/>
  <c r="A296" i="22"/>
  <c r="C295" i="22"/>
  <c r="A295" i="22"/>
  <c r="C294" i="22"/>
  <c r="A294" i="22"/>
  <c r="C292" i="22"/>
  <c r="A292" i="22"/>
  <c r="C291" i="22"/>
  <c r="A291" i="22"/>
  <c r="D290" i="22"/>
  <c r="C290" i="22"/>
  <c r="A290" i="22"/>
  <c r="C289" i="22"/>
  <c r="A289" i="22"/>
  <c r="C288" i="22"/>
  <c r="A288" i="22"/>
  <c r="C287" i="22"/>
  <c r="A287" i="22"/>
  <c r="C286" i="22"/>
  <c r="A286" i="22"/>
  <c r="C285" i="22"/>
  <c r="A285" i="22"/>
  <c r="C284" i="22"/>
  <c r="A284" i="22"/>
  <c r="C283" i="22"/>
  <c r="A283" i="22"/>
  <c r="C282" i="22"/>
  <c r="A282" i="22"/>
  <c r="C281" i="22"/>
  <c r="A281" i="22"/>
  <c r="C280" i="22"/>
  <c r="A280" i="22"/>
  <c r="C279" i="22"/>
  <c r="A279" i="22"/>
  <c r="C278" i="22"/>
  <c r="A278" i="22"/>
  <c r="C277" i="22"/>
  <c r="A277" i="22"/>
  <c r="C276" i="22"/>
  <c r="A276" i="22"/>
  <c r="C275" i="22"/>
  <c r="A275" i="22"/>
  <c r="C274" i="22"/>
  <c r="A274" i="22"/>
  <c r="C273" i="22"/>
  <c r="A273" i="22"/>
  <c r="C272" i="22"/>
  <c r="A272" i="22"/>
  <c r="C271" i="22"/>
  <c r="A271" i="22"/>
  <c r="C270" i="22"/>
  <c r="A270" i="22"/>
  <c r="C269" i="22"/>
  <c r="A269" i="22"/>
  <c r="C268" i="22"/>
  <c r="A268" i="22"/>
  <c r="C267" i="22"/>
  <c r="A267" i="22"/>
  <c r="C266" i="22"/>
  <c r="A266" i="22"/>
  <c r="C265" i="22"/>
  <c r="A265" i="22"/>
  <c r="C264" i="22"/>
  <c r="A264" i="22"/>
  <c r="C262" i="22"/>
  <c r="A262" i="22"/>
  <c r="C261" i="22"/>
  <c r="A261" i="22"/>
  <c r="C260" i="22"/>
  <c r="A260" i="22"/>
  <c r="D258" i="22"/>
  <c r="C258" i="22"/>
  <c r="A258" i="22"/>
  <c r="D257" i="22"/>
  <c r="C257" i="22"/>
  <c r="A257" i="22"/>
  <c r="C256" i="22"/>
  <c r="A256" i="22"/>
  <c r="C255" i="22"/>
  <c r="A255" i="22"/>
  <c r="C254" i="22"/>
  <c r="A254" i="22"/>
  <c r="C253" i="22"/>
  <c r="A253" i="22"/>
  <c r="C252" i="22"/>
  <c r="A252" i="22"/>
  <c r="D251" i="22"/>
  <c r="C251" i="22"/>
  <c r="A251" i="22"/>
  <c r="C250" i="22"/>
  <c r="A250" i="22"/>
  <c r="D249" i="22"/>
  <c r="C249" i="22"/>
  <c r="A249" i="22"/>
  <c r="C248" i="22"/>
  <c r="A248" i="22"/>
  <c r="C247" i="22"/>
  <c r="A247" i="22"/>
  <c r="C246" i="22"/>
  <c r="A246" i="22"/>
  <c r="C245" i="22"/>
  <c r="A245" i="22"/>
  <c r="C244" i="22"/>
  <c r="A244" i="22"/>
  <c r="C243" i="22"/>
  <c r="A243" i="22"/>
  <c r="C242" i="22"/>
  <c r="A242" i="22"/>
  <c r="C241" i="22"/>
  <c r="A241" i="22"/>
  <c r="C239" i="22"/>
  <c r="A239" i="22"/>
  <c r="C238" i="22"/>
  <c r="A238" i="22"/>
  <c r="C237" i="22"/>
  <c r="A237" i="22"/>
  <c r="C236" i="22"/>
  <c r="A236" i="22"/>
  <c r="C235" i="22"/>
  <c r="A235" i="22"/>
  <c r="D234" i="22"/>
  <c r="C234" i="22"/>
  <c r="A234" i="22"/>
  <c r="C233" i="22"/>
  <c r="A233" i="22"/>
  <c r="C232" i="22"/>
  <c r="A232" i="22"/>
  <c r="C231" i="22"/>
  <c r="A231" i="22"/>
  <c r="C230" i="22"/>
  <c r="A230" i="22"/>
  <c r="C229" i="22"/>
  <c r="A229" i="22"/>
  <c r="C228" i="22"/>
  <c r="A228" i="22"/>
  <c r="C227" i="22"/>
  <c r="A227" i="22"/>
  <c r="D226" i="22"/>
  <c r="C226" i="22"/>
  <c r="A226" i="22"/>
  <c r="C225" i="22"/>
  <c r="A225" i="22"/>
  <c r="C224" i="22"/>
  <c r="A224" i="22"/>
  <c r="C223" i="22"/>
  <c r="A223" i="22"/>
  <c r="C222" i="22"/>
  <c r="A222" i="22"/>
  <c r="C221" i="22"/>
  <c r="B221" i="22"/>
  <c r="A221" i="22"/>
  <c r="C220" i="22"/>
  <c r="A220" i="22"/>
  <c r="C219" i="22"/>
  <c r="A219" i="22"/>
  <c r="C218" i="22"/>
  <c r="A218" i="22"/>
  <c r="C217" i="22"/>
  <c r="A217" i="22"/>
  <c r="C207" i="22"/>
  <c r="A207" i="22"/>
  <c r="C206" i="22"/>
  <c r="A206" i="22"/>
  <c r="C205" i="22"/>
  <c r="A205" i="22"/>
  <c r="C203" i="22"/>
  <c r="A203" i="22"/>
  <c r="C201" i="22"/>
  <c r="A201" i="22"/>
  <c r="C200" i="22"/>
  <c r="A200" i="22"/>
  <c r="C199" i="22"/>
  <c r="A199" i="22"/>
  <c r="C198" i="22"/>
  <c r="A198" i="22"/>
  <c r="C197" i="22"/>
  <c r="A197" i="22"/>
  <c r="C196" i="22"/>
  <c r="A196" i="22"/>
  <c r="D195" i="22"/>
  <c r="C195" i="22"/>
  <c r="B195" i="22"/>
  <c r="E195" i="22" s="1"/>
  <c r="A195" i="22"/>
  <c r="C194" i="22"/>
  <c r="A194" i="22"/>
  <c r="C193" i="22"/>
  <c r="A193" i="22"/>
  <c r="C192" i="22"/>
  <c r="A192" i="22"/>
  <c r="C191" i="22"/>
  <c r="A191" i="22"/>
  <c r="C190" i="22"/>
  <c r="A190" i="22"/>
  <c r="C189" i="22"/>
  <c r="A189" i="22"/>
  <c r="C188" i="22"/>
  <c r="A188" i="22"/>
  <c r="C187" i="22"/>
  <c r="A187" i="22"/>
  <c r="C186" i="22"/>
  <c r="A186" i="22"/>
  <c r="C185" i="22"/>
  <c r="A185" i="22"/>
  <c r="C184" i="22"/>
  <c r="A184" i="22"/>
  <c r="C183" i="22"/>
  <c r="A183" i="22"/>
  <c r="C182" i="22"/>
  <c r="A182" i="22"/>
  <c r="C181" i="22"/>
  <c r="A181" i="22"/>
  <c r="D180" i="22"/>
  <c r="C180" i="22"/>
  <c r="A180" i="22"/>
  <c r="D179" i="22"/>
  <c r="C179" i="22"/>
  <c r="A179" i="22"/>
  <c r="C178" i="22"/>
  <c r="A178" i="22"/>
  <c r="D177" i="22"/>
  <c r="C177" i="22"/>
  <c r="A177" i="22"/>
  <c r="D176" i="22"/>
  <c r="C176" i="22"/>
  <c r="A176" i="22"/>
  <c r="C175" i="22"/>
  <c r="A175" i="22"/>
  <c r="C174" i="22"/>
  <c r="A174" i="22"/>
  <c r="C173" i="22"/>
  <c r="A173" i="22"/>
  <c r="C171" i="22"/>
  <c r="A171" i="22"/>
  <c r="C170" i="22"/>
  <c r="A170" i="22"/>
  <c r="C169" i="22"/>
  <c r="A169" i="22"/>
  <c r="C168" i="22"/>
  <c r="A168" i="22"/>
  <c r="C167" i="22"/>
  <c r="A167" i="22"/>
  <c r="C166" i="22"/>
  <c r="A166" i="22"/>
  <c r="D165" i="22"/>
  <c r="C165" i="22"/>
  <c r="A165" i="22"/>
  <c r="C164" i="22"/>
  <c r="A164" i="22"/>
  <c r="C161" i="22"/>
  <c r="A161" i="22"/>
  <c r="C160" i="22"/>
  <c r="A160" i="22"/>
  <c r="C159" i="22"/>
  <c r="A159" i="22"/>
  <c r="C158" i="22"/>
  <c r="A158" i="22"/>
  <c r="C157" i="22"/>
  <c r="A157" i="22"/>
  <c r="C156" i="22"/>
  <c r="A156" i="22"/>
  <c r="C155" i="22"/>
  <c r="A155" i="22"/>
  <c r="C154" i="22"/>
  <c r="A154" i="22"/>
  <c r="C153" i="22"/>
  <c r="A153" i="22"/>
  <c r="C152" i="22"/>
  <c r="A152" i="22"/>
  <c r="C151" i="22"/>
  <c r="A151" i="22"/>
  <c r="C150" i="22"/>
  <c r="A150" i="22"/>
  <c r="C149" i="22"/>
  <c r="A149" i="22"/>
  <c r="C148" i="22"/>
  <c r="A148" i="22"/>
  <c r="C147" i="22"/>
  <c r="A147" i="22"/>
  <c r="C146" i="22"/>
  <c r="A146" i="22"/>
  <c r="C145" i="22"/>
  <c r="A145" i="22"/>
  <c r="C144" i="22"/>
  <c r="A144" i="22"/>
  <c r="C142" i="22"/>
  <c r="A142" i="22"/>
  <c r="C141" i="22"/>
  <c r="A141" i="22"/>
  <c r="C140" i="22"/>
  <c r="A140" i="22"/>
  <c r="C139" i="22"/>
  <c r="A139" i="22"/>
  <c r="C138" i="22"/>
  <c r="A138" i="22"/>
  <c r="C137" i="22"/>
  <c r="A137" i="22"/>
  <c r="C136" i="22"/>
  <c r="A136" i="22"/>
  <c r="C135" i="22"/>
  <c r="A135" i="22"/>
  <c r="C134" i="22"/>
  <c r="A134" i="22"/>
  <c r="C133" i="22"/>
  <c r="A133" i="22"/>
  <c r="C132" i="22"/>
  <c r="A132" i="22"/>
  <c r="C131" i="22"/>
  <c r="A131" i="22"/>
  <c r="C130" i="22"/>
  <c r="A130" i="22"/>
  <c r="C129" i="22"/>
  <c r="A129" i="22"/>
  <c r="C128" i="22"/>
  <c r="A128" i="22"/>
  <c r="C127" i="22"/>
  <c r="A127" i="22"/>
  <c r="C126" i="22"/>
  <c r="A126" i="22"/>
  <c r="C125" i="22"/>
  <c r="A125" i="22"/>
  <c r="D124" i="22"/>
  <c r="C124" i="22"/>
  <c r="A124" i="22"/>
  <c r="C123" i="22"/>
  <c r="A123" i="22"/>
  <c r="C122" i="22"/>
  <c r="A122" i="22"/>
  <c r="C121" i="22"/>
  <c r="A121" i="22"/>
  <c r="C120" i="22"/>
  <c r="A120" i="22"/>
  <c r="C119" i="22"/>
  <c r="A119" i="22"/>
  <c r="C118" i="22"/>
  <c r="A118" i="22"/>
  <c r="C117" i="22"/>
  <c r="A117" i="22"/>
  <c r="C116" i="22"/>
  <c r="A116" i="22"/>
  <c r="C115" i="22"/>
  <c r="A115" i="22"/>
  <c r="C114" i="22"/>
  <c r="A114" i="22"/>
  <c r="C113" i="22"/>
  <c r="A113" i="22"/>
  <c r="C112" i="22"/>
  <c r="A112" i="22"/>
  <c r="C111" i="22"/>
  <c r="A111" i="22"/>
  <c r="C110" i="22"/>
  <c r="A110" i="22"/>
  <c r="C109" i="22"/>
  <c r="A109" i="22"/>
  <c r="C108" i="22"/>
  <c r="A108" i="22"/>
  <c r="D107" i="22"/>
  <c r="C107" i="22"/>
  <c r="A107" i="22"/>
  <c r="C106" i="22"/>
  <c r="A106" i="22"/>
  <c r="C105" i="22"/>
  <c r="A105" i="22"/>
  <c r="C104" i="22"/>
  <c r="A104" i="22"/>
  <c r="C102" i="22"/>
  <c r="A102" i="22"/>
  <c r="C101" i="22"/>
  <c r="A101" i="22"/>
  <c r="C100" i="22"/>
  <c r="A100" i="22"/>
  <c r="C99" i="22"/>
  <c r="A99" i="22"/>
  <c r="C98" i="22"/>
  <c r="A98" i="22"/>
  <c r="C97" i="22"/>
  <c r="A97" i="22"/>
  <c r="C96" i="22"/>
  <c r="A96" i="22"/>
  <c r="C94" i="22"/>
  <c r="A94" i="22"/>
  <c r="C93" i="22"/>
  <c r="A93" i="22"/>
  <c r="C92" i="22"/>
  <c r="A92" i="22"/>
  <c r="C90" i="22"/>
  <c r="A90" i="22"/>
  <c r="C89" i="22"/>
  <c r="A89" i="22"/>
  <c r="D86" i="22"/>
  <c r="C86" i="22"/>
  <c r="A86" i="22"/>
  <c r="C85" i="22"/>
  <c r="A85" i="22"/>
  <c r="C84" i="22"/>
  <c r="A84" i="22"/>
  <c r="C83" i="22"/>
  <c r="A83" i="22"/>
  <c r="C82" i="22"/>
  <c r="A82" i="22"/>
  <c r="C81" i="22"/>
  <c r="A81" i="22"/>
  <c r="C80" i="22"/>
  <c r="A80" i="22"/>
  <c r="C79" i="22"/>
  <c r="A79" i="22"/>
  <c r="C78" i="22"/>
  <c r="A78" i="22"/>
  <c r="C77" i="22"/>
  <c r="A77" i="22"/>
  <c r="C76" i="22"/>
  <c r="A76" i="22"/>
  <c r="C75" i="22"/>
  <c r="A75" i="22"/>
  <c r="C74" i="22"/>
  <c r="A74" i="22"/>
  <c r="C73" i="22"/>
  <c r="A73" i="22"/>
  <c r="C72" i="22"/>
  <c r="A72" i="22"/>
  <c r="C71" i="22"/>
  <c r="A71" i="22"/>
  <c r="C70" i="22"/>
  <c r="A70" i="22"/>
  <c r="C69" i="22"/>
  <c r="A69" i="22"/>
  <c r="C68" i="22"/>
  <c r="A68" i="22"/>
  <c r="C66" i="22"/>
  <c r="A66" i="22"/>
  <c r="C65" i="22"/>
  <c r="A65" i="22"/>
  <c r="C64" i="22"/>
  <c r="A64" i="22"/>
  <c r="C63" i="22"/>
  <c r="A63" i="22"/>
  <c r="C62" i="22"/>
  <c r="A62" i="22"/>
  <c r="C61" i="22"/>
  <c r="A61" i="22"/>
  <c r="C60" i="22"/>
  <c r="A60" i="22"/>
  <c r="C59" i="22"/>
  <c r="A59" i="22"/>
  <c r="C58" i="22"/>
  <c r="A58" i="22"/>
  <c r="C57" i="22"/>
  <c r="A57" i="22"/>
  <c r="C56" i="22"/>
  <c r="A56" i="22"/>
  <c r="C55" i="22"/>
  <c r="A55" i="22"/>
  <c r="C54" i="22"/>
  <c r="A54" i="22"/>
  <c r="C53" i="22"/>
  <c r="A53" i="22"/>
  <c r="C52" i="22"/>
  <c r="A52" i="22"/>
  <c r="C51" i="22"/>
  <c r="A51" i="22"/>
  <c r="C50" i="22"/>
  <c r="A50" i="22"/>
  <c r="C49" i="22"/>
  <c r="A49" i="22"/>
  <c r="C48" i="22"/>
  <c r="A48" i="22"/>
  <c r="C47" i="22"/>
  <c r="A47" i="22"/>
  <c r="C46" i="22"/>
  <c r="A46" i="22"/>
  <c r="C45" i="22"/>
  <c r="A45" i="22"/>
  <c r="C44" i="22"/>
  <c r="A44" i="22"/>
  <c r="C43" i="22"/>
  <c r="A43" i="22"/>
  <c r="C42" i="22"/>
  <c r="A42" i="22"/>
  <c r="C41" i="22"/>
  <c r="A41" i="22"/>
  <c r="C40" i="22"/>
  <c r="A40" i="22"/>
  <c r="C39" i="22"/>
  <c r="A39" i="22"/>
  <c r="C38" i="22"/>
  <c r="A38" i="22"/>
  <c r="C37" i="22"/>
  <c r="A37" i="22"/>
  <c r="C36" i="22"/>
  <c r="A36" i="22"/>
  <c r="C35" i="22"/>
  <c r="A35" i="22"/>
  <c r="C34" i="22"/>
  <c r="A34" i="22"/>
  <c r="C33" i="22"/>
  <c r="A33" i="22"/>
  <c r="C32" i="22"/>
  <c r="A32" i="22"/>
  <c r="C31" i="22"/>
  <c r="A31" i="22"/>
  <c r="C30" i="22"/>
  <c r="A30" i="22"/>
  <c r="C29" i="22"/>
  <c r="A29" i="22"/>
  <c r="C28" i="22"/>
  <c r="A28" i="22"/>
  <c r="C27" i="22"/>
  <c r="A27" i="22"/>
  <c r="C26" i="22"/>
  <c r="A26" i="22"/>
  <c r="C25" i="22"/>
  <c r="A25" i="22"/>
  <c r="C24" i="22"/>
  <c r="A24" i="22"/>
  <c r="C23" i="22"/>
  <c r="A23" i="22"/>
  <c r="C22" i="22"/>
  <c r="A22" i="22"/>
  <c r="C21" i="22"/>
  <c r="A21" i="22"/>
  <c r="C20" i="22"/>
  <c r="A20" i="22"/>
  <c r="C19" i="22"/>
  <c r="A19" i="22"/>
  <c r="C18" i="22"/>
  <c r="A18" i="22"/>
  <c r="C17" i="22"/>
  <c r="A17" i="22"/>
  <c r="K326" i="19"/>
  <c r="K325" i="19"/>
  <c r="U325" i="19"/>
  <c r="K323" i="19"/>
  <c r="U323" i="19" s="1"/>
  <c r="K322" i="19"/>
  <c r="K321" i="19"/>
  <c r="K320" i="19"/>
  <c r="U320" i="19" s="1"/>
  <c r="K317" i="19"/>
  <c r="K316" i="19"/>
  <c r="K315" i="19"/>
  <c r="K314" i="19"/>
  <c r="W314" i="19" s="1"/>
  <c r="K313" i="19"/>
  <c r="K312" i="19"/>
  <c r="K311" i="19"/>
  <c r="K310" i="19"/>
  <c r="U310" i="19" s="1"/>
  <c r="K309" i="19"/>
  <c r="K308" i="19"/>
  <c r="T308" i="19" s="1"/>
  <c r="K307" i="19"/>
  <c r="K306" i="19"/>
  <c r="W306" i="19" s="1"/>
  <c r="K305" i="19"/>
  <c r="U305" i="19" s="1"/>
  <c r="K304" i="19"/>
  <c r="T304" i="19" s="1"/>
  <c r="K303" i="19"/>
  <c r="K302" i="19"/>
  <c r="U302" i="19" s="1"/>
  <c r="K301" i="19"/>
  <c r="K300" i="19"/>
  <c r="U300" i="19" s="1"/>
  <c r="K299" i="19"/>
  <c r="K298" i="19"/>
  <c r="W298" i="19"/>
  <c r="K297" i="19"/>
  <c r="U297" i="19"/>
  <c r="K296" i="19"/>
  <c r="K295" i="19"/>
  <c r="U295" i="19" s="1"/>
  <c r="K294" i="19"/>
  <c r="U294" i="19"/>
  <c r="K293" i="19"/>
  <c r="K292" i="19"/>
  <c r="U292" i="19" s="1"/>
  <c r="K290" i="19"/>
  <c r="K288" i="19"/>
  <c r="U288" i="19" s="1"/>
  <c r="K287" i="19"/>
  <c r="K286" i="19"/>
  <c r="R286" i="19" s="1"/>
  <c r="K284" i="19"/>
  <c r="U284" i="19" s="1"/>
  <c r="K283" i="19"/>
  <c r="V283" i="19" s="1"/>
  <c r="K281" i="19"/>
  <c r="K280" i="19"/>
  <c r="U280" i="19" s="1"/>
  <c r="K279" i="19"/>
  <c r="V279" i="19" s="1"/>
  <c r="K278" i="19"/>
  <c r="V278" i="19" s="1"/>
  <c r="K277" i="19"/>
  <c r="K276" i="19"/>
  <c r="K275" i="19"/>
  <c r="R275" i="19" s="1"/>
  <c r="K274" i="19"/>
  <c r="K273" i="19"/>
  <c r="K272" i="19"/>
  <c r="R272" i="19" s="1"/>
  <c r="K271" i="19"/>
  <c r="K270" i="19"/>
  <c r="U270" i="19" s="1"/>
  <c r="K269" i="19"/>
  <c r="T269" i="19" s="1"/>
  <c r="K268" i="19"/>
  <c r="V268" i="19" s="1"/>
  <c r="K267" i="19"/>
  <c r="U267" i="19" s="1"/>
  <c r="K266" i="19"/>
  <c r="V266" i="19" s="1"/>
  <c r="K265" i="19"/>
  <c r="R265" i="19" s="1"/>
  <c r="K264" i="19"/>
  <c r="R264" i="19" s="1"/>
  <c r="K263" i="19"/>
  <c r="K262" i="19"/>
  <c r="V262" i="19" s="1"/>
  <c r="K261" i="19"/>
  <c r="R261" i="19" s="1"/>
  <c r="K260" i="19"/>
  <c r="V260" i="19" s="1"/>
  <c r="K259" i="19"/>
  <c r="V259" i="19" s="1"/>
  <c r="K258" i="19"/>
  <c r="R258" i="19"/>
  <c r="K257" i="19"/>
  <c r="K256" i="19"/>
  <c r="K254" i="19"/>
  <c r="K253" i="19"/>
  <c r="W253" i="19" s="1"/>
  <c r="K252" i="19"/>
  <c r="K247" i="19"/>
  <c r="T247" i="19" s="1"/>
  <c r="K246" i="19"/>
  <c r="K245" i="19"/>
  <c r="T245" i="19" s="1"/>
  <c r="K244" i="19"/>
  <c r="T244" i="19" s="1"/>
  <c r="K242" i="19"/>
  <c r="K240" i="19"/>
  <c r="K239" i="19"/>
  <c r="T239" i="19" s="1"/>
  <c r="K238" i="19"/>
  <c r="T238" i="19" s="1"/>
  <c r="K237" i="19"/>
  <c r="K236" i="19"/>
  <c r="K235" i="19"/>
  <c r="T235" i="19" s="1"/>
  <c r="T232" i="19" s="1"/>
  <c r="K234" i="19"/>
  <c r="T234" i="19" s="1"/>
  <c r="K233" i="19"/>
  <c r="T233" i="19" s="1"/>
  <c r="S229" i="19"/>
  <c r="T223" i="19"/>
  <c r="V219" i="19"/>
  <c r="V214" i="19"/>
  <c r="T210" i="19"/>
  <c r="K195" i="19"/>
  <c r="W192" i="19"/>
  <c r="V188" i="19"/>
  <c r="T166" i="19"/>
  <c r="U165" i="19"/>
  <c r="K153" i="19"/>
  <c r="V153" i="19" s="1"/>
  <c r="K152" i="19"/>
  <c r="K151" i="19"/>
  <c r="U151" i="19" s="1"/>
  <c r="K150" i="19"/>
  <c r="V150" i="19" s="1"/>
  <c r="K149" i="19"/>
  <c r="V149" i="19" s="1"/>
  <c r="K148" i="19"/>
  <c r="K147" i="19"/>
  <c r="U147" i="19" s="1"/>
  <c r="K146" i="19"/>
  <c r="U146" i="19" s="1"/>
  <c r="K145" i="19"/>
  <c r="V145" i="19" s="1"/>
  <c r="K144" i="19"/>
  <c r="K143" i="19"/>
  <c r="U143" i="19" s="1"/>
  <c r="K142" i="19"/>
  <c r="V142" i="19" s="1"/>
  <c r="K141" i="19"/>
  <c r="V141" i="19" s="1"/>
  <c r="K140" i="19"/>
  <c r="K139" i="19"/>
  <c r="U139" i="19" s="1"/>
  <c r="K138" i="19"/>
  <c r="U138" i="19" s="1"/>
  <c r="K137" i="19"/>
  <c r="V137" i="19" s="1"/>
  <c r="K136" i="19"/>
  <c r="K134" i="19"/>
  <c r="U134" i="19" s="1"/>
  <c r="K133" i="19"/>
  <c r="V133" i="19" s="1"/>
  <c r="K132" i="19"/>
  <c r="K131" i="19"/>
  <c r="K130" i="19"/>
  <c r="U130" i="19" s="1"/>
  <c r="K129" i="19"/>
  <c r="V129" i="19" s="1"/>
  <c r="K128" i="19"/>
  <c r="K127" i="19"/>
  <c r="K126" i="19"/>
  <c r="U126" i="19" s="1"/>
  <c r="K125" i="19"/>
  <c r="U125" i="19" s="1"/>
  <c r="K124" i="19"/>
  <c r="U124" i="19" s="1"/>
  <c r="K123" i="19"/>
  <c r="K122" i="19"/>
  <c r="V122" i="19" s="1"/>
  <c r="U122" i="19"/>
  <c r="K121" i="19"/>
  <c r="U121" i="19" s="1"/>
  <c r="K120" i="19"/>
  <c r="U120" i="19"/>
  <c r="K119" i="19"/>
  <c r="U119" i="19" s="1"/>
  <c r="K118" i="19"/>
  <c r="U118" i="19" s="1"/>
  <c r="K117" i="19"/>
  <c r="D125" i="22" s="1"/>
  <c r="K115" i="19"/>
  <c r="V115" i="19" s="1"/>
  <c r="K114" i="19"/>
  <c r="U114" i="19" s="1"/>
  <c r="K113" i="19"/>
  <c r="V113" i="19" s="1"/>
  <c r="K112" i="19"/>
  <c r="D120" i="22" s="1"/>
  <c r="K111" i="19"/>
  <c r="K110" i="19"/>
  <c r="V110" i="19" s="1"/>
  <c r="K109" i="19"/>
  <c r="V109" i="19" s="1"/>
  <c r="K108" i="19"/>
  <c r="D116" i="22" s="1"/>
  <c r="K107" i="19"/>
  <c r="K106" i="19"/>
  <c r="U106" i="19" s="1"/>
  <c r="K105" i="19"/>
  <c r="V105" i="19" s="1"/>
  <c r="K104" i="19"/>
  <c r="D112" i="22" s="1"/>
  <c r="K103" i="19"/>
  <c r="K102" i="19"/>
  <c r="V102" i="19" s="1"/>
  <c r="K101" i="19"/>
  <c r="V101" i="19" s="1"/>
  <c r="K100" i="19"/>
  <c r="D108" i="22" s="1"/>
  <c r="K98" i="19"/>
  <c r="K97" i="19"/>
  <c r="V97" i="19" s="1"/>
  <c r="K96" i="19"/>
  <c r="U96" i="19" s="1"/>
  <c r="K94" i="19"/>
  <c r="D102" i="22" s="1"/>
  <c r="K92" i="19"/>
  <c r="U92" i="19" s="1"/>
  <c r="K91" i="19"/>
  <c r="V91" i="19" s="1"/>
  <c r="K90" i="19"/>
  <c r="D98" i="22" s="1"/>
  <c r="K89" i="19"/>
  <c r="K86" i="19"/>
  <c r="V86" i="19" s="1"/>
  <c r="U86" i="19"/>
  <c r="K84" i="19"/>
  <c r="D92" i="22"/>
  <c r="K82" i="19"/>
  <c r="K77" i="19"/>
  <c r="D85" i="22" s="1"/>
  <c r="K76" i="19"/>
  <c r="D84" i="22"/>
  <c r="K75" i="19"/>
  <c r="V75" i="19" s="1"/>
  <c r="K74" i="19"/>
  <c r="V74" i="19" s="1"/>
  <c r="K73" i="19"/>
  <c r="K72" i="19"/>
  <c r="D80" i="22" s="1"/>
  <c r="K71" i="19"/>
  <c r="V71" i="19" s="1"/>
  <c r="K70" i="19"/>
  <c r="K69" i="19"/>
  <c r="D77" i="22" s="1"/>
  <c r="K68" i="19"/>
  <c r="D76" i="22" s="1"/>
  <c r="K67" i="19"/>
  <c r="O67" i="19" s="1"/>
  <c r="K66" i="19"/>
  <c r="K65" i="19"/>
  <c r="K64" i="19"/>
  <c r="D72" i="22" s="1"/>
  <c r="K63" i="19"/>
  <c r="V63" i="19" s="1"/>
  <c r="K62" i="19"/>
  <c r="D70" i="22" s="1"/>
  <c r="K61" i="19"/>
  <c r="K58" i="19"/>
  <c r="D66" i="22" s="1"/>
  <c r="K57" i="19"/>
  <c r="V57" i="19" s="1"/>
  <c r="K56" i="19"/>
  <c r="D64" i="22"/>
  <c r="K55" i="19"/>
  <c r="K54" i="19"/>
  <c r="D62" i="22" s="1"/>
  <c r="K53" i="19"/>
  <c r="K52" i="19"/>
  <c r="D60" i="22" s="1"/>
  <c r="K51" i="19"/>
  <c r="K50" i="19"/>
  <c r="K49" i="19"/>
  <c r="K48" i="19"/>
  <c r="K47" i="19"/>
  <c r="K46" i="19"/>
  <c r="D54" i="22" s="1"/>
  <c r="K45" i="19"/>
  <c r="U45" i="19" s="1"/>
  <c r="K44" i="19"/>
  <c r="D52" i="22" s="1"/>
  <c r="K43" i="19"/>
  <c r="K42" i="19"/>
  <c r="D50" i="22" s="1"/>
  <c r="K41" i="19"/>
  <c r="V41" i="19" s="1"/>
  <c r="K40" i="19"/>
  <c r="D48" i="22"/>
  <c r="K39" i="19"/>
  <c r="K38" i="19"/>
  <c r="D46" i="22" s="1"/>
  <c r="K37" i="19"/>
  <c r="K36" i="19"/>
  <c r="K35" i="19"/>
  <c r="K34" i="19"/>
  <c r="D42" i="22" s="1"/>
  <c r="K33" i="19"/>
  <c r="K32" i="19"/>
  <c r="D40" i="22" s="1"/>
  <c r="K31" i="19"/>
  <c r="K30" i="19"/>
  <c r="D38" i="22" s="1"/>
  <c r="K29" i="19"/>
  <c r="K28" i="19"/>
  <c r="D36" i="22" s="1"/>
  <c r="K27" i="19"/>
  <c r="K26" i="19"/>
  <c r="D34" i="22" s="1"/>
  <c r="K25" i="19"/>
  <c r="K24" i="19"/>
  <c r="D32" i="22"/>
  <c r="K23" i="19"/>
  <c r="U23" i="19" s="1"/>
  <c r="K22" i="19"/>
  <c r="D30" i="22" s="1"/>
  <c r="K21" i="19"/>
  <c r="K20" i="19"/>
  <c r="D28" i="22" s="1"/>
  <c r="K19" i="19"/>
  <c r="U19" i="19" s="1"/>
  <c r="K18" i="19"/>
  <c r="D26" i="22" s="1"/>
  <c r="K17" i="19"/>
  <c r="K16" i="19"/>
  <c r="U16" i="19" s="1"/>
  <c r="D24" i="22"/>
  <c r="K15" i="19"/>
  <c r="K14" i="19"/>
  <c r="D22" i="22" s="1"/>
  <c r="K13" i="19"/>
  <c r="V13" i="19" s="1"/>
  <c r="K12" i="19"/>
  <c r="K11" i="19"/>
  <c r="D18" i="22"/>
  <c r="K9" i="19"/>
  <c r="N88" i="19"/>
  <c r="M88" i="19"/>
  <c r="L88" i="19"/>
  <c r="N224" i="19"/>
  <c r="M224" i="19"/>
  <c r="L224" i="19"/>
  <c r="N93" i="19"/>
  <c r="M93" i="19"/>
  <c r="L93" i="19"/>
  <c r="K93" i="19" s="1"/>
  <c r="N81" i="19"/>
  <c r="M81" i="19"/>
  <c r="L81" i="19"/>
  <c r="N85" i="19"/>
  <c r="K85" i="19" s="1"/>
  <c r="D93" i="40" s="1"/>
  <c r="N176" i="19"/>
  <c r="M176" i="19"/>
  <c r="L176" i="19"/>
  <c r="K176" i="19" s="1"/>
  <c r="R176" i="19" s="1"/>
  <c r="N183" i="19"/>
  <c r="M183" i="19"/>
  <c r="L183" i="19"/>
  <c r="K161" i="19"/>
  <c r="K160" i="19"/>
  <c r="K159" i="19"/>
  <c r="K158" i="19"/>
  <c r="K156" i="19"/>
  <c r="Q339" i="19"/>
  <c r="C17" i="21"/>
  <c r="B40" i="17"/>
  <c r="E51" i="38"/>
  <c r="E19" i="38"/>
  <c r="T41" i="36"/>
  <c r="S41" i="36"/>
  <c r="R41" i="36"/>
  <c r="Q41" i="36"/>
  <c r="P41" i="36"/>
  <c r="T37" i="36"/>
  <c r="S37" i="36"/>
  <c r="R37" i="36"/>
  <c r="Q37" i="36"/>
  <c r="P37" i="36"/>
  <c r="T33" i="36"/>
  <c r="S33" i="36"/>
  <c r="R33" i="36"/>
  <c r="Q33" i="36"/>
  <c r="P33" i="36"/>
  <c r="T29" i="36"/>
  <c r="S29" i="36"/>
  <c r="R29" i="36"/>
  <c r="Q29" i="36"/>
  <c r="P29" i="36"/>
  <c r="T27" i="36"/>
  <c r="S27" i="36"/>
  <c r="R27" i="36"/>
  <c r="Q27" i="36"/>
  <c r="P27" i="36"/>
  <c r="T23" i="36"/>
  <c r="S23" i="36"/>
  <c r="R23" i="36"/>
  <c r="Q23" i="36"/>
  <c r="P23" i="36"/>
  <c r="T19" i="36"/>
  <c r="S19" i="36"/>
  <c r="R19" i="36"/>
  <c r="Q19" i="36"/>
  <c r="P19" i="36"/>
  <c r="T14" i="36"/>
  <c r="S14" i="36"/>
  <c r="R14" i="36"/>
  <c r="Q14" i="36"/>
  <c r="P14" i="36"/>
  <c r="S4" i="36"/>
  <c r="Q4" i="36"/>
  <c r="P4" i="36"/>
  <c r="O41" i="36"/>
  <c r="N41" i="36" s="1"/>
  <c r="O37" i="36"/>
  <c r="O33" i="36"/>
  <c r="O29" i="36"/>
  <c r="O27" i="36"/>
  <c r="O23" i="36"/>
  <c r="O19" i="36"/>
  <c r="O14" i="36"/>
  <c r="O4" i="36"/>
  <c r="L41" i="36"/>
  <c r="L37" i="36"/>
  <c r="L33" i="36"/>
  <c r="L29" i="36"/>
  <c r="L27" i="36"/>
  <c r="L23" i="36"/>
  <c r="L19" i="36"/>
  <c r="L14" i="36"/>
  <c r="C37" i="36"/>
  <c r="C33" i="36"/>
  <c r="C4" i="36"/>
  <c r="E26" i="38"/>
  <c r="E25" i="38" s="1"/>
  <c r="E35" i="38"/>
  <c r="E53" i="38"/>
  <c r="C27" i="36"/>
  <c r="C10" i="36"/>
  <c r="C19" i="36"/>
  <c r="C29" i="36"/>
  <c r="C14" i="36"/>
  <c r="C23" i="36"/>
  <c r="C41" i="36"/>
  <c r="B33" i="17"/>
  <c r="K198" i="19"/>
  <c r="K197" i="19"/>
  <c r="O197" i="19" s="1"/>
  <c r="C197" i="19"/>
  <c r="C199" i="19"/>
  <c r="C198" i="19"/>
  <c r="O198" i="19" s="1"/>
  <c r="B19" i="17"/>
  <c r="U60" i="19"/>
  <c r="V60" i="19"/>
  <c r="U63" i="19"/>
  <c r="U71" i="19"/>
  <c r="U75" i="19"/>
  <c r="U78" i="19"/>
  <c r="V78" i="19"/>
  <c r="W190" i="19"/>
  <c r="U190" i="19"/>
  <c r="T190" i="19"/>
  <c r="S190" i="19"/>
  <c r="V189" i="19"/>
  <c r="U189" i="19"/>
  <c r="T189" i="19"/>
  <c r="W187" i="19"/>
  <c r="V187" i="19"/>
  <c r="U187" i="19"/>
  <c r="T187" i="19"/>
  <c r="S187" i="19"/>
  <c r="V180" i="19"/>
  <c r="T180" i="19"/>
  <c r="S180" i="19"/>
  <c r="W173" i="19"/>
  <c r="U173" i="19"/>
  <c r="S173" i="19"/>
  <c r="W172" i="19"/>
  <c r="V172" i="19"/>
  <c r="U172" i="19"/>
  <c r="T172" i="19"/>
  <c r="Q172" i="19" s="1"/>
  <c r="Y172" i="19" s="1"/>
  <c r="S172" i="19"/>
  <c r="W171" i="19"/>
  <c r="V171" i="19"/>
  <c r="U171" i="19"/>
  <c r="T171" i="19"/>
  <c r="S171" i="19"/>
  <c r="W169" i="19"/>
  <c r="V169" i="19"/>
  <c r="U169" i="19"/>
  <c r="S169" i="19"/>
  <c r="W168" i="19"/>
  <c r="V168" i="19"/>
  <c r="Q168" i="19" s="1"/>
  <c r="Y168" i="19" s="1"/>
  <c r="U168" i="19"/>
  <c r="T168" i="19"/>
  <c r="S168" i="19"/>
  <c r="V166" i="19"/>
  <c r="U166" i="19"/>
  <c r="V197" i="19"/>
  <c r="Q197" i="19"/>
  <c r="Y197" i="19" s="1"/>
  <c r="T199" i="19"/>
  <c r="U199" i="19"/>
  <c r="W231" i="19"/>
  <c r="V231" i="19"/>
  <c r="U231" i="19"/>
  <c r="T231" i="19"/>
  <c r="S231" i="19"/>
  <c r="T230" i="19"/>
  <c r="W228" i="19"/>
  <c r="V228" i="19"/>
  <c r="U228" i="19"/>
  <c r="T228" i="19"/>
  <c r="S228" i="19"/>
  <c r="W227" i="19"/>
  <c r="V227" i="19"/>
  <c r="U227" i="19"/>
  <c r="T227" i="19"/>
  <c r="Q227" i="19" s="1"/>
  <c r="Y227" i="19" s="1"/>
  <c r="S227" i="19"/>
  <c r="V226" i="19"/>
  <c r="U226" i="19"/>
  <c r="T226" i="19"/>
  <c r="W225" i="19"/>
  <c r="V225" i="19"/>
  <c r="U225" i="19"/>
  <c r="S225" i="19"/>
  <c r="W221" i="19"/>
  <c r="V221" i="19"/>
  <c r="T221" i="19"/>
  <c r="S221" i="19"/>
  <c r="W220" i="19"/>
  <c r="U220" i="19"/>
  <c r="T220" i="19"/>
  <c r="S220" i="19"/>
  <c r="W218" i="19"/>
  <c r="V218" i="19"/>
  <c r="U218" i="19"/>
  <c r="T218" i="19"/>
  <c r="S218" i="19"/>
  <c r="W216" i="19"/>
  <c r="V216" i="19"/>
  <c r="U216" i="19"/>
  <c r="S216" i="19"/>
  <c r="W215" i="19"/>
  <c r="V215" i="19"/>
  <c r="U215" i="19"/>
  <c r="T215" i="19"/>
  <c r="S215" i="19"/>
  <c r="W212" i="19"/>
  <c r="U212" i="19"/>
  <c r="T212" i="19"/>
  <c r="S212" i="19"/>
  <c r="W211" i="19"/>
  <c r="V211" i="19"/>
  <c r="U211" i="19"/>
  <c r="T211" i="19"/>
  <c r="S211" i="19"/>
  <c r="T250" i="19"/>
  <c r="T249" i="19"/>
  <c r="T248" i="19"/>
  <c r="T246" i="19"/>
  <c r="T243" i="19"/>
  <c r="T242" i="19"/>
  <c r="T241" i="19"/>
  <c r="T240" i="19"/>
  <c r="T237" i="19"/>
  <c r="T236" i="19"/>
  <c r="W254" i="19"/>
  <c r="V254" i="19"/>
  <c r="U254" i="19"/>
  <c r="T254" i="19"/>
  <c r="S254" i="19"/>
  <c r="R254" i="19"/>
  <c r="V284" i="19"/>
  <c r="R284" i="19"/>
  <c r="V282" i="19"/>
  <c r="U282" i="19"/>
  <c r="R282" i="19"/>
  <c r="V280" i="19"/>
  <c r="U279" i="19"/>
  <c r="R279" i="19"/>
  <c r="R276" i="19"/>
  <c r="V275" i="19"/>
  <c r="U275" i="19"/>
  <c r="V272" i="19"/>
  <c r="U272" i="19"/>
  <c r="V271" i="19"/>
  <c r="U271" i="19"/>
  <c r="R271" i="19"/>
  <c r="U268" i="19"/>
  <c r="V267" i="19"/>
  <c r="R267" i="19"/>
  <c r="V264" i="19"/>
  <c r="V263" i="19"/>
  <c r="U263" i="19"/>
  <c r="R263" i="19"/>
  <c r="U262" i="19"/>
  <c r="U260" i="19"/>
  <c r="R260" i="19"/>
  <c r="U259" i="19"/>
  <c r="R259" i="19"/>
  <c r="R256" i="19"/>
  <c r="V286" i="19"/>
  <c r="U286" i="19"/>
  <c r="W333" i="19"/>
  <c r="V333" i="19"/>
  <c r="U333" i="19"/>
  <c r="T333" i="19"/>
  <c r="S333" i="19"/>
  <c r="R333" i="19"/>
  <c r="U332" i="19"/>
  <c r="T332" i="19"/>
  <c r="R332" i="19"/>
  <c r="W331" i="19"/>
  <c r="V331" i="19"/>
  <c r="T331" i="19"/>
  <c r="S331" i="19"/>
  <c r="R331" i="19"/>
  <c r="W330" i="19"/>
  <c r="V330" i="19"/>
  <c r="U330" i="19"/>
  <c r="T330" i="19"/>
  <c r="S330" i="19"/>
  <c r="R330" i="19"/>
  <c r="W329" i="19"/>
  <c r="V329" i="19"/>
  <c r="U329" i="19"/>
  <c r="T329" i="19"/>
  <c r="S329" i="19"/>
  <c r="R329" i="19"/>
  <c r="V328" i="19"/>
  <c r="U328" i="19"/>
  <c r="T328" i="19"/>
  <c r="W327" i="19"/>
  <c r="V327" i="19"/>
  <c r="T327" i="19"/>
  <c r="S327" i="19"/>
  <c r="R327" i="19"/>
  <c r="Q327" i="19" s="1"/>
  <c r="Y327" i="19" s="1"/>
  <c r="V326" i="19"/>
  <c r="U326" i="19"/>
  <c r="T326" i="19"/>
  <c r="R326" i="19"/>
  <c r="W324" i="19"/>
  <c r="V324" i="19"/>
  <c r="U324" i="19"/>
  <c r="T324" i="19"/>
  <c r="S324" i="19"/>
  <c r="R324" i="19"/>
  <c r="V322" i="19"/>
  <c r="U322" i="19"/>
  <c r="T322" i="19"/>
  <c r="R322" i="19"/>
  <c r="V321" i="19"/>
  <c r="T321" i="19"/>
  <c r="W319" i="19"/>
  <c r="V319" i="19"/>
  <c r="U319" i="19"/>
  <c r="T319" i="19"/>
  <c r="S319" i="19"/>
  <c r="R319" i="19"/>
  <c r="W318" i="19"/>
  <c r="T318" i="19"/>
  <c r="S318" i="19"/>
  <c r="R318" i="19"/>
  <c r="V316" i="19"/>
  <c r="U316" i="19"/>
  <c r="T316" i="19"/>
  <c r="R316" i="19"/>
  <c r="V315" i="19"/>
  <c r="V312" i="19"/>
  <c r="U312" i="19"/>
  <c r="T312" i="19"/>
  <c r="R312" i="19"/>
  <c r="W311" i="19"/>
  <c r="V311" i="19"/>
  <c r="W310" i="19"/>
  <c r="W308" i="19"/>
  <c r="V308" i="19"/>
  <c r="U308" i="19"/>
  <c r="S308" i="19"/>
  <c r="R308" i="19"/>
  <c r="Q308" i="19" s="1"/>
  <c r="Y308" i="19" s="1"/>
  <c r="S307" i="19"/>
  <c r="W304" i="19"/>
  <c r="V304" i="19"/>
  <c r="U304" i="19"/>
  <c r="S304" i="19"/>
  <c r="R304" i="19"/>
  <c r="T303" i="19"/>
  <c r="S302" i="19"/>
  <c r="W300" i="19"/>
  <c r="V300" i="19"/>
  <c r="T300" i="19"/>
  <c r="S300" i="19"/>
  <c r="R300" i="19"/>
  <c r="T299" i="19"/>
  <c r="S299" i="19"/>
  <c r="W296" i="19"/>
  <c r="V296" i="19"/>
  <c r="U296" i="19"/>
  <c r="T296" i="19"/>
  <c r="S296" i="19"/>
  <c r="R296" i="19"/>
  <c r="W295" i="19"/>
  <c r="V295" i="19"/>
  <c r="S295" i="19"/>
  <c r="R295" i="19"/>
  <c r="V292" i="19"/>
  <c r="T292" i="19"/>
  <c r="R292" i="19"/>
  <c r="W291" i="19"/>
  <c r="V291" i="19"/>
  <c r="U291" i="19"/>
  <c r="T291" i="19"/>
  <c r="S291" i="19"/>
  <c r="R291" i="19"/>
  <c r="W290" i="19"/>
  <c r="V290" i="19"/>
  <c r="U290" i="19"/>
  <c r="T290" i="19"/>
  <c r="S290" i="19"/>
  <c r="R290" i="19"/>
  <c r="G256" i="19"/>
  <c r="U256" i="19" s="1"/>
  <c r="H256" i="19"/>
  <c r="V256" i="19" s="1"/>
  <c r="I284" i="19"/>
  <c r="W284" i="19" s="1"/>
  <c r="I283" i="19"/>
  <c r="W283" i="19" s="1"/>
  <c r="I282" i="19"/>
  <c r="W282" i="19" s="1"/>
  <c r="I281" i="19"/>
  <c r="I280" i="19"/>
  <c r="W280" i="19" s="1"/>
  <c r="I279" i="19"/>
  <c r="W279" i="19" s="1"/>
  <c r="I278" i="19"/>
  <c r="I277" i="19"/>
  <c r="I276" i="19"/>
  <c r="W276" i="19" s="1"/>
  <c r="I275" i="19"/>
  <c r="W275" i="19" s="1"/>
  <c r="I274" i="19"/>
  <c r="I273" i="19"/>
  <c r="I272" i="19"/>
  <c r="W272" i="19" s="1"/>
  <c r="I271" i="19"/>
  <c r="W271" i="19" s="1"/>
  <c r="I270" i="19"/>
  <c r="I269" i="19"/>
  <c r="I268" i="19"/>
  <c r="W268" i="19" s="1"/>
  <c r="I267" i="19"/>
  <c r="W267" i="19" s="1"/>
  <c r="I266" i="19"/>
  <c r="I265" i="19"/>
  <c r="I264" i="19"/>
  <c r="W264" i="19" s="1"/>
  <c r="I263" i="19"/>
  <c r="W263" i="19" s="1"/>
  <c r="I262" i="19"/>
  <c r="I261" i="19"/>
  <c r="I260" i="19"/>
  <c r="W260" i="19" s="1"/>
  <c r="I259" i="19"/>
  <c r="W259" i="19" s="1"/>
  <c r="I258" i="19"/>
  <c r="I257" i="19"/>
  <c r="I256" i="19"/>
  <c r="W256" i="19" s="1"/>
  <c r="F284" i="19"/>
  <c r="T284" i="19" s="1"/>
  <c r="F283" i="19"/>
  <c r="F282" i="19"/>
  <c r="F281" i="19"/>
  <c r="F280" i="19"/>
  <c r="C280" i="19" s="1"/>
  <c r="F279" i="19"/>
  <c r="C279" i="19"/>
  <c r="F278" i="19"/>
  <c r="F277" i="19"/>
  <c r="C277" i="19" s="1"/>
  <c r="F276" i="19"/>
  <c r="F275" i="19"/>
  <c r="T275" i="19" s="1"/>
  <c r="F274" i="19"/>
  <c r="F273" i="19"/>
  <c r="F272" i="19"/>
  <c r="F271" i="19"/>
  <c r="T271" i="19" s="1"/>
  <c r="F270" i="19"/>
  <c r="F269" i="19"/>
  <c r="C269" i="19" s="1"/>
  <c r="F268" i="19"/>
  <c r="F267" i="19"/>
  <c r="T267" i="19" s="1"/>
  <c r="F266" i="19"/>
  <c r="F265" i="19"/>
  <c r="F264" i="19"/>
  <c r="F263" i="19"/>
  <c r="C263" i="19" s="1"/>
  <c r="F262" i="19"/>
  <c r="F261" i="19"/>
  <c r="C261" i="19" s="1"/>
  <c r="F260" i="19"/>
  <c r="F259" i="19"/>
  <c r="T259" i="19" s="1"/>
  <c r="Q259" i="19" s="1"/>
  <c r="Y259" i="19" s="1"/>
  <c r="F258" i="19"/>
  <c r="F257" i="19"/>
  <c r="F256" i="19"/>
  <c r="T256" i="19" s="1"/>
  <c r="E284" i="19"/>
  <c r="S284" i="19" s="1"/>
  <c r="Q284" i="19" s="1"/>
  <c r="Y284" i="19" s="1"/>
  <c r="E283" i="19"/>
  <c r="E282" i="19"/>
  <c r="S282" i="19" s="1"/>
  <c r="E281" i="19"/>
  <c r="E280" i="19"/>
  <c r="S280" i="19" s="1"/>
  <c r="E279" i="19"/>
  <c r="S279" i="19" s="1"/>
  <c r="E278" i="19"/>
  <c r="E277" i="19"/>
  <c r="E276" i="19"/>
  <c r="S276" i="19" s="1"/>
  <c r="E275" i="19"/>
  <c r="S275" i="19" s="1"/>
  <c r="E274" i="19"/>
  <c r="E273" i="19"/>
  <c r="E272" i="19"/>
  <c r="S272" i="19" s="1"/>
  <c r="E271" i="19"/>
  <c r="S271" i="19" s="1"/>
  <c r="E270" i="19"/>
  <c r="E269" i="19"/>
  <c r="E268" i="19"/>
  <c r="S268" i="19" s="1"/>
  <c r="E267" i="19"/>
  <c r="S267" i="19" s="1"/>
  <c r="E266" i="19"/>
  <c r="E265" i="19"/>
  <c r="E264" i="19"/>
  <c r="S264" i="19" s="1"/>
  <c r="E263" i="19"/>
  <c r="S263" i="19" s="1"/>
  <c r="E262" i="19"/>
  <c r="E261" i="19"/>
  <c r="E260" i="19"/>
  <c r="S260" i="19" s="1"/>
  <c r="E259" i="19"/>
  <c r="S259" i="19" s="1"/>
  <c r="E258" i="19"/>
  <c r="E257" i="19"/>
  <c r="E256" i="19"/>
  <c r="S256" i="19" s="1"/>
  <c r="Q256" i="19" s="1"/>
  <c r="Y256" i="19" s="1"/>
  <c r="I82" i="19"/>
  <c r="H82" i="19"/>
  <c r="G82" i="19"/>
  <c r="U82" i="19" s="1"/>
  <c r="C333" i="19"/>
  <c r="C332" i="19"/>
  <c r="C331" i="19"/>
  <c r="O331" i="19" s="1"/>
  <c r="C330" i="19"/>
  <c r="C329" i="19"/>
  <c r="C328" i="19"/>
  <c r="C327" i="19"/>
  <c r="O327" i="19" s="1"/>
  <c r="C326" i="19"/>
  <c r="C325" i="19"/>
  <c r="C324" i="19"/>
  <c r="O319" i="19"/>
  <c r="C317" i="19"/>
  <c r="C316" i="19"/>
  <c r="C315" i="19"/>
  <c r="C314" i="19"/>
  <c r="C313" i="19"/>
  <c r="C312" i="19"/>
  <c r="O312" i="19" s="1"/>
  <c r="C311" i="19"/>
  <c r="C310" i="19"/>
  <c r="C309" i="19"/>
  <c r="C308" i="19"/>
  <c r="O308" i="19" s="1"/>
  <c r="C307" i="19"/>
  <c r="C306" i="19"/>
  <c r="C305" i="19"/>
  <c r="C304" i="19"/>
  <c r="O304" i="19" s="1"/>
  <c r="C303" i="19"/>
  <c r="C302" i="19"/>
  <c r="C301" i="19"/>
  <c r="C300" i="19"/>
  <c r="O300" i="19" s="1"/>
  <c r="C299" i="19"/>
  <c r="C298" i="19"/>
  <c r="C297" i="19"/>
  <c r="C296" i="19"/>
  <c r="O296" i="19" s="1"/>
  <c r="C295" i="19"/>
  <c r="O295" i="19" s="1"/>
  <c r="C294" i="19"/>
  <c r="C293" i="19"/>
  <c r="C292" i="19"/>
  <c r="O292" i="19" s="1"/>
  <c r="C291" i="19"/>
  <c r="O291" i="19" s="1"/>
  <c r="C290" i="19"/>
  <c r="O290" i="19" s="1"/>
  <c r="C288" i="19"/>
  <c r="C287" i="19"/>
  <c r="C286" i="19"/>
  <c r="C231" i="19"/>
  <c r="C230" i="19"/>
  <c r="C229" i="19"/>
  <c r="C228" i="19"/>
  <c r="C227" i="19"/>
  <c r="C225" i="19"/>
  <c r="C224" i="19"/>
  <c r="C222" i="19"/>
  <c r="C221" i="19"/>
  <c r="C220" i="19"/>
  <c r="C219" i="19"/>
  <c r="C218" i="19"/>
  <c r="C217" i="19"/>
  <c r="C216" i="19"/>
  <c r="C212" i="19"/>
  <c r="O212" i="19" s="1"/>
  <c r="C211" i="19"/>
  <c r="C210" i="19"/>
  <c r="C209" i="19"/>
  <c r="U185" i="19"/>
  <c r="K184" i="19"/>
  <c r="R184" i="19" s="1"/>
  <c r="C185" i="19"/>
  <c r="C184" i="19"/>
  <c r="C195" i="19"/>
  <c r="C194" i="19" s="1"/>
  <c r="K179" i="19"/>
  <c r="R179" i="19" s="1"/>
  <c r="C179" i="19"/>
  <c r="K178" i="19"/>
  <c r="U178" i="19" s="1"/>
  <c r="K177" i="19"/>
  <c r="S177" i="19" s="1"/>
  <c r="K175" i="19"/>
  <c r="R175" i="19" s="1"/>
  <c r="K174" i="19"/>
  <c r="R174" i="19" s="1"/>
  <c r="C178" i="19"/>
  <c r="C177" i="19"/>
  <c r="C176" i="19"/>
  <c r="C175" i="19"/>
  <c r="K170" i="19"/>
  <c r="T170" i="19" s="1"/>
  <c r="F169" i="19"/>
  <c r="C169" i="19" s="1"/>
  <c r="C170" i="19"/>
  <c r="C172" i="19"/>
  <c r="C171" i="19"/>
  <c r="O171" i="19" s="1"/>
  <c r="F173" i="19"/>
  <c r="T173" i="19" s="1"/>
  <c r="V181" i="19"/>
  <c r="U181" i="19"/>
  <c r="T181" i="19"/>
  <c r="W181" i="19"/>
  <c r="S181" i="19"/>
  <c r="V175" i="19"/>
  <c r="T175" i="19"/>
  <c r="W175" i="19"/>
  <c r="S185" i="19"/>
  <c r="S179" i="19"/>
  <c r="T182" i="19"/>
  <c r="W182" i="19"/>
  <c r="Q182" i="19" s="1"/>
  <c r="S182" i="19"/>
  <c r="V182" i="19"/>
  <c r="U182" i="19"/>
  <c r="V178" i="19"/>
  <c r="C168" i="19"/>
  <c r="O168" i="19" s="1"/>
  <c r="C193" i="19"/>
  <c r="C192" i="19"/>
  <c r="O192" i="19" s="1"/>
  <c r="C191" i="19"/>
  <c r="C190" i="19"/>
  <c r="O190" i="19" s="1"/>
  <c r="C189" i="19"/>
  <c r="O189" i="19" s="1"/>
  <c r="C188" i="19"/>
  <c r="O187" i="19"/>
  <c r="C186" i="19"/>
  <c r="C183" i="19"/>
  <c r="C182" i="19"/>
  <c r="O182" i="19" s="1"/>
  <c r="C181" i="19"/>
  <c r="O181" i="19" s="1"/>
  <c r="C180" i="19"/>
  <c r="O180" i="19" s="1"/>
  <c r="C174" i="19"/>
  <c r="C167" i="19"/>
  <c r="C166" i="19"/>
  <c r="O166" i="19" s="1"/>
  <c r="C165" i="19"/>
  <c r="C161" i="19"/>
  <c r="C160" i="19"/>
  <c r="O160" i="19" s="1"/>
  <c r="C159" i="19"/>
  <c r="C158" i="19"/>
  <c r="O158" i="19" s="1"/>
  <c r="C157" i="19"/>
  <c r="C156" i="19"/>
  <c r="O156" i="19" s="1"/>
  <c r="C153" i="19"/>
  <c r="C152" i="19"/>
  <c r="C151" i="19"/>
  <c r="C150" i="19"/>
  <c r="C149" i="19"/>
  <c r="C148" i="19"/>
  <c r="C147" i="19"/>
  <c r="C146" i="19"/>
  <c r="C145" i="19"/>
  <c r="C144" i="19"/>
  <c r="C143" i="19"/>
  <c r="C142" i="19"/>
  <c r="C141" i="19"/>
  <c r="C140" i="19"/>
  <c r="C139" i="19"/>
  <c r="C138" i="19"/>
  <c r="C137" i="19"/>
  <c r="C136" i="19"/>
  <c r="C119" i="19"/>
  <c r="C116" i="19"/>
  <c r="C115" i="19"/>
  <c r="C114" i="19"/>
  <c r="C110" i="19"/>
  <c r="C134" i="19"/>
  <c r="C133" i="19"/>
  <c r="C132" i="19"/>
  <c r="C129" i="19"/>
  <c r="C128" i="19"/>
  <c r="C127" i="19"/>
  <c r="C126" i="19"/>
  <c r="C123" i="19"/>
  <c r="C118" i="19"/>
  <c r="C113" i="19"/>
  <c r="C112" i="19"/>
  <c r="C109" i="19"/>
  <c r="C107" i="19"/>
  <c r="C106" i="19"/>
  <c r="C105" i="19"/>
  <c r="C131" i="19"/>
  <c r="C130" i="19"/>
  <c r="C125" i="19"/>
  <c r="C124" i="19"/>
  <c r="C122" i="19"/>
  <c r="C121" i="19"/>
  <c r="C120" i="19"/>
  <c r="C117" i="19"/>
  <c r="C111" i="19"/>
  <c r="C108" i="19"/>
  <c r="C104" i="19"/>
  <c r="C103" i="19"/>
  <c r="C102" i="19"/>
  <c r="C101" i="19"/>
  <c r="C100" i="19"/>
  <c r="C99" i="19"/>
  <c r="C98" i="19"/>
  <c r="C97" i="19"/>
  <c r="C92" i="19"/>
  <c r="C94" i="19"/>
  <c r="C93" i="19"/>
  <c r="C89" i="19"/>
  <c r="C88" i="19"/>
  <c r="C86" i="19"/>
  <c r="C85" i="19"/>
  <c r="C84" i="19"/>
  <c r="O84" i="19" s="1"/>
  <c r="O62" i="19"/>
  <c r="O63" i="19"/>
  <c r="O64" i="19"/>
  <c r="O71" i="19"/>
  <c r="O70" i="19"/>
  <c r="D81" i="19"/>
  <c r="S195" i="19"/>
  <c r="S194" i="19" s="1"/>
  <c r="V152" i="19"/>
  <c r="U152" i="19"/>
  <c r="V151" i="19"/>
  <c r="V148" i="19"/>
  <c r="U148" i="19"/>
  <c r="V144" i="19"/>
  <c r="U144" i="19"/>
  <c r="V140" i="19"/>
  <c r="U140" i="19"/>
  <c r="V139" i="19"/>
  <c r="V136" i="19"/>
  <c r="U136" i="19"/>
  <c r="V134" i="19"/>
  <c r="V131" i="19"/>
  <c r="U131" i="19"/>
  <c r="V127" i="19"/>
  <c r="U127" i="19"/>
  <c r="V123" i="19"/>
  <c r="U123" i="19"/>
  <c r="V119" i="19"/>
  <c r="V118" i="19"/>
  <c r="U116" i="19"/>
  <c r="V114" i="19"/>
  <c r="V108" i="19"/>
  <c r="V106" i="19"/>
  <c r="V99" i="19"/>
  <c r="U99" i="19"/>
  <c r="V96" i="19"/>
  <c r="U91" i="19"/>
  <c r="V90" i="19"/>
  <c r="U90" i="19"/>
  <c r="V84" i="19"/>
  <c r="U84" i="19"/>
  <c r="V58" i="19"/>
  <c r="V56" i="19"/>
  <c r="U56" i="19"/>
  <c r="V53" i="19"/>
  <c r="U53" i="19"/>
  <c r="V52" i="19"/>
  <c r="U52" i="19"/>
  <c r="V49" i="19"/>
  <c r="U49" i="19"/>
  <c r="V48" i="19"/>
  <c r="V45" i="19"/>
  <c r="V44" i="19"/>
  <c r="U44" i="19"/>
  <c r="V42" i="19"/>
  <c r="V40" i="19"/>
  <c r="U40" i="19"/>
  <c r="V37" i="19"/>
  <c r="U37" i="19"/>
  <c r="U36" i="19"/>
  <c r="V34" i="19"/>
  <c r="V33" i="19"/>
  <c r="U33" i="19"/>
  <c r="V32" i="19"/>
  <c r="U32" i="19"/>
  <c r="V29" i="19"/>
  <c r="U29" i="19"/>
  <c r="V28" i="19"/>
  <c r="U28" i="19"/>
  <c r="V25" i="19"/>
  <c r="U25" i="19"/>
  <c r="V24" i="19"/>
  <c r="U24" i="19"/>
  <c r="V21" i="19"/>
  <c r="U21" i="19"/>
  <c r="V20" i="19"/>
  <c r="V18" i="19"/>
  <c r="V17" i="19"/>
  <c r="U17" i="19"/>
  <c r="U13" i="19"/>
  <c r="V12" i="19"/>
  <c r="V10" i="19"/>
  <c r="U10" i="19"/>
  <c r="V9" i="19"/>
  <c r="C9" i="19"/>
  <c r="C58" i="19"/>
  <c r="C57" i="19"/>
  <c r="C56" i="19"/>
  <c r="C55" i="19"/>
  <c r="C54" i="19"/>
  <c r="C53" i="19"/>
  <c r="C52" i="19"/>
  <c r="C51" i="19"/>
  <c r="C50" i="19"/>
  <c r="C49" i="19"/>
  <c r="C48" i="19"/>
  <c r="O48" i="19"/>
  <c r="C47" i="19"/>
  <c r="C46" i="19"/>
  <c r="C45" i="19"/>
  <c r="O45" i="19"/>
  <c r="C44" i="19"/>
  <c r="O44" i="19" s="1"/>
  <c r="C43" i="19"/>
  <c r="C42" i="19"/>
  <c r="C41" i="19"/>
  <c r="O41" i="19" s="1"/>
  <c r="C40" i="19"/>
  <c r="C39" i="19"/>
  <c r="C38" i="19"/>
  <c r="C37" i="19"/>
  <c r="O37" i="19" s="1"/>
  <c r="C36" i="19"/>
  <c r="C35" i="19"/>
  <c r="C34" i="19"/>
  <c r="C33" i="19"/>
  <c r="O33" i="19" s="1"/>
  <c r="C32" i="19"/>
  <c r="C31" i="19"/>
  <c r="C30" i="19"/>
  <c r="C29" i="19"/>
  <c r="O29" i="19" s="1"/>
  <c r="C28" i="19"/>
  <c r="O28" i="19" s="1"/>
  <c r="C27" i="19"/>
  <c r="C26" i="19"/>
  <c r="C25" i="19"/>
  <c r="O25" i="19" s="1"/>
  <c r="C24" i="19"/>
  <c r="C23" i="19"/>
  <c r="C22" i="19"/>
  <c r="C21" i="19"/>
  <c r="C20" i="19"/>
  <c r="C19" i="19"/>
  <c r="C18" i="19"/>
  <c r="C17" i="19"/>
  <c r="O17" i="19" s="1"/>
  <c r="C16" i="19"/>
  <c r="C15" i="19"/>
  <c r="C14" i="19"/>
  <c r="C13" i="19"/>
  <c r="C12" i="19"/>
  <c r="C11" i="19"/>
  <c r="C10" i="19"/>
  <c r="O10" i="19" s="1"/>
  <c r="C77" i="19"/>
  <c r="C78" i="19"/>
  <c r="V167" i="19"/>
  <c r="U167" i="19"/>
  <c r="T167" i="19"/>
  <c r="W167" i="19"/>
  <c r="S167" i="19"/>
  <c r="T193" i="19"/>
  <c r="W193" i="19"/>
  <c r="S193" i="19"/>
  <c r="V193" i="19"/>
  <c r="Q193" i="19" s="1"/>
  <c r="Y193" i="19" s="1"/>
  <c r="U193" i="19"/>
  <c r="D82" i="19"/>
  <c r="C283" i="29"/>
  <c r="K92" i="29"/>
  <c r="T193" i="29"/>
  <c r="R193" i="29"/>
  <c r="K193" i="29"/>
  <c r="C193" i="29"/>
  <c r="C205" i="29"/>
  <c r="K205" i="29"/>
  <c r="R205" i="29"/>
  <c r="T205" i="29"/>
  <c r="C206" i="29"/>
  <c r="K206" i="29"/>
  <c r="R206" i="29"/>
  <c r="T206" i="29"/>
  <c r="C207" i="29"/>
  <c r="K207" i="29"/>
  <c r="R207" i="29"/>
  <c r="T207" i="29"/>
  <c r="C208" i="29"/>
  <c r="K208" i="29"/>
  <c r="R208" i="29"/>
  <c r="T208" i="29"/>
  <c r="C211" i="29"/>
  <c r="K211" i="29"/>
  <c r="R211" i="29"/>
  <c r="T211" i="29"/>
  <c r="C212" i="29"/>
  <c r="K212" i="29"/>
  <c r="R212" i="29"/>
  <c r="T212" i="29"/>
  <c r="C213" i="29"/>
  <c r="K213" i="29"/>
  <c r="R213" i="29"/>
  <c r="T213" i="29"/>
  <c r="C214" i="29"/>
  <c r="K214" i="29"/>
  <c r="R214" i="29"/>
  <c r="T214" i="29"/>
  <c r="C215" i="29"/>
  <c r="K215" i="29"/>
  <c r="R215" i="29"/>
  <c r="T215" i="29"/>
  <c r="F81" i="19"/>
  <c r="F82" i="19" s="1"/>
  <c r="E81" i="19"/>
  <c r="E82" i="19" s="1"/>
  <c r="O90" i="19"/>
  <c r="W90" i="19" s="1"/>
  <c r="W162" i="19"/>
  <c r="W155" i="19" s="1"/>
  <c r="V162" i="19"/>
  <c r="V155" i="19" s="1"/>
  <c r="U162" i="19"/>
  <c r="U155" i="19" s="1"/>
  <c r="T162" i="19"/>
  <c r="T155" i="19" s="1"/>
  <c r="S162" i="19"/>
  <c r="R162" i="19"/>
  <c r="R155" i="19" s="1"/>
  <c r="G163" i="19"/>
  <c r="F163" i="19"/>
  <c r="K163" i="19" s="1"/>
  <c r="E163" i="19"/>
  <c r="D163" i="19"/>
  <c r="I162" i="19"/>
  <c r="H162" i="19"/>
  <c r="G162" i="19"/>
  <c r="F162" i="19"/>
  <c r="C162" i="19" s="1"/>
  <c r="E162" i="19"/>
  <c r="D162" i="19"/>
  <c r="O60" i="19"/>
  <c r="O53" i="19"/>
  <c r="O49" i="19"/>
  <c r="S49" i="19" s="1"/>
  <c r="O21" i="19"/>
  <c r="C242" i="29"/>
  <c r="K242" i="29"/>
  <c r="R242" i="29"/>
  <c r="T242" i="29"/>
  <c r="C243" i="29"/>
  <c r="K243" i="29"/>
  <c r="R243" i="29"/>
  <c r="T243" i="29"/>
  <c r="C219" i="29"/>
  <c r="K219" i="29"/>
  <c r="R219" i="29"/>
  <c r="T219" i="29"/>
  <c r="C220" i="29"/>
  <c r="K220" i="29"/>
  <c r="R220" i="29"/>
  <c r="T220" i="29"/>
  <c r="F6" i="29"/>
  <c r="E6" i="29"/>
  <c r="D6" i="29"/>
  <c r="T305" i="29"/>
  <c r="T299" i="29"/>
  <c r="T298" i="29"/>
  <c r="T297" i="29"/>
  <c r="T295" i="29"/>
  <c r="T294" i="29"/>
  <c r="T292" i="29"/>
  <c r="T291" i="29"/>
  <c r="T290" i="29"/>
  <c r="T288" i="29"/>
  <c r="T287" i="29"/>
  <c r="T285" i="29"/>
  <c r="T284" i="29"/>
  <c r="T279" i="29"/>
  <c r="T278" i="29"/>
  <c r="T277" i="29"/>
  <c r="T274" i="29"/>
  <c r="T266" i="29"/>
  <c r="T265" i="29"/>
  <c r="T261" i="29"/>
  <c r="T260" i="29"/>
  <c r="T259" i="29"/>
  <c r="T258" i="29"/>
  <c r="T257" i="29"/>
  <c r="T256" i="29"/>
  <c r="T255" i="29"/>
  <c r="T254" i="29"/>
  <c r="T253" i="29"/>
  <c r="T252" i="29"/>
  <c r="T251" i="29"/>
  <c r="T250" i="29"/>
  <c r="T249" i="29"/>
  <c r="T248" i="29"/>
  <c r="T247" i="29"/>
  <c r="T246" i="29"/>
  <c r="T245" i="29"/>
  <c r="T244" i="29"/>
  <c r="T241" i="29"/>
  <c r="T240" i="29"/>
  <c r="T239" i="29"/>
  <c r="T238" i="29"/>
  <c r="T237" i="29"/>
  <c r="T235" i="29"/>
  <c r="T234" i="29"/>
  <c r="T232" i="29"/>
  <c r="T231" i="29"/>
  <c r="T230" i="29"/>
  <c r="T229" i="29"/>
  <c r="T228" i="29"/>
  <c r="T227" i="29"/>
  <c r="T226" i="29"/>
  <c r="T225" i="29"/>
  <c r="T224" i="29"/>
  <c r="T221" i="29"/>
  <c r="T217" i="29"/>
  <c r="T210" i="29"/>
  <c r="T209" i="29"/>
  <c r="T204" i="29"/>
  <c r="T203" i="29"/>
  <c r="T201" i="29"/>
  <c r="T200" i="29"/>
  <c r="T199" i="29"/>
  <c r="T197" i="29"/>
  <c r="T196" i="29"/>
  <c r="T195" i="29"/>
  <c r="T194" i="29"/>
  <c r="T192" i="29"/>
  <c r="T191" i="29"/>
  <c r="T190" i="29"/>
  <c r="T188" i="29"/>
  <c r="T187" i="29"/>
  <c r="T186" i="29"/>
  <c r="T182" i="29"/>
  <c r="T181" i="29"/>
  <c r="T180" i="29"/>
  <c r="T178" i="29"/>
  <c r="T176" i="29"/>
  <c r="T175" i="29"/>
  <c r="T171" i="29"/>
  <c r="T170" i="29"/>
  <c r="T169" i="29"/>
  <c r="T168" i="29"/>
  <c r="T167" i="29"/>
  <c r="T166" i="29"/>
  <c r="T165" i="29"/>
  <c r="T164" i="29"/>
  <c r="T163" i="29"/>
  <c r="T162" i="29"/>
  <c r="T161" i="29"/>
  <c r="T158" i="29"/>
  <c r="T156" i="29"/>
  <c r="T155" i="29"/>
  <c r="T153" i="29"/>
  <c r="T150" i="29"/>
  <c r="T148" i="29"/>
  <c r="T146" i="29"/>
  <c r="T144" i="29"/>
  <c r="T143" i="29"/>
  <c r="T142" i="29"/>
  <c r="T141" i="29"/>
  <c r="T137" i="29"/>
  <c r="T136" i="29"/>
  <c r="T135" i="29"/>
  <c r="T134" i="29"/>
  <c r="T133" i="29"/>
  <c r="T131" i="29"/>
  <c r="T130" i="29"/>
  <c r="T129" i="29"/>
  <c r="T127" i="29"/>
  <c r="T126" i="29"/>
  <c r="T124" i="29"/>
  <c r="T123" i="29"/>
  <c r="T121" i="29"/>
  <c r="T118" i="29"/>
  <c r="T117" i="29"/>
  <c r="T116" i="29"/>
  <c r="T115" i="29"/>
  <c r="T114" i="29"/>
  <c r="T112" i="29"/>
  <c r="T110" i="29"/>
  <c r="T109" i="29"/>
  <c r="T106" i="29"/>
  <c r="T101" i="29"/>
  <c r="T100" i="29"/>
  <c r="T98" i="29"/>
  <c r="T97" i="29"/>
  <c r="T96" i="29"/>
  <c r="T95" i="29"/>
  <c r="T94" i="29"/>
  <c r="T93" i="29"/>
  <c r="T92" i="29"/>
  <c r="T91" i="29"/>
  <c r="T89" i="29"/>
  <c r="T88" i="29"/>
  <c r="T86" i="29"/>
  <c r="T85" i="29"/>
  <c r="T84" i="29"/>
  <c r="T83" i="29"/>
  <c r="T82" i="29"/>
  <c r="T81" i="29"/>
  <c r="T77" i="29"/>
  <c r="T76" i="29"/>
  <c r="T75" i="29"/>
  <c r="T74" i="29"/>
  <c r="T72" i="29"/>
  <c r="T69" i="29"/>
  <c r="T65" i="29"/>
  <c r="T64" i="29"/>
  <c r="T63" i="29"/>
  <c r="T61" i="29"/>
  <c r="T59" i="29"/>
  <c r="T57" i="29"/>
  <c r="T56" i="29"/>
  <c r="T54" i="29"/>
  <c r="T53" i="29"/>
  <c r="T52" i="29"/>
  <c r="T51" i="29"/>
  <c r="T50" i="29"/>
  <c r="T49" i="29"/>
  <c r="T48" i="29"/>
  <c r="T47" i="29"/>
  <c r="T46" i="29"/>
  <c r="T45" i="29"/>
  <c r="T43" i="29"/>
  <c r="T42" i="29"/>
  <c r="T41" i="29"/>
  <c r="T40" i="29"/>
  <c r="T39" i="29"/>
  <c r="T38" i="29"/>
  <c r="T37" i="29"/>
  <c r="T36" i="29"/>
  <c r="T35" i="29"/>
  <c r="T34" i="29"/>
  <c r="T33" i="29"/>
  <c r="T32" i="29"/>
  <c r="T31" i="29"/>
  <c r="T30" i="29"/>
  <c r="T29" i="29"/>
  <c r="T28" i="29"/>
  <c r="T26" i="29"/>
  <c r="T24" i="29"/>
  <c r="T23" i="29"/>
  <c r="T21" i="29"/>
  <c r="T20" i="29"/>
  <c r="T19" i="29"/>
  <c r="T18" i="29"/>
  <c r="T17" i="29"/>
  <c r="T16" i="29"/>
  <c r="T14" i="29"/>
  <c r="T13" i="29"/>
  <c r="T12" i="29"/>
  <c r="T11" i="29"/>
  <c r="T10" i="29"/>
  <c r="T9" i="29"/>
  <c r="T7" i="29"/>
  <c r="T6" i="29"/>
  <c r="R310" i="29"/>
  <c r="R309" i="29"/>
  <c r="R308" i="29"/>
  <c r="R307" i="29"/>
  <c r="R306" i="29"/>
  <c r="R305" i="29"/>
  <c r="R304" i="29"/>
  <c r="R303" i="29"/>
  <c r="R302" i="29"/>
  <c r="R301" i="29"/>
  <c r="R300" i="29"/>
  <c r="R299" i="29"/>
  <c r="R298" i="29"/>
  <c r="R297" i="29"/>
  <c r="R296" i="29"/>
  <c r="R295" i="29"/>
  <c r="R294" i="29"/>
  <c r="R293" i="29"/>
  <c r="R292" i="29"/>
  <c r="R291" i="29"/>
  <c r="R290" i="29"/>
  <c r="R289" i="29"/>
  <c r="R288" i="29"/>
  <c r="R287" i="29"/>
  <c r="R286" i="29"/>
  <c r="R285" i="29"/>
  <c r="R284" i="29"/>
  <c r="R283" i="29"/>
  <c r="R282" i="29"/>
  <c r="R281" i="29"/>
  <c r="R280" i="29"/>
  <c r="R279" i="29"/>
  <c r="R278" i="29"/>
  <c r="R277" i="29"/>
  <c r="R276" i="29"/>
  <c r="R275" i="29"/>
  <c r="R274" i="29"/>
  <c r="R273" i="29"/>
  <c r="R272" i="29"/>
  <c r="R271" i="29"/>
  <c r="R270" i="29"/>
  <c r="R269" i="29"/>
  <c r="R268" i="29"/>
  <c r="R267" i="29"/>
  <c r="R266" i="29"/>
  <c r="R265" i="29"/>
  <c r="R264" i="29"/>
  <c r="R263" i="29"/>
  <c r="R262" i="29"/>
  <c r="R261" i="29"/>
  <c r="R260" i="29"/>
  <c r="R259" i="29"/>
  <c r="R258" i="29"/>
  <c r="R257" i="29"/>
  <c r="R256" i="29"/>
  <c r="R255" i="29"/>
  <c r="R254" i="29"/>
  <c r="R253" i="29"/>
  <c r="R252" i="29"/>
  <c r="R251" i="29"/>
  <c r="R250" i="29"/>
  <c r="R249" i="29"/>
  <c r="R248" i="29"/>
  <c r="R247" i="29"/>
  <c r="R246" i="29"/>
  <c r="R245" i="29"/>
  <c r="R244" i="29"/>
  <c r="R241" i="29"/>
  <c r="R240" i="29"/>
  <c r="R239" i="29"/>
  <c r="R238" i="29"/>
  <c r="R237" i="29"/>
  <c r="R236" i="29"/>
  <c r="R235" i="29"/>
  <c r="R234" i="29"/>
  <c r="R233" i="29"/>
  <c r="R232" i="29"/>
  <c r="R231" i="29"/>
  <c r="R230" i="29"/>
  <c r="R229" i="29"/>
  <c r="R228" i="29"/>
  <c r="R227" i="29"/>
  <c r="R226" i="29"/>
  <c r="R225" i="29"/>
  <c r="R224" i="29"/>
  <c r="R223" i="29"/>
  <c r="R222" i="29"/>
  <c r="R221" i="29"/>
  <c r="R218" i="29"/>
  <c r="R217" i="29"/>
  <c r="R216" i="29"/>
  <c r="R210" i="29"/>
  <c r="R209" i="29"/>
  <c r="R204" i="29"/>
  <c r="R203" i="29"/>
  <c r="R202" i="29"/>
  <c r="R201" i="29"/>
  <c r="R200" i="29"/>
  <c r="R199" i="29"/>
  <c r="R198" i="29"/>
  <c r="R197" i="29"/>
  <c r="R196" i="29"/>
  <c r="R195" i="29"/>
  <c r="R194" i="29"/>
  <c r="R192" i="29"/>
  <c r="R191" i="29"/>
  <c r="R190" i="29"/>
  <c r="R189" i="29"/>
  <c r="R188" i="29"/>
  <c r="R187" i="29"/>
  <c r="R186" i="29"/>
  <c r="R185" i="29"/>
  <c r="S185" i="29" s="1"/>
  <c r="T185" i="29" s="1"/>
  <c r="R184" i="29"/>
  <c r="R183" i="29"/>
  <c r="R182" i="29"/>
  <c r="R181" i="29"/>
  <c r="R180" i="29"/>
  <c r="R179" i="29"/>
  <c r="R178" i="29"/>
  <c r="R177" i="29"/>
  <c r="R176" i="29"/>
  <c r="R175" i="29"/>
  <c r="R174" i="29"/>
  <c r="R173" i="29"/>
  <c r="R172" i="29"/>
  <c r="R171" i="29"/>
  <c r="R170" i="29"/>
  <c r="R169" i="29"/>
  <c r="R168" i="29"/>
  <c r="R167" i="29"/>
  <c r="R166" i="29"/>
  <c r="R165" i="29"/>
  <c r="R164" i="29"/>
  <c r="R163" i="29"/>
  <c r="R162" i="29"/>
  <c r="R161" i="29"/>
  <c r="R160" i="29"/>
  <c r="R159" i="29"/>
  <c r="R158" i="29"/>
  <c r="R157" i="29"/>
  <c r="R156" i="29"/>
  <c r="R155" i="29"/>
  <c r="R154" i="29"/>
  <c r="R153" i="29"/>
  <c r="R152" i="29"/>
  <c r="R151" i="29"/>
  <c r="R150" i="29"/>
  <c r="R149" i="29"/>
  <c r="S149" i="29" s="1"/>
  <c r="T149" i="29" s="1"/>
  <c r="R148" i="29"/>
  <c r="R147" i="29"/>
  <c r="R146" i="29"/>
  <c r="R145" i="29"/>
  <c r="S145" i="29" s="1"/>
  <c r="T145" i="29" s="1"/>
  <c r="R144" i="29"/>
  <c r="R143" i="29"/>
  <c r="R142" i="29"/>
  <c r="R141" i="29"/>
  <c r="R140" i="29"/>
  <c r="R139" i="29"/>
  <c r="R138" i="29"/>
  <c r="R137" i="29"/>
  <c r="R136" i="29"/>
  <c r="R135" i="29"/>
  <c r="R134" i="29"/>
  <c r="R133" i="29"/>
  <c r="R132" i="29"/>
  <c r="R131" i="29"/>
  <c r="R130" i="29"/>
  <c r="R129" i="29"/>
  <c r="R128" i="29"/>
  <c r="R127" i="29"/>
  <c r="R126" i="29"/>
  <c r="R125" i="29"/>
  <c r="R124" i="29"/>
  <c r="R123" i="29"/>
  <c r="R122" i="29"/>
  <c r="R121" i="29"/>
  <c r="R120" i="29"/>
  <c r="R119" i="29"/>
  <c r="R118" i="29"/>
  <c r="R117" i="29"/>
  <c r="R116" i="29"/>
  <c r="R115" i="29"/>
  <c r="R114" i="29"/>
  <c r="R113" i="29"/>
  <c r="R112" i="29"/>
  <c r="R111" i="29"/>
  <c r="R110" i="29"/>
  <c r="R109" i="29"/>
  <c r="R108" i="29"/>
  <c r="R107" i="29"/>
  <c r="R106" i="29"/>
  <c r="R105" i="29"/>
  <c r="R104" i="29"/>
  <c r="R103" i="29"/>
  <c r="R102" i="29"/>
  <c r="R101" i="29"/>
  <c r="R100" i="29"/>
  <c r="R99" i="29"/>
  <c r="R98" i="29"/>
  <c r="R97" i="29"/>
  <c r="R96" i="29"/>
  <c r="R95" i="29"/>
  <c r="R94" i="29"/>
  <c r="R93" i="29"/>
  <c r="R92" i="29"/>
  <c r="R91" i="29"/>
  <c r="R90" i="29"/>
  <c r="R89" i="29"/>
  <c r="R88" i="29"/>
  <c r="R87" i="29"/>
  <c r="R86" i="29"/>
  <c r="R85" i="29"/>
  <c r="R84" i="29"/>
  <c r="R83" i="29"/>
  <c r="R82" i="29"/>
  <c r="R81" i="29"/>
  <c r="R80" i="29"/>
  <c r="R79" i="29"/>
  <c r="R78" i="29"/>
  <c r="R77" i="29"/>
  <c r="R76" i="29"/>
  <c r="R75" i="29"/>
  <c r="R74" i="29"/>
  <c r="R73" i="29"/>
  <c r="R72" i="29"/>
  <c r="R71" i="29"/>
  <c r="R70" i="29"/>
  <c r="R69" i="29"/>
  <c r="R68" i="29"/>
  <c r="R67" i="29"/>
  <c r="R66" i="29"/>
  <c r="R65" i="29"/>
  <c r="R64" i="29"/>
  <c r="R63" i="29"/>
  <c r="R62" i="29"/>
  <c r="R61" i="29"/>
  <c r="R60" i="29"/>
  <c r="R59" i="29"/>
  <c r="R58" i="29"/>
  <c r="R57" i="29"/>
  <c r="R56" i="29"/>
  <c r="R55" i="29"/>
  <c r="R54" i="29"/>
  <c r="R53" i="29"/>
  <c r="R52" i="29"/>
  <c r="R51" i="29"/>
  <c r="R50" i="29"/>
  <c r="R49" i="29"/>
  <c r="R48" i="29"/>
  <c r="R47" i="29"/>
  <c r="R46" i="29"/>
  <c r="R45" i="29"/>
  <c r="R44" i="29"/>
  <c r="R43" i="29"/>
  <c r="R42" i="29"/>
  <c r="R41" i="29"/>
  <c r="R40" i="29"/>
  <c r="R39" i="29"/>
  <c r="R38" i="29"/>
  <c r="R37" i="29"/>
  <c r="R36" i="29"/>
  <c r="R35" i="29"/>
  <c r="R34" i="29"/>
  <c r="R33" i="29"/>
  <c r="R32" i="29"/>
  <c r="R31" i="29"/>
  <c r="R30" i="29"/>
  <c r="R29" i="29"/>
  <c r="R28" i="29"/>
  <c r="R27" i="29"/>
  <c r="R26" i="29"/>
  <c r="R25" i="29"/>
  <c r="R24" i="29"/>
  <c r="R23" i="29"/>
  <c r="R22" i="29"/>
  <c r="R21" i="29"/>
  <c r="R20" i="29"/>
  <c r="R19" i="29"/>
  <c r="R18" i="29"/>
  <c r="R17" i="29"/>
  <c r="R16" i="29"/>
  <c r="R15" i="29"/>
  <c r="R14" i="29"/>
  <c r="R13" i="29"/>
  <c r="R12" i="29"/>
  <c r="R11" i="29"/>
  <c r="R10" i="29"/>
  <c r="R9" i="29"/>
  <c r="R8" i="29"/>
  <c r="R7" i="29"/>
  <c r="R6" i="29"/>
  <c r="K262" i="29"/>
  <c r="K263" i="29"/>
  <c r="K264" i="29"/>
  <c r="K265" i="29"/>
  <c r="K266" i="29"/>
  <c r="K267" i="29"/>
  <c r="K268" i="29"/>
  <c r="K269" i="29"/>
  <c r="S269" i="29"/>
  <c r="T269" i="29" s="1"/>
  <c r="K270" i="29"/>
  <c r="K271" i="29"/>
  <c r="K272" i="29"/>
  <c r="S272" i="29" s="1"/>
  <c r="T272" i="29" s="1"/>
  <c r="K274" i="29"/>
  <c r="K275" i="29"/>
  <c r="K276" i="29"/>
  <c r="S276" i="29"/>
  <c r="T276" i="29" s="1"/>
  <c r="K277" i="29"/>
  <c r="K278" i="29"/>
  <c r="K279" i="29"/>
  <c r="S280" i="29"/>
  <c r="T280" i="29" s="1"/>
  <c r="K281" i="29"/>
  <c r="K282" i="29"/>
  <c r="K283" i="29"/>
  <c r="K284" i="29"/>
  <c r="K285" i="29"/>
  <c r="K286" i="29"/>
  <c r="K287" i="29"/>
  <c r="K288" i="29"/>
  <c r="K289" i="29"/>
  <c r="S289" i="29" s="1"/>
  <c r="T289" i="29" s="1"/>
  <c r="K290" i="29"/>
  <c r="K291" i="29"/>
  <c r="K292" i="29"/>
  <c r="K293" i="29"/>
  <c r="S293" i="29" s="1"/>
  <c r="T293" i="29" s="1"/>
  <c r="K294" i="29"/>
  <c r="K295" i="29"/>
  <c r="K296" i="29"/>
  <c r="S296" i="29" s="1"/>
  <c r="T296" i="29" s="1"/>
  <c r="K297" i="29"/>
  <c r="K298" i="29"/>
  <c r="K299" i="29"/>
  <c r="K300" i="29"/>
  <c r="S300" i="29"/>
  <c r="T300" i="29" s="1"/>
  <c r="K301" i="29"/>
  <c r="K302" i="29"/>
  <c r="K303" i="29"/>
  <c r="K304" i="29"/>
  <c r="S304" i="29" s="1"/>
  <c r="T304" i="29" s="1"/>
  <c r="K305" i="29"/>
  <c r="K306" i="29"/>
  <c r="K307" i="29"/>
  <c r="K308" i="29"/>
  <c r="K309" i="29"/>
  <c r="S309" i="29" s="1"/>
  <c r="T309" i="29" s="1"/>
  <c r="K310" i="29"/>
  <c r="K7" i="29"/>
  <c r="K8" i="29"/>
  <c r="K9" i="29"/>
  <c r="K10" i="29"/>
  <c r="K11" i="29"/>
  <c r="K12" i="29"/>
  <c r="K13" i="29"/>
  <c r="K14" i="29"/>
  <c r="K15" i="29"/>
  <c r="S15" i="29" s="1"/>
  <c r="T15" i="29" s="1"/>
  <c r="K16" i="29"/>
  <c r="K17" i="29"/>
  <c r="K18" i="29"/>
  <c r="K19" i="29"/>
  <c r="K20" i="29"/>
  <c r="K21" i="29"/>
  <c r="K22" i="29"/>
  <c r="K23" i="29"/>
  <c r="K24" i="29"/>
  <c r="K25" i="29"/>
  <c r="S25" i="29" s="1"/>
  <c r="T25" i="29" s="1"/>
  <c r="K26" i="29"/>
  <c r="K27" i="29"/>
  <c r="K28" i="29"/>
  <c r="K29" i="29"/>
  <c r="K30" i="29"/>
  <c r="K31" i="29"/>
  <c r="K32" i="29"/>
  <c r="K33" i="29"/>
  <c r="K34" i="29"/>
  <c r="K35" i="29"/>
  <c r="K36" i="29"/>
  <c r="K37" i="29"/>
  <c r="K38" i="29"/>
  <c r="K39" i="29"/>
  <c r="K40" i="29"/>
  <c r="K41" i="29"/>
  <c r="K42" i="29"/>
  <c r="K43" i="29"/>
  <c r="K44" i="29"/>
  <c r="K45" i="29"/>
  <c r="K46" i="29"/>
  <c r="K47" i="29"/>
  <c r="K48" i="29"/>
  <c r="K49" i="29"/>
  <c r="K50" i="29"/>
  <c r="K51" i="29"/>
  <c r="K52" i="29"/>
  <c r="K53" i="29"/>
  <c r="K54" i="29"/>
  <c r="K55" i="29"/>
  <c r="K56" i="29"/>
  <c r="K57" i="29"/>
  <c r="K58" i="29"/>
  <c r="S58" i="29"/>
  <c r="T58" i="29" s="1"/>
  <c r="K59" i="29"/>
  <c r="K60" i="29"/>
  <c r="K61" i="29"/>
  <c r="K62" i="29"/>
  <c r="S62" i="29" s="1"/>
  <c r="T62" i="29" s="1"/>
  <c r="K63" i="29"/>
  <c r="K64" i="29"/>
  <c r="K65" i="29"/>
  <c r="K66" i="29"/>
  <c r="K67" i="29"/>
  <c r="S67" i="29" s="1"/>
  <c r="T67" i="29" s="1"/>
  <c r="K68" i="29"/>
  <c r="K69" i="29"/>
  <c r="K70" i="29"/>
  <c r="K71" i="29"/>
  <c r="S71" i="29" s="1"/>
  <c r="T71" i="29" s="1"/>
  <c r="K72" i="29"/>
  <c r="K73" i="29"/>
  <c r="K74" i="29"/>
  <c r="K75" i="29"/>
  <c r="K76" i="29"/>
  <c r="K77" i="29"/>
  <c r="K78" i="29"/>
  <c r="S78" i="29"/>
  <c r="T78" i="29" s="1"/>
  <c r="K79" i="29"/>
  <c r="K80" i="29"/>
  <c r="K81" i="29"/>
  <c r="K82" i="29"/>
  <c r="K83" i="29"/>
  <c r="K84" i="29"/>
  <c r="K85" i="29"/>
  <c r="K86" i="29"/>
  <c r="K87" i="29"/>
  <c r="S87" i="29" s="1"/>
  <c r="T87" i="29" s="1"/>
  <c r="K88" i="29"/>
  <c r="K89" i="29"/>
  <c r="K90" i="29"/>
  <c r="S90" i="29" s="1"/>
  <c r="T90" i="29" s="1"/>
  <c r="K91" i="29"/>
  <c r="K93" i="29"/>
  <c r="K94" i="29"/>
  <c r="K95" i="29"/>
  <c r="K96" i="29"/>
  <c r="K97" i="29"/>
  <c r="K98" i="29"/>
  <c r="K99" i="29"/>
  <c r="K100" i="29"/>
  <c r="K101" i="29"/>
  <c r="K102" i="29"/>
  <c r="K103" i="29"/>
  <c r="S103" i="29"/>
  <c r="T103" i="29" s="1"/>
  <c r="K104" i="29"/>
  <c r="K105" i="29"/>
  <c r="K106" i="29"/>
  <c r="K107" i="29"/>
  <c r="S107" i="29" s="1"/>
  <c r="T107" i="29" s="1"/>
  <c r="K108" i="29"/>
  <c r="K109" i="29"/>
  <c r="K110" i="29"/>
  <c r="K111" i="29"/>
  <c r="S111" i="29" s="1"/>
  <c r="T111" i="29" s="1"/>
  <c r="K112" i="29"/>
  <c r="K113" i="29"/>
  <c r="S113" i="29"/>
  <c r="T113" i="29" s="1"/>
  <c r="K114" i="29"/>
  <c r="K115" i="29"/>
  <c r="K116" i="29"/>
  <c r="K117" i="29"/>
  <c r="K118" i="29"/>
  <c r="K119" i="29"/>
  <c r="S119" i="29" s="1"/>
  <c r="T119" i="29" s="1"/>
  <c r="K120" i="29"/>
  <c r="K121" i="29"/>
  <c r="K122" i="29"/>
  <c r="K123" i="29"/>
  <c r="K124" i="29"/>
  <c r="K125" i="29"/>
  <c r="K126" i="29"/>
  <c r="K127" i="29"/>
  <c r="K128" i="29"/>
  <c r="S128" i="29" s="1"/>
  <c r="T128" i="29" s="1"/>
  <c r="K129" i="29"/>
  <c r="K130" i="29"/>
  <c r="K131" i="29"/>
  <c r="K132" i="29"/>
  <c r="K133" i="29"/>
  <c r="K134" i="29"/>
  <c r="K135" i="29"/>
  <c r="K136" i="29"/>
  <c r="K137" i="29"/>
  <c r="K138" i="29"/>
  <c r="K139" i="29"/>
  <c r="S139" i="29" s="1"/>
  <c r="T139" i="29" s="1"/>
  <c r="K140" i="29"/>
  <c r="S140" i="29" s="1"/>
  <c r="T140" i="29" s="1"/>
  <c r="K141" i="29"/>
  <c r="K142" i="29"/>
  <c r="K143" i="29"/>
  <c r="K144" i="29"/>
  <c r="K145" i="29"/>
  <c r="K146" i="29"/>
  <c r="K147" i="29"/>
  <c r="S147" i="29" s="1"/>
  <c r="T147" i="29" s="1"/>
  <c r="K148" i="29"/>
  <c r="K149" i="29"/>
  <c r="K150" i="29"/>
  <c r="K151" i="29"/>
  <c r="S151" i="29" s="1"/>
  <c r="T151" i="29" s="1"/>
  <c r="K152" i="29"/>
  <c r="K153" i="29"/>
  <c r="K154" i="29"/>
  <c r="S154" i="29" s="1"/>
  <c r="T154" i="29" s="1"/>
  <c r="K155" i="29"/>
  <c r="K156" i="29"/>
  <c r="K157" i="29"/>
  <c r="S157" i="29"/>
  <c r="T157" i="29" s="1"/>
  <c r="K158" i="29"/>
  <c r="K159" i="29"/>
  <c r="S159" i="29" s="1"/>
  <c r="T159" i="29" s="1"/>
  <c r="K160" i="29"/>
  <c r="K161" i="29"/>
  <c r="K162" i="29"/>
  <c r="K163" i="29"/>
  <c r="K164" i="29"/>
  <c r="K165" i="29"/>
  <c r="K166" i="29"/>
  <c r="K167" i="29"/>
  <c r="K168" i="29"/>
  <c r="K169" i="29"/>
  <c r="K170" i="29"/>
  <c r="K171" i="29"/>
  <c r="K172" i="29"/>
  <c r="K173" i="29"/>
  <c r="S173" i="29"/>
  <c r="T173" i="29" s="1"/>
  <c r="K174" i="29"/>
  <c r="K175" i="29"/>
  <c r="K176" i="29"/>
  <c r="K177" i="29"/>
  <c r="S177" i="29" s="1"/>
  <c r="T177" i="29" s="1"/>
  <c r="K178" i="29"/>
  <c r="K179" i="29"/>
  <c r="S179" i="29"/>
  <c r="T179" i="29" s="1"/>
  <c r="K180" i="29"/>
  <c r="K181" i="29"/>
  <c r="K182" i="29"/>
  <c r="K183" i="29"/>
  <c r="S183" i="29" s="1"/>
  <c r="T183" i="29" s="1"/>
  <c r="K184" i="29"/>
  <c r="S184" i="29" s="1"/>
  <c r="T184" i="29" s="1"/>
  <c r="K185" i="29"/>
  <c r="K186" i="29"/>
  <c r="K187" i="29"/>
  <c r="K188" i="29"/>
  <c r="K189" i="29"/>
  <c r="K190" i="29"/>
  <c r="K191" i="29"/>
  <c r="K192" i="29"/>
  <c r="K194" i="29"/>
  <c r="K195" i="29"/>
  <c r="K196" i="29"/>
  <c r="K197" i="29"/>
  <c r="K198" i="29"/>
  <c r="S198" i="29"/>
  <c r="T198" i="29" s="1"/>
  <c r="K199" i="29"/>
  <c r="K200" i="29"/>
  <c r="K201" i="29"/>
  <c r="K202" i="29"/>
  <c r="S202" i="29" s="1"/>
  <c r="T202" i="29" s="1"/>
  <c r="K203" i="29"/>
  <c r="K204" i="29"/>
  <c r="K209" i="29"/>
  <c r="K210" i="29"/>
  <c r="K216" i="29"/>
  <c r="S216" i="29" s="1"/>
  <c r="T216" i="29" s="1"/>
  <c r="K217" i="29"/>
  <c r="K218" i="29"/>
  <c r="K221" i="29"/>
  <c r="K222" i="29"/>
  <c r="S222" i="29" s="1"/>
  <c r="T222" i="29" s="1"/>
  <c r="K223" i="29"/>
  <c r="S223" i="29"/>
  <c r="T223" i="29" s="1"/>
  <c r="K224" i="29"/>
  <c r="K225" i="29"/>
  <c r="K226" i="29"/>
  <c r="K227" i="29"/>
  <c r="K228" i="29"/>
  <c r="K229" i="29"/>
  <c r="K230" i="29"/>
  <c r="K231" i="29"/>
  <c r="K232" i="29"/>
  <c r="K233" i="29"/>
  <c r="S233" i="29" s="1"/>
  <c r="T233" i="29" s="1"/>
  <c r="K234" i="29"/>
  <c r="K235" i="29"/>
  <c r="K236" i="29"/>
  <c r="K237" i="29"/>
  <c r="K238" i="29"/>
  <c r="K239" i="29"/>
  <c r="K240" i="29"/>
  <c r="K241" i="29"/>
  <c r="K244" i="29"/>
  <c r="K245" i="29"/>
  <c r="K246" i="29"/>
  <c r="K247" i="29"/>
  <c r="K248" i="29"/>
  <c r="K249" i="29"/>
  <c r="K250" i="29"/>
  <c r="K251" i="29"/>
  <c r="K252" i="29"/>
  <c r="K253" i="29"/>
  <c r="K254" i="29"/>
  <c r="K255" i="29"/>
  <c r="K256" i="29"/>
  <c r="K257" i="29"/>
  <c r="K258" i="29"/>
  <c r="K259" i="29"/>
  <c r="K260" i="29"/>
  <c r="K261" i="29"/>
  <c r="K6" i="29"/>
  <c r="C310" i="29"/>
  <c r="C309" i="29"/>
  <c r="C308" i="29"/>
  <c r="C307" i="29"/>
  <c r="C306" i="29"/>
  <c r="I305" i="29"/>
  <c r="H305" i="29"/>
  <c r="G305" i="29"/>
  <c r="F305" i="29"/>
  <c r="E305" i="29"/>
  <c r="D305" i="29"/>
  <c r="C304" i="29"/>
  <c r="C303" i="29"/>
  <c r="C302" i="29"/>
  <c r="C301" i="29"/>
  <c r="C300" i="29"/>
  <c r="C299" i="29"/>
  <c r="C298" i="29"/>
  <c r="C297" i="29"/>
  <c r="C296" i="29"/>
  <c r="C295" i="29"/>
  <c r="C294" i="29"/>
  <c r="C293" i="29"/>
  <c r="C292" i="29"/>
  <c r="C291" i="29"/>
  <c r="C290" i="29"/>
  <c r="C289" i="29"/>
  <c r="C288" i="29"/>
  <c r="C287" i="29"/>
  <c r="C286" i="29"/>
  <c r="C285" i="29"/>
  <c r="C284" i="29"/>
  <c r="C282" i="29"/>
  <c r="C281" i="29"/>
  <c r="C280" i="29"/>
  <c r="C279" i="29"/>
  <c r="C278" i="29"/>
  <c r="C277" i="29"/>
  <c r="C276" i="29"/>
  <c r="C275" i="29"/>
  <c r="C274" i="29"/>
  <c r="C273" i="29"/>
  <c r="C272" i="29"/>
  <c r="C271" i="29"/>
  <c r="C270" i="29"/>
  <c r="C269" i="29"/>
  <c r="C268" i="29"/>
  <c r="C267" i="29"/>
  <c r="C266" i="29"/>
  <c r="C265" i="29"/>
  <c r="C264" i="29"/>
  <c r="C263" i="29"/>
  <c r="I262" i="29"/>
  <c r="H262" i="29"/>
  <c r="G262" i="29"/>
  <c r="F262" i="29"/>
  <c r="E262" i="29"/>
  <c r="D262" i="29"/>
  <c r="C261" i="29"/>
  <c r="C260" i="29"/>
  <c r="C259" i="29"/>
  <c r="C258" i="29"/>
  <c r="C257" i="29"/>
  <c r="C256" i="29"/>
  <c r="C255" i="29"/>
  <c r="C254" i="29"/>
  <c r="C253" i="29"/>
  <c r="C252" i="29"/>
  <c r="C251" i="29"/>
  <c r="C250" i="29"/>
  <c r="C249" i="29"/>
  <c r="C248" i="29"/>
  <c r="C247" i="29"/>
  <c r="C246" i="29"/>
  <c r="C245" i="29"/>
  <c r="C244" i="29"/>
  <c r="C241" i="29"/>
  <c r="C240" i="29"/>
  <c r="C239" i="29"/>
  <c r="C238" i="29"/>
  <c r="C237" i="29"/>
  <c r="C236" i="29"/>
  <c r="C235" i="29"/>
  <c r="C234" i="29"/>
  <c r="C233" i="29"/>
  <c r="C232" i="29"/>
  <c r="C231" i="29"/>
  <c r="C230" i="29"/>
  <c r="C229" i="29"/>
  <c r="C228" i="29"/>
  <c r="C227" i="29"/>
  <c r="C226" i="29"/>
  <c r="C225" i="29"/>
  <c r="C224" i="29"/>
  <c r="C223" i="29"/>
  <c r="C222" i="29"/>
  <c r="C221" i="29"/>
  <c r="C218" i="29"/>
  <c r="C217" i="29"/>
  <c r="C216" i="29"/>
  <c r="C210" i="29"/>
  <c r="C209" i="29"/>
  <c r="C204" i="29"/>
  <c r="C203" i="29"/>
  <c r="C202" i="29"/>
  <c r="C201" i="29"/>
  <c r="C200" i="29"/>
  <c r="C199" i="29"/>
  <c r="C198" i="29"/>
  <c r="C197" i="29"/>
  <c r="C196" i="29"/>
  <c r="C195" i="29"/>
  <c r="C194" i="29"/>
  <c r="C192" i="29"/>
  <c r="C191" i="29"/>
  <c r="C190" i="29"/>
  <c r="C189" i="29"/>
  <c r="C188" i="29"/>
  <c r="C187" i="29"/>
  <c r="C186" i="29"/>
  <c r="C185" i="29"/>
  <c r="C184" i="29"/>
  <c r="C183" i="29"/>
  <c r="C182" i="29"/>
  <c r="C181" i="29"/>
  <c r="C180" i="29"/>
  <c r="C179" i="29"/>
  <c r="C178" i="29"/>
  <c r="C177" i="29"/>
  <c r="C176" i="29"/>
  <c r="C175" i="29"/>
  <c r="C174" i="29"/>
  <c r="C173" i="29"/>
  <c r="C172" i="29"/>
  <c r="C171" i="29"/>
  <c r="C170" i="29"/>
  <c r="C169" i="29"/>
  <c r="C168" i="29"/>
  <c r="C167" i="29"/>
  <c r="C166" i="29"/>
  <c r="C165" i="29"/>
  <c r="C164" i="29"/>
  <c r="C163" i="29"/>
  <c r="C162" i="29"/>
  <c r="C161" i="29"/>
  <c r="C160" i="29"/>
  <c r="C159" i="29"/>
  <c r="C158" i="29"/>
  <c r="C157" i="29"/>
  <c r="C156" i="29"/>
  <c r="C155" i="29"/>
  <c r="C154" i="29"/>
  <c r="C153" i="29"/>
  <c r="C152" i="29"/>
  <c r="C151" i="29"/>
  <c r="C150" i="29"/>
  <c r="C149" i="29"/>
  <c r="C148" i="29"/>
  <c r="C147" i="29"/>
  <c r="C146" i="29"/>
  <c r="C145" i="29"/>
  <c r="C144" i="29"/>
  <c r="C143" i="29"/>
  <c r="C142" i="29"/>
  <c r="C141" i="29"/>
  <c r="C140" i="29"/>
  <c r="C139" i="29"/>
  <c r="C138" i="29"/>
  <c r="C137" i="29"/>
  <c r="C136" i="29"/>
  <c r="C135" i="29"/>
  <c r="C134" i="29"/>
  <c r="C133" i="29"/>
  <c r="C132" i="29"/>
  <c r="C131" i="29"/>
  <c r="C130" i="29"/>
  <c r="C129" i="29"/>
  <c r="C128" i="29"/>
  <c r="C127" i="29"/>
  <c r="C126" i="29"/>
  <c r="C125" i="29"/>
  <c r="C124" i="29"/>
  <c r="C123" i="29"/>
  <c r="C122" i="29"/>
  <c r="C121" i="29"/>
  <c r="C120" i="29"/>
  <c r="C119" i="29"/>
  <c r="C118" i="29"/>
  <c r="C117" i="29"/>
  <c r="C116" i="29"/>
  <c r="C115" i="29"/>
  <c r="C114" i="29"/>
  <c r="C113" i="29"/>
  <c r="C112" i="29"/>
  <c r="C111" i="29"/>
  <c r="C110" i="29"/>
  <c r="C109" i="29"/>
  <c r="C108" i="29"/>
  <c r="C107" i="29"/>
  <c r="C106" i="29"/>
  <c r="C105" i="29"/>
  <c r="C104" i="29"/>
  <c r="C103" i="29"/>
  <c r="C102" i="29"/>
  <c r="C101" i="29"/>
  <c r="C100" i="29"/>
  <c r="C99" i="29"/>
  <c r="C98" i="29"/>
  <c r="C97" i="29"/>
  <c r="C96" i="29"/>
  <c r="C95" i="29"/>
  <c r="C94" i="29"/>
  <c r="C93" i="29"/>
  <c r="C92" i="29"/>
  <c r="C91" i="29"/>
  <c r="C90" i="29"/>
  <c r="C89" i="29"/>
  <c r="C88" i="29"/>
  <c r="C87" i="29"/>
  <c r="C86" i="29"/>
  <c r="C85" i="29"/>
  <c r="C84" i="29"/>
  <c r="C83" i="29"/>
  <c r="C82" i="29"/>
  <c r="C81" i="29"/>
  <c r="C80" i="29"/>
  <c r="C79" i="29"/>
  <c r="C78" i="29"/>
  <c r="C77" i="29"/>
  <c r="C76" i="29"/>
  <c r="C75" i="29"/>
  <c r="C74" i="29"/>
  <c r="C73" i="29"/>
  <c r="C72" i="29"/>
  <c r="C71" i="29"/>
  <c r="C70" i="29"/>
  <c r="C69" i="29"/>
  <c r="C68" i="29"/>
  <c r="C67" i="29"/>
  <c r="C66" i="29"/>
  <c r="C65" i="29"/>
  <c r="C64" i="29"/>
  <c r="C63" i="29"/>
  <c r="C62" i="29"/>
  <c r="C61" i="29"/>
  <c r="C60" i="29"/>
  <c r="C59" i="29"/>
  <c r="C58" i="29"/>
  <c r="C57" i="29"/>
  <c r="C56" i="29"/>
  <c r="C55" i="29"/>
  <c r="C54" i="29"/>
  <c r="C53" i="29"/>
  <c r="C52" i="29"/>
  <c r="C51" i="29"/>
  <c r="C50" i="29"/>
  <c r="C49" i="29"/>
  <c r="C48" i="29"/>
  <c r="C47" i="29"/>
  <c r="C46" i="29"/>
  <c r="C45" i="29"/>
  <c r="C44" i="29"/>
  <c r="C43" i="29"/>
  <c r="C42" i="29"/>
  <c r="C41" i="29"/>
  <c r="C40" i="29"/>
  <c r="C39" i="29"/>
  <c r="C38" i="29"/>
  <c r="C37" i="29"/>
  <c r="C36" i="29"/>
  <c r="C35" i="29"/>
  <c r="C34" i="29"/>
  <c r="C33" i="29"/>
  <c r="C32" i="29"/>
  <c r="C31" i="29"/>
  <c r="C30" i="29"/>
  <c r="C29" i="29"/>
  <c r="C28" i="29"/>
  <c r="C27" i="29"/>
  <c r="C26" i="29"/>
  <c r="C25" i="29"/>
  <c r="C24" i="29"/>
  <c r="C23" i="29"/>
  <c r="C22" i="29"/>
  <c r="C21" i="29"/>
  <c r="C20" i="29"/>
  <c r="C19" i="29"/>
  <c r="C18" i="29"/>
  <c r="C17" i="29"/>
  <c r="C16" i="29"/>
  <c r="C15" i="29"/>
  <c r="C14" i="29"/>
  <c r="C13" i="29"/>
  <c r="C12" i="29"/>
  <c r="C11" i="29"/>
  <c r="C10" i="29"/>
  <c r="C9" i="29"/>
  <c r="C8" i="29"/>
  <c r="C7" i="29"/>
  <c r="C6" i="29"/>
  <c r="C305" i="29"/>
  <c r="E17" i="20"/>
  <c r="C17" i="20"/>
  <c r="D17" i="20"/>
  <c r="B26" i="17"/>
  <c r="B12" i="17"/>
  <c r="O211" i="19"/>
  <c r="O200" i="19"/>
  <c r="O193" i="19"/>
  <c r="O161" i="19"/>
  <c r="O157" i="19"/>
  <c r="T200" i="19"/>
  <c r="U200" i="19"/>
  <c r="S200" i="19"/>
  <c r="W200" i="19"/>
  <c r="C4" i="19"/>
  <c r="W344" i="19"/>
  <c r="R200" i="19"/>
  <c r="V200" i="19"/>
  <c r="C204" i="19"/>
  <c r="C200" i="19"/>
  <c r="U344" i="19"/>
  <c r="T344" i="19"/>
  <c r="C236" i="19"/>
  <c r="I236" i="19" s="1"/>
  <c r="W236" i="19" s="1"/>
  <c r="C244" i="19"/>
  <c r="E244" i="19" s="1"/>
  <c r="C237" i="19"/>
  <c r="D237" i="19" s="1"/>
  <c r="R237" i="19" s="1"/>
  <c r="C245" i="19"/>
  <c r="C242" i="19"/>
  <c r="E242" i="19" s="1"/>
  <c r="S242" i="19" s="1"/>
  <c r="G242" i="19"/>
  <c r="U242" i="19" s="1"/>
  <c r="C250" i="19"/>
  <c r="I250" i="19" s="1"/>
  <c r="W250" i="19" s="1"/>
  <c r="C239" i="19"/>
  <c r="D239" i="19" s="1"/>
  <c r="C247" i="19"/>
  <c r="I247" i="19" s="1"/>
  <c r="W247" i="19" s="1"/>
  <c r="C240" i="19"/>
  <c r="I240" i="19" s="1"/>
  <c r="W240" i="19" s="1"/>
  <c r="C248" i="19"/>
  <c r="C241" i="19"/>
  <c r="I241" i="19" s="1"/>
  <c r="W241" i="19" s="1"/>
  <c r="C249" i="19"/>
  <c r="I249" i="19" s="1"/>
  <c r="W249" i="19" s="1"/>
  <c r="C238" i="19"/>
  <c r="G238" i="19" s="1"/>
  <c r="U238" i="19" s="1"/>
  <c r="C246" i="19"/>
  <c r="C243" i="19"/>
  <c r="E243" i="19" s="1"/>
  <c r="S243" i="19" s="1"/>
  <c r="H244" i="19"/>
  <c r="G245" i="19"/>
  <c r="U245" i="19" s="1"/>
  <c r="O243" i="19"/>
  <c r="E249" i="19"/>
  <c r="S249" i="19" s="1"/>
  <c r="D247" i="19"/>
  <c r="R247" i="19" s="1"/>
  <c r="E239" i="19"/>
  <c r="C234" i="19"/>
  <c r="C235" i="19"/>
  <c r="C247" i="43" s="1"/>
  <c r="C233" i="19"/>
  <c r="V196" i="19"/>
  <c r="U196" i="19"/>
  <c r="T196" i="19"/>
  <c r="W196" i="19"/>
  <c r="R196" i="19"/>
  <c r="S196" i="19"/>
  <c r="Q196" i="19" s="1"/>
  <c r="Y196" i="19" s="1"/>
  <c r="G237" i="19"/>
  <c r="U237" i="19" s="1"/>
  <c r="O241" i="19"/>
  <c r="Q199" i="19"/>
  <c r="Y199" i="19" s="1"/>
  <c r="V112" i="19"/>
  <c r="U298" i="19"/>
  <c r="S310" i="19"/>
  <c r="W320" i="19"/>
  <c r="W325" i="19"/>
  <c r="W288" i="19"/>
  <c r="R266" i="19"/>
  <c r="U278" i="19"/>
  <c r="V223" i="19"/>
  <c r="V104" i="19"/>
  <c r="S294" i="19"/>
  <c r="W302" i="19"/>
  <c r="U314" i="19"/>
  <c r="V258" i="19"/>
  <c r="U283" i="19"/>
  <c r="U253" i="19"/>
  <c r="V210" i="19"/>
  <c r="T219" i="19"/>
  <c r="V100" i="19"/>
  <c r="V125" i="19"/>
  <c r="U129" i="19"/>
  <c r="T283" i="19"/>
  <c r="W258" i="19"/>
  <c r="W262" i="19"/>
  <c r="W266" i="19"/>
  <c r="W270" i="19"/>
  <c r="W274" i="19"/>
  <c r="W278" i="19"/>
  <c r="Q278" i="19" s="1"/>
  <c r="Y278" i="19" s="1"/>
  <c r="W294" i="19"/>
  <c r="U306" i="19"/>
  <c r="S320" i="19"/>
  <c r="S325" i="19"/>
  <c r="S288" i="19"/>
  <c r="T214" i="19"/>
  <c r="S165" i="19"/>
  <c r="O288" i="19"/>
  <c r="O94" i="19"/>
  <c r="V94" i="19"/>
  <c r="U100" i="19"/>
  <c r="U104" i="19"/>
  <c r="U108" i="19"/>
  <c r="U112" i="19"/>
  <c r="V121" i="19"/>
  <c r="V138" i="19"/>
  <c r="S283" i="19"/>
  <c r="T262" i="19"/>
  <c r="T270" i="19"/>
  <c r="T278" i="19"/>
  <c r="R294" i="19"/>
  <c r="V294" i="19"/>
  <c r="T298" i="19"/>
  <c r="R302" i="19"/>
  <c r="V302" i="19"/>
  <c r="T306" i="19"/>
  <c r="R310" i="19"/>
  <c r="V310" i="19"/>
  <c r="T314" i="19"/>
  <c r="R320" i="19"/>
  <c r="V320" i="19"/>
  <c r="R325" i="19"/>
  <c r="V325" i="19"/>
  <c r="R288" i="19"/>
  <c r="V288" i="19"/>
  <c r="U258" i="19"/>
  <c r="R262" i="19"/>
  <c r="V270" i="19"/>
  <c r="U274" i="19"/>
  <c r="R278" i="19"/>
  <c r="R283" i="19"/>
  <c r="T253" i="19"/>
  <c r="U210" i="19"/>
  <c r="S214" i="19"/>
  <c r="W214" i="19"/>
  <c r="S219" i="19"/>
  <c r="W219" i="19"/>
  <c r="U223" i="19"/>
  <c r="S230" i="19"/>
  <c r="U192" i="19"/>
  <c r="D236" i="19"/>
  <c r="R236" i="19" s="1"/>
  <c r="O188" i="19"/>
  <c r="O210" i="19"/>
  <c r="U117" i="19"/>
  <c r="U133" i="19"/>
  <c r="T294" i="19"/>
  <c r="R298" i="19"/>
  <c r="V298" i="19"/>
  <c r="T302" i="19"/>
  <c r="R306" i="19"/>
  <c r="V306" i="19"/>
  <c r="T310" i="19"/>
  <c r="R314" i="19"/>
  <c r="V314" i="19"/>
  <c r="T320" i="19"/>
  <c r="T325" i="19"/>
  <c r="T288" i="19"/>
  <c r="U266" i="19"/>
  <c r="R270" i="19"/>
  <c r="R253" i="19"/>
  <c r="S210" i="19"/>
  <c r="W210" i="19"/>
  <c r="U214" i="19"/>
  <c r="U219" i="19"/>
  <c r="S223" i="19"/>
  <c r="W223" i="19"/>
  <c r="W230" i="19"/>
  <c r="W165" i="19"/>
  <c r="T188" i="19"/>
  <c r="U94" i="19"/>
  <c r="V117" i="19"/>
  <c r="O294" i="19"/>
  <c r="O298" i="19"/>
  <c r="O302" i="19"/>
  <c r="O306" i="19"/>
  <c r="O310" i="19"/>
  <c r="O314" i="19"/>
  <c r="S258" i="19"/>
  <c r="S262" i="19"/>
  <c r="S266" i="19"/>
  <c r="S270" i="19"/>
  <c r="S274" i="19"/>
  <c r="S278" i="19"/>
  <c r="S298" i="19"/>
  <c r="S306" i="19"/>
  <c r="S314" i="19"/>
  <c r="T192" i="19"/>
  <c r="V165" i="19"/>
  <c r="U230" i="19"/>
  <c r="V192" i="19"/>
  <c r="T165" i="19"/>
  <c r="U188" i="19"/>
  <c r="S192" i="19"/>
  <c r="C3" i="36"/>
  <c r="O38" i="19"/>
  <c r="S38" i="19" s="1"/>
  <c r="U14" i="19"/>
  <c r="U22" i="19"/>
  <c r="U30" i="19"/>
  <c r="U38" i="19"/>
  <c r="U46" i="19"/>
  <c r="U54" i="19"/>
  <c r="O72" i="19"/>
  <c r="T72" i="19" s="1"/>
  <c r="V68" i="19"/>
  <c r="V14" i="19"/>
  <c r="V22" i="19"/>
  <c r="V30" i="19"/>
  <c r="V46" i="19"/>
  <c r="V54" i="19"/>
  <c r="V124" i="19"/>
  <c r="U137" i="19"/>
  <c r="O68" i="19"/>
  <c r="T68" i="19" s="1"/>
  <c r="D244" i="19"/>
  <c r="R244" i="19" s="1"/>
  <c r="H240" i="19"/>
  <c r="V240" i="19" s="1"/>
  <c r="O46" i="19"/>
  <c r="W46" i="19" s="1"/>
  <c r="O14" i="19"/>
  <c r="W14" i="19" s="1"/>
  <c r="O18" i="19"/>
  <c r="O22" i="19"/>
  <c r="R22" i="19" s="1"/>
  <c r="O26" i="19"/>
  <c r="R26" i="19" s="1"/>
  <c r="O30" i="19"/>
  <c r="O34" i="19"/>
  <c r="O50" i="19"/>
  <c r="S50" i="19" s="1"/>
  <c r="O54" i="19"/>
  <c r="W54" i="19" s="1"/>
  <c r="O58" i="19"/>
  <c r="U18" i="19"/>
  <c r="U26" i="19"/>
  <c r="U34" i="19"/>
  <c r="U42" i="19"/>
  <c r="U50" i="19"/>
  <c r="U58" i="19"/>
  <c r="U153" i="19"/>
  <c r="V76" i="19"/>
  <c r="S175" i="19"/>
  <c r="T184" i="19"/>
  <c r="K199" i="19"/>
  <c r="O199" i="19" s="1"/>
  <c r="K81" i="19"/>
  <c r="G249" i="19"/>
  <c r="U249" i="19" s="1"/>
  <c r="H245" i="19"/>
  <c r="V245" i="19" s="1"/>
  <c r="H247" i="19"/>
  <c r="V247" i="19" s="1"/>
  <c r="C173" i="19"/>
  <c r="O173" i="19" s="1"/>
  <c r="V170" i="19"/>
  <c r="C256" i="19"/>
  <c r="C268" i="19"/>
  <c r="C280" i="43" s="1"/>
  <c r="S188" i="19"/>
  <c r="W188" i="19"/>
  <c r="V62" i="19"/>
  <c r="D184" i="42"/>
  <c r="T169" i="19"/>
  <c r="Q169" i="19" s="1"/>
  <c r="Y169" i="19" s="1"/>
  <c r="C272" i="19"/>
  <c r="B280" i="42" s="1"/>
  <c r="C284" i="19"/>
  <c r="B292" i="44"/>
  <c r="U74" i="19"/>
  <c r="D245" i="19"/>
  <c r="R245" i="19" s="1"/>
  <c r="E236" i="19"/>
  <c r="S236" i="19" s="1"/>
  <c r="C264" i="19"/>
  <c r="B272" i="44" s="1"/>
  <c r="C276" i="19"/>
  <c r="B284" i="42" s="1"/>
  <c r="K88" i="19"/>
  <c r="C196" i="19"/>
  <c r="O159" i="19"/>
  <c r="D19" i="22"/>
  <c r="V11" i="19"/>
  <c r="U11" i="19"/>
  <c r="D31" i="22"/>
  <c r="V23" i="19"/>
  <c r="D43" i="22"/>
  <c r="V35" i="19"/>
  <c r="U35" i="19"/>
  <c r="D55" i="22"/>
  <c r="V47" i="19"/>
  <c r="U47" i="19"/>
  <c r="D69" i="22"/>
  <c r="U61" i="19"/>
  <c r="O61" i="19"/>
  <c r="S61" i="19" s="1"/>
  <c r="V61" i="19"/>
  <c r="D81" i="22"/>
  <c r="V73" i="19"/>
  <c r="D97" i="22"/>
  <c r="V89" i="19"/>
  <c r="O89" i="19"/>
  <c r="W89" i="19" s="1"/>
  <c r="U89" i="19"/>
  <c r="D115" i="22"/>
  <c r="U107" i="19"/>
  <c r="U186" i="19"/>
  <c r="W186" i="19"/>
  <c r="T209" i="19"/>
  <c r="W209" i="19"/>
  <c r="S209" i="19"/>
  <c r="V209" i="19"/>
  <c r="O209" i="19"/>
  <c r="T217" i="19"/>
  <c r="W217" i="19"/>
  <c r="S217" i="19"/>
  <c r="V217" i="19"/>
  <c r="T252" i="19"/>
  <c r="W252" i="19"/>
  <c r="W251" i="19" s="1"/>
  <c r="R252" i="19"/>
  <c r="S252" i="19"/>
  <c r="V252" i="19"/>
  <c r="U265" i="19"/>
  <c r="U277" i="19"/>
  <c r="R277" i="19"/>
  <c r="T293" i="19"/>
  <c r="W293" i="19"/>
  <c r="S293" i="19"/>
  <c r="V293" i="19"/>
  <c r="R293" i="19"/>
  <c r="T317" i="19"/>
  <c r="W317" i="19"/>
  <c r="S317" i="19"/>
  <c r="V317" i="19"/>
  <c r="R317" i="19"/>
  <c r="D23" i="22"/>
  <c r="V15" i="19"/>
  <c r="U15" i="19"/>
  <c r="D35" i="22"/>
  <c r="V27" i="19"/>
  <c r="U27" i="19"/>
  <c r="D47" i="22"/>
  <c r="V39" i="19"/>
  <c r="U39" i="19"/>
  <c r="D59" i="22"/>
  <c r="V51" i="19"/>
  <c r="U51" i="19"/>
  <c r="D73" i="22"/>
  <c r="O65" i="19"/>
  <c r="R65" i="19" s="1"/>
  <c r="U65" i="19"/>
  <c r="U77" i="19"/>
  <c r="V77" i="19"/>
  <c r="D106" i="22"/>
  <c r="V98" i="19"/>
  <c r="U98" i="19"/>
  <c r="D119" i="22"/>
  <c r="V111" i="19"/>
  <c r="U111" i="19"/>
  <c r="W191" i="19"/>
  <c r="O191" i="19"/>
  <c r="T213" i="19"/>
  <c r="W213" i="19"/>
  <c r="S213" i="19"/>
  <c r="V213" i="19"/>
  <c r="O213" i="19"/>
  <c r="V222" i="19"/>
  <c r="U222" i="19"/>
  <c r="T222" i="19"/>
  <c r="U257" i="19"/>
  <c r="R257" i="19"/>
  <c r="U269" i="19"/>
  <c r="R269" i="19"/>
  <c r="U281" i="19"/>
  <c r="R281" i="19"/>
  <c r="T301" i="19"/>
  <c r="W301" i="19"/>
  <c r="S301" i="19"/>
  <c r="V301" i="19"/>
  <c r="R301" i="19"/>
  <c r="T313" i="19"/>
  <c r="W313" i="19"/>
  <c r="S313" i="19"/>
  <c r="V313" i="19"/>
  <c r="R313" i="19"/>
  <c r="O238" i="19"/>
  <c r="V107" i="19"/>
  <c r="O165" i="19"/>
  <c r="U252" i="19"/>
  <c r="U251" i="19" s="1"/>
  <c r="U145" i="19"/>
  <c r="U313" i="19"/>
  <c r="U213" i="19"/>
  <c r="S222" i="19"/>
  <c r="D27" i="22"/>
  <c r="V19" i="19"/>
  <c r="D39" i="22"/>
  <c r="V31" i="19"/>
  <c r="U31" i="19"/>
  <c r="D51" i="22"/>
  <c r="V43" i="19"/>
  <c r="U43" i="19"/>
  <c r="D63" i="22"/>
  <c r="V55" i="19"/>
  <c r="U55" i="19"/>
  <c r="D101" i="22"/>
  <c r="V93" i="19"/>
  <c r="D111" i="22"/>
  <c r="V103" i="19"/>
  <c r="U103" i="19"/>
  <c r="D123" i="22"/>
  <c r="U115" i="19"/>
  <c r="D128" i="22"/>
  <c r="V120" i="19"/>
  <c r="V128" i="19"/>
  <c r="U128" i="19"/>
  <c r="V132" i="19"/>
  <c r="U132" i="19"/>
  <c r="V229" i="19"/>
  <c r="U229" i="19"/>
  <c r="T229" i="19"/>
  <c r="U261" i="19"/>
  <c r="U273" i="19"/>
  <c r="R273" i="19"/>
  <c r="T287" i="19"/>
  <c r="W287" i="19"/>
  <c r="S287" i="19"/>
  <c r="V287" i="19"/>
  <c r="R287" i="19"/>
  <c r="T297" i="19"/>
  <c r="W297" i="19"/>
  <c r="S297" i="19"/>
  <c r="V297" i="19"/>
  <c r="R297" i="19"/>
  <c r="T305" i="19"/>
  <c r="W305" i="19"/>
  <c r="S305" i="19"/>
  <c r="V305" i="19"/>
  <c r="R305" i="19"/>
  <c r="T309" i="19"/>
  <c r="W309" i="19"/>
  <c r="S309" i="19"/>
  <c r="V309" i="19"/>
  <c r="R309" i="19"/>
  <c r="T323" i="19"/>
  <c r="O323" i="19"/>
  <c r="W323" i="19"/>
  <c r="S323" i="19"/>
  <c r="V323" i="19"/>
  <c r="R323" i="19"/>
  <c r="O186" i="19"/>
  <c r="U149" i="19"/>
  <c r="U301" i="19"/>
  <c r="U317" i="19"/>
  <c r="V261" i="19"/>
  <c r="V269" i="19"/>
  <c r="V277" i="19"/>
  <c r="U217" i="19"/>
  <c r="G243" i="19"/>
  <c r="U243" i="19" s="1"/>
  <c r="D243" i="19"/>
  <c r="R243" i="19" s="1"/>
  <c r="I239" i="19"/>
  <c r="W239" i="19" s="1"/>
  <c r="H239" i="19"/>
  <c r="I237" i="19"/>
  <c r="W237" i="19" s="1"/>
  <c r="U93" i="19"/>
  <c r="U141" i="19"/>
  <c r="T258" i="19"/>
  <c r="C258" i="19"/>
  <c r="C270" i="43" s="1"/>
  <c r="T266" i="19"/>
  <c r="C266" i="19"/>
  <c r="T274" i="19"/>
  <c r="C274" i="19"/>
  <c r="C286" i="43" s="1"/>
  <c r="T282" i="19"/>
  <c r="C282" i="19"/>
  <c r="W257" i="19"/>
  <c r="W261" i="19"/>
  <c r="W269" i="19"/>
  <c r="W273" i="19"/>
  <c r="W277" i="19"/>
  <c r="W281" i="19"/>
  <c r="U293" i="19"/>
  <c r="U309" i="19"/>
  <c r="U287" i="19"/>
  <c r="U285" i="19" s="1"/>
  <c r="V257" i="19"/>
  <c r="V265" i="19"/>
  <c r="V273" i="19"/>
  <c r="V281" i="19"/>
  <c r="U209" i="19"/>
  <c r="W222" i="19"/>
  <c r="W229" i="19"/>
  <c r="U73" i="19"/>
  <c r="V65" i="19"/>
  <c r="V244" i="19"/>
  <c r="S244" i="19"/>
  <c r="O293" i="19"/>
  <c r="O297" i="19"/>
  <c r="O301" i="19"/>
  <c r="O305" i="19"/>
  <c r="O309" i="19"/>
  <c r="O313" i="19"/>
  <c r="S257" i="19"/>
  <c r="S261" i="19"/>
  <c r="S269" i="19"/>
  <c r="S273" i="19"/>
  <c r="S277" i="19"/>
  <c r="S281" i="19"/>
  <c r="T257" i="19"/>
  <c r="T261" i="19"/>
  <c r="T265" i="19"/>
  <c r="T273" i="19"/>
  <c r="T277" i="19"/>
  <c r="T281" i="19"/>
  <c r="Q290" i="19"/>
  <c r="Y290" i="19" s="1"/>
  <c r="Q296" i="19"/>
  <c r="Y296" i="19" s="1"/>
  <c r="H243" i="19"/>
  <c r="V243" i="19" s="1"/>
  <c r="Q300" i="19"/>
  <c r="Y300" i="19" s="1"/>
  <c r="Q215" i="19"/>
  <c r="Y215" i="19" s="1"/>
  <c r="Q223" i="19"/>
  <c r="Y223" i="19" s="1"/>
  <c r="U101" i="19"/>
  <c r="U105" i="19"/>
  <c r="U109" i="19"/>
  <c r="U113" i="19"/>
  <c r="Q228" i="19"/>
  <c r="Y228" i="19" s="1"/>
  <c r="Q218" i="19"/>
  <c r="Y218" i="19" s="1"/>
  <c r="V82" i="19"/>
  <c r="V72" i="19"/>
  <c r="U70" i="19"/>
  <c r="V66" i="19"/>
  <c r="V64" i="19"/>
  <c r="U62" i="19"/>
  <c r="Q304" i="19"/>
  <c r="Y304" i="19" s="1"/>
  <c r="Q187" i="19"/>
  <c r="Y187" i="19" s="1"/>
  <c r="T191" i="19"/>
  <c r="S166" i="19"/>
  <c r="W166" i="19"/>
  <c r="S186" i="19"/>
  <c r="U191" i="19"/>
  <c r="V186" i="19"/>
  <c r="W70" i="19"/>
  <c r="R70" i="19"/>
  <c r="W62" i="19"/>
  <c r="T62" i="19"/>
  <c r="S62" i="19"/>
  <c r="R62" i="19"/>
  <c r="S21" i="19"/>
  <c r="R21" i="19"/>
  <c r="S28" i="19"/>
  <c r="T28" i="19"/>
  <c r="W28" i="19"/>
  <c r="R28" i="19"/>
  <c r="W33" i="19"/>
  <c r="T33" i="19"/>
  <c r="S33" i="19"/>
  <c r="R33" i="19"/>
  <c r="S41" i="19"/>
  <c r="R41" i="19"/>
  <c r="W53" i="19"/>
  <c r="T53" i="19"/>
  <c r="S53" i="19"/>
  <c r="R53" i="19"/>
  <c r="T60" i="19"/>
  <c r="S60" i="19"/>
  <c r="W60" i="19"/>
  <c r="R60" i="19"/>
  <c r="R90" i="19"/>
  <c r="T90" i="19"/>
  <c r="S90" i="19"/>
  <c r="S63" i="19"/>
  <c r="W63" i="19"/>
  <c r="S22" i="19"/>
  <c r="W29" i="19"/>
  <c r="T29" i="19"/>
  <c r="S29" i="19"/>
  <c r="R29" i="19"/>
  <c r="S48" i="19"/>
  <c r="R48" i="19"/>
  <c r="Q204" i="19"/>
  <c r="Y204" i="19" s="1"/>
  <c r="W17" i="19"/>
  <c r="T17" i="19"/>
  <c r="S17" i="19"/>
  <c r="R17" i="19"/>
  <c r="W25" i="19"/>
  <c r="T25" i="19"/>
  <c r="S25" i="19"/>
  <c r="R25" i="19"/>
  <c r="W37" i="19"/>
  <c r="T37" i="19"/>
  <c r="S37" i="19"/>
  <c r="R37" i="19"/>
  <c r="T44" i="19"/>
  <c r="S44" i="19"/>
  <c r="W49" i="19"/>
  <c r="T49" i="19"/>
  <c r="R49" i="19"/>
  <c r="W94" i="19"/>
  <c r="T94" i="19"/>
  <c r="R94" i="19"/>
  <c r="S94" i="19"/>
  <c r="W67" i="19"/>
  <c r="S67" i="19"/>
  <c r="R67" i="19"/>
  <c r="T67" i="19"/>
  <c r="T64" i="19"/>
  <c r="W64" i="19"/>
  <c r="S64" i="19"/>
  <c r="R64" i="19"/>
  <c r="Q324" i="19"/>
  <c r="Y324" i="19" s="1"/>
  <c r="Q330" i="19"/>
  <c r="Y330" i="19" s="1"/>
  <c r="T84" i="19"/>
  <c r="S84" i="19"/>
  <c r="W84" i="19"/>
  <c r="R84" i="19"/>
  <c r="W18" i="19"/>
  <c r="T26" i="19"/>
  <c r="T38" i="19"/>
  <c r="R38" i="19"/>
  <c r="S45" i="19"/>
  <c r="R45" i="19"/>
  <c r="T71" i="19"/>
  <c r="W71" i="19"/>
  <c r="R71" i="19"/>
  <c r="S71" i="19"/>
  <c r="T61" i="19"/>
  <c r="E195" i="40"/>
  <c r="Q231" i="19"/>
  <c r="Y231" i="19" s="1"/>
  <c r="E195" i="44"/>
  <c r="C265" i="19"/>
  <c r="C277" i="43" s="1"/>
  <c r="C281" i="19"/>
  <c r="B289" i="44" s="1"/>
  <c r="T263" i="19"/>
  <c r="Q263" i="19" s="1"/>
  <c r="Y263" i="19" s="1"/>
  <c r="T279" i="19"/>
  <c r="Q279" i="19" s="1"/>
  <c r="Y279" i="19" s="1"/>
  <c r="Q267" i="19"/>
  <c r="Y267" i="19" s="1"/>
  <c r="Q271" i="19"/>
  <c r="Y271" i="19" s="1"/>
  <c r="Q275" i="19"/>
  <c r="Y275" i="19" s="1"/>
  <c r="Q181" i="19"/>
  <c r="Y181" i="19" s="1"/>
  <c r="Q291" i="19"/>
  <c r="Y291" i="19" s="1"/>
  <c r="Q319" i="19"/>
  <c r="Y319" i="19" s="1"/>
  <c r="Q329" i="19"/>
  <c r="Y329" i="19" s="1"/>
  <c r="Q331" i="19"/>
  <c r="Y331" i="19" s="1"/>
  <c r="Q333" i="19"/>
  <c r="Y333" i="19" s="1"/>
  <c r="Q254" i="19"/>
  <c r="Y254" i="19" s="1"/>
  <c r="Q211" i="19"/>
  <c r="Y211" i="19" s="1"/>
  <c r="Q167" i="19"/>
  <c r="Y167" i="19" s="1"/>
  <c r="Y182" i="19"/>
  <c r="C257" i="19"/>
  <c r="B265" i="42" s="1"/>
  <c r="C273" i="19"/>
  <c r="Q171" i="19"/>
  <c r="Y171" i="19" s="1"/>
  <c r="D184" i="44"/>
  <c r="D93" i="44"/>
  <c r="D93" i="42"/>
  <c r="V85" i="19"/>
  <c r="V83" i="19" s="1"/>
  <c r="D93" i="22"/>
  <c r="U85" i="19"/>
  <c r="U83" i="19" s="1"/>
  <c r="I235" i="19"/>
  <c r="W235" i="19" s="1"/>
  <c r="B243" i="44"/>
  <c r="C247" i="41"/>
  <c r="B243" i="40"/>
  <c r="B243" i="22"/>
  <c r="G248" i="19"/>
  <c r="U248" i="19" s="1"/>
  <c r="C260" i="43"/>
  <c r="B256" i="42"/>
  <c r="C260" i="39"/>
  <c r="C260" i="21"/>
  <c r="B250" i="44"/>
  <c r="C254" i="43"/>
  <c r="B250" i="42"/>
  <c r="B250" i="40"/>
  <c r="C254" i="21"/>
  <c r="C254" i="39"/>
  <c r="G235" i="19"/>
  <c r="U235" i="19" s="1"/>
  <c r="E238" i="19"/>
  <c r="S238" i="19" s="1"/>
  <c r="O242" i="19"/>
  <c r="D242" i="19"/>
  <c r="R242" i="19" s="1"/>
  <c r="I242" i="19"/>
  <c r="W242" i="19" s="1"/>
  <c r="B251" i="44"/>
  <c r="E251" i="44" s="1"/>
  <c r="C255" i="43"/>
  <c r="B251" i="42"/>
  <c r="E251" i="42" s="1"/>
  <c r="C255" i="41"/>
  <c r="B251" i="40"/>
  <c r="E251" i="40" s="1"/>
  <c r="C255" i="39"/>
  <c r="C255" i="21"/>
  <c r="B251" i="22"/>
  <c r="E251" i="22" s="1"/>
  <c r="B249" i="44"/>
  <c r="E249" i="44" s="1"/>
  <c r="C253" i="43"/>
  <c r="B249" i="42"/>
  <c r="E249" i="42" s="1"/>
  <c r="C253" i="41"/>
  <c r="B249" i="40"/>
  <c r="E249" i="40" s="1"/>
  <c r="C253" i="21"/>
  <c r="C253" i="39"/>
  <c r="B249" i="22"/>
  <c r="E249" i="22" s="1"/>
  <c r="B247" i="44"/>
  <c r="C251" i="43"/>
  <c r="B247" i="42"/>
  <c r="C251" i="41"/>
  <c r="B247" i="40"/>
  <c r="C251" i="39"/>
  <c r="C251" i="21"/>
  <c r="B247" i="22"/>
  <c r="B245" i="44"/>
  <c r="C249" i="43"/>
  <c r="B245" i="40"/>
  <c r="C249" i="21"/>
  <c r="C262" i="29"/>
  <c r="C163" i="19"/>
  <c r="B68" i="44"/>
  <c r="C72" i="43"/>
  <c r="B68" i="42"/>
  <c r="C72" i="41"/>
  <c r="B68" i="40"/>
  <c r="C72" i="21"/>
  <c r="C72" i="39"/>
  <c r="O76" i="19"/>
  <c r="B84" i="44"/>
  <c r="C88" i="43"/>
  <c r="B84" i="42"/>
  <c r="C88" i="41"/>
  <c r="B84" i="40"/>
  <c r="C88" i="21"/>
  <c r="C88" i="39"/>
  <c r="B18" i="44"/>
  <c r="C22" i="43"/>
  <c r="B18" i="42"/>
  <c r="C22" i="41"/>
  <c r="B18" i="40"/>
  <c r="C22" i="39"/>
  <c r="C22" i="21"/>
  <c r="B22" i="44"/>
  <c r="C26" i="43"/>
  <c r="B22" i="42"/>
  <c r="C26" i="41"/>
  <c r="B22" i="40"/>
  <c r="C26" i="39"/>
  <c r="C26" i="21"/>
  <c r="B26" i="44"/>
  <c r="C30" i="43"/>
  <c r="B26" i="42"/>
  <c r="C30" i="41"/>
  <c r="C30" i="39"/>
  <c r="B26" i="40"/>
  <c r="C30" i="21"/>
  <c r="B30" i="44"/>
  <c r="C34" i="43"/>
  <c r="B30" i="42"/>
  <c r="C34" i="41"/>
  <c r="C34" i="39"/>
  <c r="B30" i="40"/>
  <c r="C34" i="21"/>
  <c r="B34" i="44"/>
  <c r="C38" i="43"/>
  <c r="B34" i="42"/>
  <c r="C38" i="41"/>
  <c r="B34" i="40"/>
  <c r="C38" i="39"/>
  <c r="C38" i="21"/>
  <c r="B38" i="44"/>
  <c r="C42" i="43"/>
  <c r="B38" i="42"/>
  <c r="C42" i="41"/>
  <c r="B38" i="40"/>
  <c r="C42" i="39"/>
  <c r="C42" i="21"/>
  <c r="B42" i="44"/>
  <c r="C46" i="43"/>
  <c r="B42" i="42"/>
  <c r="C46" i="41"/>
  <c r="B42" i="40"/>
  <c r="C46" i="39"/>
  <c r="C46" i="21"/>
  <c r="B46" i="44"/>
  <c r="C50" i="43"/>
  <c r="B46" i="42"/>
  <c r="C50" i="41"/>
  <c r="C50" i="39"/>
  <c r="B46" i="40"/>
  <c r="C50" i="21"/>
  <c r="B50" i="44"/>
  <c r="B50" i="40"/>
  <c r="C54" i="41"/>
  <c r="B54" i="44"/>
  <c r="C58" i="43"/>
  <c r="B54" i="42"/>
  <c r="C58" i="41"/>
  <c r="B54" i="40"/>
  <c r="C58" i="39"/>
  <c r="C58" i="21"/>
  <c r="B58" i="44"/>
  <c r="C62" i="43"/>
  <c r="B58" i="42"/>
  <c r="C62" i="41"/>
  <c r="C62" i="39"/>
  <c r="B58" i="40"/>
  <c r="C62" i="21"/>
  <c r="B62" i="44"/>
  <c r="C66" i="43"/>
  <c r="B62" i="42"/>
  <c r="C66" i="41"/>
  <c r="C66" i="39"/>
  <c r="B62" i="40"/>
  <c r="C66" i="21"/>
  <c r="B66" i="44"/>
  <c r="C70" i="43"/>
  <c r="B66" i="42"/>
  <c r="C70" i="41"/>
  <c r="B66" i="40"/>
  <c r="C70" i="39"/>
  <c r="C70" i="21"/>
  <c r="B94" i="44"/>
  <c r="C98" i="43"/>
  <c r="C98" i="39"/>
  <c r="B94" i="40"/>
  <c r="C105" i="43"/>
  <c r="B101" i="42"/>
  <c r="C105" i="39"/>
  <c r="C105" i="21"/>
  <c r="O98" i="19"/>
  <c r="B106" i="44"/>
  <c r="C110" i="43"/>
  <c r="C110" i="41"/>
  <c r="B106" i="42"/>
  <c r="B106" i="40"/>
  <c r="C110" i="21"/>
  <c r="C110" i="39"/>
  <c r="B110" i="44"/>
  <c r="C114" i="43"/>
  <c r="C114" i="41"/>
  <c r="B110" i="42"/>
  <c r="C114" i="21"/>
  <c r="B110" i="40"/>
  <c r="C114" i="39"/>
  <c r="O111" i="19"/>
  <c r="B119" i="44"/>
  <c r="C123" i="43"/>
  <c r="B119" i="42"/>
  <c r="B119" i="40"/>
  <c r="C123" i="41"/>
  <c r="C123" i="39"/>
  <c r="C123" i="21"/>
  <c r="O122" i="19"/>
  <c r="B130" i="44"/>
  <c r="C134" i="43"/>
  <c r="B130" i="42"/>
  <c r="C134" i="41"/>
  <c r="B130" i="40"/>
  <c r="C134" i="21"/>
  <c r="C134" i="39"/>
  <c r="B130" i="22"/>
  <c r="O131" i="19"/>
  <c r="B139" i="44"/>
  <c r="C143" i="43"/>
  <c r="B139" i="42"/>
  <c r="C143" i="41"/>
  <c r="B139" i="40"/>
  <c r="C143" i="39"/>
  <c r="C143" i="21"/>
  <c r="B139" i="22"/>
  <c r="O109" i="19"/>
  <c r="B117" i="44"/>
  <c r="C121" i="43"/>
  <c r="B117" i="42"/>
  <c r="C121" i="41"/>
  <c r="B117" i="40"/>
  <c r="C121" i="21"/>
  <c r="C121" i="39"/>
  <c r="O123" i="19"/>
  <c r="B131" i="44"/>
  <c r="C135" i="43"/>
  <c r="B131" i="42"/>
  <c r="C135" i="41"/>
  <c r="C135" i="39"/>
  <c r="B131" i="40"/>
  <c r="C135" i="21"/>
  <c r="B131" i="22"/>
  <c r="O129" i="19"/>
  <c r="B137" i="44"/>
  <c r="C141" i="43"/>
  <c r="B137" i="42"/>
  <c r="C141" i="41"/>
  <c r="B137" i="40"/>
  <c r="C141" i="21"/>
  <c r="C141" i="39"/>
  <c r="B137" i="22"/>
  <c r="O110" i="19"/>
  <c r="B118" i="44"/>
  <c r="C122" i="43"/>
  <c r="B118" i="42"/>
  <c r="C122" i="41"/>
  <c r="B118" i="40"/>
  <c r="C122" i="21"/>
  <c r="C122" i="39"/>
  <c r="O119" i="19"/>
  <c r="B127" i="44"/>
  <c r="C131" i="43"/>
  <c r="B127" i="42"/>
  <c r="C131" i="41"/>
  <c r="C131" i="39"/>
  <c r="B127" i="40"/>
  <c r="C131" i="21"/>
  <c r="B127" i="22"/>
  <c r="O139" i="19"/>
  <c r="B147" i="44"/>
  <c r="C151" i="43"/>
  <c r="B147" i="42"/>
  <c r="C151" i="41"/>
  <c r="B147" i="40"/>
  <c r="C151" i="21"/>
  <c r="C151" i="39"/>
  <c r="B147" i="22"/>
  <c r="O143" i="19"/>
  <c r="B151" i="44"/>
  <c r="C155" i="43"/>
  <c r="C155" i="41"/>
  <c r="B151" i="42"/>
  <c r="B151" i="40"/>
  <c r="C155" i="21"/>
  <c r="C155" i="39"/>
  <c r="B151" i="22"/>
  <c r="O147" i="19"/>
  <c r="B155" i="44"/>
  <c r="C159" i="43"/>
  <c r="C159" i="41"/>
  <c r="B155" i="42"/>
  <c r="B155" i="40"/>
  <c r="C159" i="21"/>
  <c r="C159" i="39"/>
  <c r="B155" i="22"/>
  <c r="O151" i="19"/>
  <c r="B159" i="44"/>
  <c r="C163" i="43"/>
  <c r="B159" i="42"/>
  <c r="C163" i="41"/>
  <c r="B159" i="40"/>
  <c r="C163" i="21"/>
  <c r="C163" i="39"/>
  <c r="B159" i="22"/>
  <c r="B165" i="44"/>
  <c r="E165" i="44" s="1"/>
  <c r="C169" i="43"/>
  <c r="B165" i="42"/>
  <c r="E165" i="42" s="1"/>
  <c r="C169" i="41"/>
  <c r="B165" i="40"/>
  <c r="E165" i="40" s="1"/>
  <c r="C169" i="21"/>
  <c r="C169" i="39"/>
  <c r="B165" i="22"/>
  <c r="B169" i="44"/>
  <c r="C173" i="43"/>
  <c r="B169" i="42"/>
  <c r="C173" i="41"/>
  <c r="B169" i="40"/>
  <c r="C173" i="21"/>
  <c r="C173" i="39"/>
  <c r="B169" i="22"/>
  <c r="B175" i="44"/>
  <c r="C179" i="43"/>
  <c r="C179" i="41"/>
  <c r="B175" i="40"/>
  <c r="C179" i="39"/>
  <c r="B175" i="22"/>
  <c r="B189" i="44"/>
  <c r="C193" i="43"/>
  <c r="B189" i="42"/>
  <c r="C193" i="41"/>
  <c r="B189" i="40"/>
  <c r="C193" i="21"/>
  <c r="C193" i="39"/>
  <c r="B189" i="22"/>
  <c r="B198" i="44"/>
  <c r="C202" i="43"/>
  <c r="B198" i="42"/>
  <c r="C202" i="41"/>
  <c r="B198" i="40"/>
  <c r="C202" i="21"/>
  <c r="C202" i="39"/>
  <c r="B198" i="22"/>
  <c r="O185" i="19"/>
  <c r="T177" i="19"/>
  <c r="U170" i="19"/>
  <c r="W170" i="19"/>
  <c r="T185" i="19"/>
  <c r="B178" i="44"/>
  <c r="C182" i="43"/>
  <c r="C182" i="41"/>
  <c r="B178" i="42"/>
  <c r="B178" i="40"/>
  <c r="C182" i="21"/>
  <c r="C182" i="39"/>
  <c r="B178" i="22"/>
  <c r="B184" i="44"/>
  <c r="C188" i="43"/>
  <c r="B184" i="42"/>
  <c r="B184" i="40"/>
  <c r="C188" i="41"/>
  <c r="C188" i="39"/>
  <c r="C188" i="21"/>
  <c r="B184" i="22"/>
  <c r="D183" i="44"/>
  <c r="D183" i="42"/>
  <c r="D183" i="40"/>
  <c r="D183" i="22"/>
  <c r="B187" i="44"/>
  <c r="C191" i="43"/>
  <c r="B187" i="42"/>
  <c r="B187" i="40"/>
  <c r="C191" i="41"/>
  <c r="C191" i="39"/>
  <c r="C191" i="21"/>
  <c r="B187" i="22"/>
  <c r="B193" i="44"/>
  <c r="C197" i="43"/>
  <c r="B193" i="42"/>
  <c r="C197" i="41"/>
  <c r="B193" i="40"/>
  <c r="C197" i="21"/>
  <c r="C197" i="39"/>
  <c r="B193" i="22"/>
  <c r="B218" i="44"/>
  <c r="C222" i="43"/>
  <c r="B218" i="42"/>
  <c r="C222" i="41"/>
  <c r="B218" i="40"/>
  <c r="C222" i="39"/>
  <c r="C222" i="21"/>
  <c r="B218" i="22"/>
  <c r="O214" i="19"/>
  <c r="B222" i="44"/>
  <c r="C226" i="43"/>
  <c r="B222" i="42"/>
  <c r="C226" i="41"/>
  <c r="B222" i="40"/>
  <c r="C226" i="39"/>
  <c r="C226" i="21"/>
  <c r="B222" i="22"/>
  <c r="O218" i="19"/>
  <c r="B226" i="44"/>
  <c r="E226" i="44" s="1"/>
  <c r="C230" i="43"/>
  <c r="B226" i="42"/>
  <c r="E226" i="42" s="1"/>
  <c r="C230" i="41"/>
  <c r="B226" i="40"/>
  <c r="E226" i="40" s="1"/>
  <c r="C230" i="39"/>
  <c r="C230" i="21"/>
  <c r="B226" i="22"/>
  <c r="E226" i="22" s="1"/>
  <c r="O222" i="19"/>
  <c r="B230" i="44"/>
  <c r="C234" i="43"/>
  <c r="B230" i="42"/>
  <c r="C234" i="41"/>
  <c r="B230" i="40"/>
  <c r="C234" i="39"/>
  <c r="C234" i="21"/>
  <c r="B230" i="22"/>
  <c r="O226" i="19"/>
  <c r="B234" i="44"/>
  <c r="C238" i="43"/>
  <c r="B234" i="42"/>
  <c r="C238" i="41"/>
  <c r="B234" i="40"/>
  <c r="C238" i="39"/>
  <c r="C238" i="21"/>
  <c r="B234" i="22"/>
  <c r="E234" i="22"/>
  <c r="O230" i="19"/>
  <c r="B238" i="44"/>
  <c r="C242" i="43"/>
  <c r="B238" i="42"/>
  <c r="C242" i="41"/>
  <c r="B238" i="40"/>
  <c r="C242" i="39"/>
  <c r="C242" i="21"/>
  <c r="B238" i="22"/>
  <c r="O254" i="19"/>
  <c r="B262" i="44"/>
  <c r="C266" i="43"/>
  <c r="B262" i="42"/>
  <c r="C266" i="41"/>
  <c r="B262" i="40"/>
  <c r="C266" i="21"/>
  <c r="C266" i="39"/>
  <c r="B262" i="22"/>
  <c r="C259" i="19"/>
  <c r="O263" i="19"/>
  <c r="B271" i="44"/>
  <c r="C275" i="43"/>
  <c r="B271" i="42"/>
  <c r="C275" i="41"/>
  <c r="B271" i="40"/>
  <c r="C275" i="21"/>
  <c r="C275" i="39"/>
  <c r="B271" i="22"/>
  <c r="C267" i="19"/>
  <c r="C275" i="19"/>
  <c r="O279" i="19"/>
  <c r="B287" i="44"/>
  <c r="C291" i="43"/>
  <c r="B287" i="42"/>
  <c r="C291" i="41"/>
  <c r="B287" i="40"/>
  <c r="C291" i="21"/>
  <c r="C291" i="39"/>
  <c r="B287" i="22"/>
  <c r="C283" i="19"/>
  <c r="B296" i="44"/>
  <c r="C300" i="43"/>
  <c r="B296" i="42"/>
  <c r="C300" i="41"/>
  <c r="B296" i="40"/>
  <c r="C300" i="21"/>
  <c r="C300" i="39"/>
  <c r="B296" i="22"/>
  <c r="B299" i="44"/>
  <c r="E299" i="44"/>
  <c r="C303" i="43"/>
  <c r="B299" i="42"/>
  <c r="E299" i="42" s="1"/>
  <c r="C303" i="41"/>
  <c r="B299" i="40"/>
  <c r="E299" i="40"/>
  <c r="C303" i="39"/>
  <c r="C303" i="21"/>
  <c r="B299" i="22"/>
  <c r="E299" i="22"/>
  <c r="B301" i="44"/>
  <c r="C305" i="43"/>
  <c r="B301" i="42"/>
  <c r="C305" i="41"/>
  <c r="B301" i="40"/>
  <c r="C305" i="21"/>
  <c r="C305" i="39"/>
  <c r="B301" i="22"/>
  <c r="B303" i="44"/>
  <c r="C307" i="43"/>
  <c r="B303" i="42"/>
  <c r="C307" i="41"/>
  <c r="B303" i="40"/>
  <c r="C307" i="39"/>
  <c r="C307" i="21"/>
  <c r="B303" i="22"/>
  <c r="B305" i="44"/>
  <c r="C309" i="43"/>
  <c r="B305" i="42"/>
  <c r="C309" i="41"/>
  <c r="B305" i="40"/>
  <c r="C309" i="21"/>
  <c r="C309" i="39"/>
  <c r="B305" i="22"/>
  <c r="B307" i="44"/>
  <c r="C311" i="43"/>
  <c r="B307" i="42"/>
  <c r="C311" i="41"/>
  <c r="B307" i="40"/>
  <c r="C311" i="39"/>
  <c r="C311" i="21"/>
  <c r="B307" i="22"/>
  <c r="B309" i="44"/>
  <c r="C313" i="43"/>
  <c r="B309" i="42"/>
  <c r="C313" i="41"/>
  <c r="B309" i="40"/>
  <c r="C313" i="21"/>
  <c r="C313" i="39"/>
  <c r="B309" i="22"/>
  <c r="B311" i="44"/>
  <c r="C315" i="43"/>
  <c r="B311" i="42"/>
  <c r="C315" i="41"/>
  <c r="B311" i="40"/>
  <c r="C315" i="39"/>
  <c r="C315" i="21"/>
  <c r="B311" i="22"/>
  <c r="B313" i="44"/>
  <c r="C317" i="43"/>
  <c r="B313" i="42"/>
  <c r="C317" i="41"/>
  <c r="B313" i="40"/>
  <c r="C317" i="21"/>
  <c r="C317" i="39"/>
  <c r="B313" i="22"/>
  <c r="B315" i="44"/>
  <c r="C319" i="43"/>
  <c r="B315" i="42"/>
  <c r="C319" i="41"/>
  <c r="B315" i="40"/>
  <c r="C319" i="39"/>
  <c r="C319" i="21"/>
  <c r="B315" i="22"/>
  <c r="B317" i="44"/>
  <c r="C321" i="43"/>
  <c r="B317" i="42"/>
  <c r="C321" i="41"/>
  <c r="B317" i="40"/>
  <c r="C321" i="21"/>
  <c r="C321" i="39"/>
  <c r="B317" i="22"/>
  <c r="B319" i="44"/>
  <c r="C323" i="43"/>
  <c r="B319" i="42"/>
  <c r="C323" i="41"/>
  <c r="B319" i="40"/>
  <c r="C323" i="39"/>
  <c r="C323" i="21"/>
  <c r="B319" i="22"/>
  <c r="B321" i="44"/>
  <c r="C325" i="43"/>
  <c r="B321" i="42"/>
  <c r="C325" i="41"/>
  <c r="B321" i="40"/>
  <c r="C325" i="21"/>
  <c r="C325" i="39"/>
  <c r="B321" i="22"/>
  <c r="B323" i="44"/>
  <c r="C327" i="43"/>
  <c r="B323" i="42"/>
  <c r="C327" i="41"/>
  <c r="B323" i="40"/>
  <c r="C327" i="39"/>
  <c r="C327" i="21"/>
  <c r="B323" i="22"/>
  <c r="O322" i="19"/>
  <c r="B330" i="44"/>
  <c r="C334" i="43"/>
  <c r="B330" i="42"/>
  <c r="C334" i="41"/>
  <c r="B330" i="40"/>
  <c r="C334" i="21"/>
  <c r="C334" i="39"/>
  <c r="B330" i="22"/>
  <c r="O325" i="19"/>
  <c r="B333" i="44"/>
  <c r="C337" i="43"/>
  <c r="B333" i="42"/>
  <c r="C337" i="41"/>
  <c r="B333" i="40"/>
  <c r="C337" i="21"/>
  <c r="C337" i="39"/>
  <c r="B333" i="22"/>
  <c r="O328" i="19"/>
  <c r="B336" i="44"/>
  <c r="C340" i="43"/>
  <c r="B336" i="42"/>
  <c r="C340" i="41"/>
  <c r="B336" i="40"/>
  <c r="C340" i="39"/>
  <c r="C340" i="21"/>
  <c r="B336" i="22"/>
  <c r="B339" i="44"/>
  <c r="E339" i="44"/>
  <c r="B339" i="42"/>
  <c r="E339" i="42"/>
  <c r="C343" i="43"/>
  <c r="C343" i="41"/>
  <c r="B339" i="40"/>
  <c r="E339" i="40"/>
  <c r="C343" i="39"/>
  <c r="C343" i="21"/>
  <c r="B339" i="22"/>
  <c r="E339" i="22"/>
  <c r="S191" i="19"/>
  <c r="B207" i="44"/>
  <c r="C211" i="43"/>
  <c r="B207" i="42"/>
  <c r="C211" i="41"/>
  <c r="B207" i="40"/>
  <c r="C211" i="21"/>
  <c r="C211" i="39"/>
  <c r="B207" i="22"/>
  <c r="N14" i="36"/>
  <c r="T18" i="36"/>
  <c r="N33" i="36"/>
  <c r="D164" i="44"/>
  <c r="D164" i="42"/>
  <c r="D164" i="40"/>
  <c r="D164" i="22"/>
  <c r="D169" i="44"/>
  <c r="D169" i="42"/>
  <c r="D169" i="40"/>
  <c r="D169" i="22"/>
  <c r="D17" i="44"/>
  <c r="D17" i="42"/>
  <c r="D17" i="40"/>
  <c r="D20" i="44"/>
  <c r="D20" i="42"/>
  <c r="D20" i="40"/>
  <c r="D24" i="44"/>
  <c r="D24" i="42"/>
  <c r="D24" i="40"/>
  <c r="D28" i="44"/>
  <c r="D28" i="42"/>
  <c r="D28" i="40"/>
  <c r="D32" i="44"/>
  <c r="D32" i="42"/>
  <c r="D32" i="40"/>
  <c r="D36" i="44"/>
  <c r="D36" i="42"/>
  <c r="D36" i="40"/>
  <c r="D40" i="44"/>
  <c r="D40" i="42"/>
  <c r="D40" i="40"/>
  <c r="D44" i="44"/>
  <c r="D44" i="42"/>
  <c r="D44" i="40"/>
  <c r="D48" i="44"/>
  <c r="D48" i="42"/>
  <c r="D48" i="40"/>
  <c r="D52" i="44"/>
  <c r="D52" i="42"/>
  <c r="D52" i="40"/>
  <c r="D56" i="44"/>
  <c r="D56" i="42"/>
  <c r="D56" i="40"/>
  <c r="D60" i="44"/>
  <c r="D60" i="42"/>
  <c r="D60" i="40"/>
  <c r="D64" i="44"/>
  <c r="D64" i="42"/>
  <c r="D64" i="40"/>
  <c r="D70" i="44"/>
  <c r="D70" i="42"/>
  <c r="D70" i="40"/>
  <c r="D74" i="44"/>
  <c r="D74" i="42"/>
  <c r="D74" i="40"/>
  <c r="D78" i="44"/>
  <c r="D78" i="42"/>
  <c r="D78" i="40"/>
  <c r="D82" i="44"/>
  <c r="D82" i="42"/>
  <c r="D82" i="40"/>
  <c r="D94" i="44"/>
  <c r="D94" i="42"/>
  <c r="D94" i="40"/>
  <c r="D99" i="44"/>
  <c r="D99" i="42"/>
  <c r="D99" i="40"/>
  <c r="D104" i="44"/>
  <c r="D104" i="42"/>
  <c r="D104" i="40"/>
  <c r="D109" i="44"/>
  <c r="D109" i="42"/>
  <c r="D109" i="40"/>
  <c r="D113" i="44"/>
  <c r="D113" i="42"/>
  <c r="D113" i="40"/>
  <c r="D117" i="44"/>
  <c r="D117" i="42"/>
  <c r="D117" i="40"/>
  <c r="D121" i="44"/>
  <c r="D121" i="42"/>
  <c r="D121" i="40"/>
  <c r="D126" i="44"/>
  <c r="D126" i="42"/>
  <c r="D126" i="40"/>
  <c r="D130" i="44"/>
  <c r="D130" i="42"/>
  <c r="D130" i="40"/>
  <c r="D130" i="22"/>
  <c r="D134" i="44"/>
  <c r="D134" i="42"/>
  <c r="D134" i="40"/>
  <c r="D134" i="22"/>
  <c r="D138" i="44"/>
  <c r="D138" i="42"/>
  <c r="D138" i="40"/>
  <c r="D138" i="22"/>
  <c r="D142" i="44"/>
  <c r="D142" i="42"/>
  <c r="D142" i="40"/>
  <c r="D142" i="22"/>
  <c r="D147" i="44"/>
  <c r="D147" i="42"/>
  <c r="D147" i="40"/>
  <c r="D147" i="22"/>
  <c r="D151" i="44"/>
  <c r="D151" i="42"/>
  <c r="D151" i="40"/>
  <c r="D151" i="22"/>
  <c r="D155" i="44"/>
  <c r="D155" i="42"/>
  <c r="D155" i="40"/>
  <c r="D155" i="22"/>
  <c r="D159" i="44"/>
  <c r="D159" i="42"/>
  <c r="D159" i="40"/>
  <c r="D159" i="22"/>
  <c r="D174" i="44"/>
  <c r="D174" i="42"/>
  <c r="D174" i="40"/>
  <c r="D174" i="22"/>
  <c r="D190" i="44"/>
  <c r="D190" i="42"/>
  <c r="D190" i="40"/>
  <c r="D190" i="22"/>
  <c r="D197" i="44"/>
  <c r="D197" i="42"/>
  <c r="D197" i="40"/>
  <c r="D197" i="22"/>
  <c r="D201" i="44"/>
  <c r="D201" i="42"/>
  <c r="D201" i="40"/>
  <c r="D201" i="22"/>
  <c r="D219" i="44"/>
  <c r="D219" i="42"/>
  <c r="D219" i="40"/>
  <c r="D219" i="22"/>
  <c r="D223" i="44"/>
  <c r="D223" i="42"/>
  <c r="D223" i="40"/>
  <c r="D223" i="22"/>
  <c r="D228" i="44"/>
  <c r="D228" i="42"/>
  <c r="D228" i="40"/>
  <c r="D228" i="22"/>
  <c r="D238" i="44"/>
  <c r="D238" i="42"/>
  <c r="D238" i="40"/>
  <c r="D238" i="22"/>
  <c r="D243" i="44"/>
  <c r="D243" i="42"/>
  <c r="D243" i="40"/>
  <c r="D243" i="22"/>
  <c r="D247" i="44"/>
  <c r="D247" i="42"/>
  <c r="D247" i="40"/>
  <c r="D247" i="22"/>
  <c r="D253" i="44"/>
  <c r="D253" i="42"/>
  <c r="D253" i="40"/>
  <c r="D253" i="22"/>
  <c r="D261" i="44"/>
  <c r="D261" i="42"/>
  <c r="D261" i="40"/>
  <c r="D261" i="22"/>
  <c r="D266" i="44"/>
  <c r="D266" i="42"/>
  <c r="D266" i="40"/>
  <c r="D266" i="22"/>
  <c r="D270" i="44"/>
  <c r="D270" i="42"/>
  <c r="D270" i="40"/>
  <c r="D270" i="22"/>
  <c r="D274" i="44"/>
  <c r="D274" i="42"/>
  <c r="D274" i="40"/>
  <c r="D274" i="22"/>
  <c r="D278" i="44"/>
  <c r="D278" i="42"/>
  <c r="D278" i="40"/>
  <c r="D278" i="22"/>
  <c r="D282" i="44"/>
  <c r="D282" i="42"/>
  <c r="D282" i="40"/>
  <c r="D282" i="22"/>
  <c r="D286" i="44"/>
  <c r="D286" i="42"/>
  <c r="D286" i="40"/>
  <c r="D286" i="22"/>
  <c r="D291" i="44"/>
  <c r="D291" i="42"/>
  <c r="D291" i="40"/>
  <c r="D291" i="22"/>
  <c r="D296" i="44"/>
  <c r="D296" i="42"/>
  <c r="D296" i="40"/>
  <c r="D296" i="22"/>
  <c r="D302" i="44"/>
  <c r="D302" i="42"/>
  <c r="D302" i="40"/>
  <c r="D302" i="22"/>
  <c r="D306" i="44"/>
  <c r="D306" i="42"/>
  <c r="D306" i="40"/>
  <c r="D306" i="22"/>
  <c r="D310" i="44"/>
  <c r="D310" i="42"/>
  <c r="D310" i="40"/>
  <c r="D310" i="22"/>
  <c r="D314" i="44"/>
  <c r="D314" i="42"/>
  <c r="D314" i="40"/>
  <c r="D314" i="22"/>
  <c r="D318" i="44"/>
  <c r="D318" i="42"/>
  <c r="D318" i="40"/>
  <c r="D318" i="22"/>
  <c r="D322" i="44"/>
  <c r="D322" i="42"/>
  <c r="D322" i="40"/>
  <c r="D328" i="44"/>
  <c r="D328" i="42"/>
  <c r="D328" i="40"/>
  <c r="D333" i="44"/>
  <c r="D333" i="42"/>
  <c r="D333" i="40"/>
  <c r="D333" i="22"/>
  <c r="E235" i="19"/>
  <c r="S235" i="19" s="1"/>
  <c r="B254" i="44"/>
  <c r="B254" i="42"/>
  <c r="C258" i="41"/>
  <c r="B254" i="40"/>
  <c r="C258" i="39"/>
  <c r="B254" i="22"/>
  <c r="D171" i="44"/>
  <c r="D171" i="42"/>
  <c r="D171" i="40"/>
  <c r="D171" i="22"/>
  <c r="O69" i="19"/>
  <c r="B77" i="44"/>
  <c r="B77" i="42"/>
  <c r="C81" i="43"/>
  <c r="C81" i="41"/>
  <c r="B77" i="40"/>
  <c r="C81" i="39"/>
  <c r="C81" i="21"/>
  <c r="O75" i="19"/>
  <c r="B83" i="44"/>
  <c r="C87" i="43"/>
  <c r="B83" i="42"/>
  <c r="C87" i="41"/>
  <c r="B83" i="40"/>
  <c r="C87" i="39"/>
  <c r="C87" i="21"/>
  <c r="C23" i="43"/>
  <c r="B19" i="42"/>
  <c r="C23" i="41"/>
  <c r="B19" i="40"/>
  <c r="C23" i="39"/>
  <c r="O15" i="19"/>
  <c r="B23" i="44"/>
  <c r="B23" i="42"/>
  <c r="C27" i="41"/>
  <c r="C27" i="21"/>
  <c r="C27" i="39"/>
  <c r="O19" i="19"/>
  <c r="B27" i="44"/>
  <c r="B27" i="42"/>
  <c r="C31" i="41"/>
  <c r="C31" i="39"/>
  <c r="B27" i="40"/>
  <c r="O23" i="19"/>
  <c r="C35" i="43"/>
  <c r="B31" i="42"/>
  <c r="C35" i="41"/>
  <c r="B31" i="40"/>
  <c r="C35" i="39"/>
  <c r="O27" i="19"/>
  <c r="C39" i="43"/>
  <c r="B35" i="42"/>
  <c r="C39" i="41"/>
  <c r="B35" i="40"/>
  <c r="C39" i="39"/>
  <c r="O31" i="19"/>
  <c r="C43" i="43"/>
  <c r="B39" i="42"/>
  <c r="C43" i="41"/>
  <c r="C43" i="21"/>
  <c r="C43" i="39"/>
  <c r="O35" i="19"/>
  <c r="C47" i="43"/>
  <c r="B43" i="42"/>
  <c r="C47" i="41"/>
  <c r="B43" i="40"/>
  <c r="C47" i="39"/>
  <c r="O39" i="19"/>
  <c r="C51" i="43"/>
  <c r="B47" i="42"/>
  <c r="C51" i="41"/>
  <c r="C51" i="39"/>
  <c r="B47" i="40"/>
  <c r="O43" i="19"/>
  <c r="B51" i="44"/>
  <c r="C55" i="43"/>
  <c r="B51" i="42"/>
  <c r="C55" i="41"/>
  <c r="B51" i="40"/>
  <c r="C55" i="21"/>
  <c r="C55" i="39"/>
  <c r="O47" i="19"/>
  <c r="C59" i="43"/>
  <c r="B55" i="44"/>
  <c r="B55" i="42"/>
  <c r="C59" i="41"/>
  <c r="B55" i="40"/>
  <c r="C59" i="21"/>
  <c r="C59" i="39"/>
  <c r="O51" i="19"/>
  <c r="C63" i="43"/>
  <c r="B59" i="44"/>
  <c r="B59" i="42"/>
  <c r="C63" i="41"/>
  <c r="B59" i="40"/>
  <c r="C63" i="21"/>
  <c r="C63" i="39"/>
  <c r="O55" i="19"/>
  <c r="B63" i="44"/>
  <c r="C67" i="43"/>
  <c r="B63" i="42"/>
  <c r="C67" i="41"/>
  <c r="B63" i="40"/>
  <c r="C67" i="21"/>
  <c r="C67" i="39"/>
  <c r="B76" i="44"/>
  <c r="C80" i="43"/>
  <c r="B76" i="42"/>
  <c r="C80" i="41"/>
  <c r="C80" i="21"/>
  <c r="B76" i="40"/>
  <c r="C80" i="39"/>
  <c r="B79" i="44"/>
  <c r="C83" i="43"/>
  <c r="B79" i="42"/>
  <c r="C83" i="41"/>
  <c r="B79" i="40"/>
  <c r="C83" i="39"/>
  <c r="C83" i="21"/>
  <c r="B75" i="44"/>
  <c r="C79" i="43"/>
  <c r="B75" i="42"/>
  <c r="C79" i="41"/>
  <c r="B75" i="40"/>
  <c r="C79" i="39"/>
  <c r="C79" i="21"/>
  <c r="B73" i="44"/>
  <c r="C77" i="43"/>
  <c r="B73" i="42"/>
  <c r="C77" i="41"/>
  <c r="B73" i="40"/>
  <c r="C77" i="39"/>
  <c r="C77" i="21"/>
  <c r="B71" i="44"/>
  <c r="C75" i="43"/>
  <c r="B71" i="42"/>
  <c r="C75" i="41"/>
  <c r="B71" i="40"/>
  <c r="C75" i="39"/>
  <c r="C75" i="21"/>
  <c r="B69" i="44"/>
  <c r="C73" i="43"/>
  <c r="B69" i="42"/>
  <c r="C73" i="41"/>
  <c r="B69" i="40"/>
  <c r="C73" i="39"/>
  <c r="C73" i="21"/>
  <c r="B96" i="44"/>
  <c r="C100" i="43"/>
  <c r="B96" i="42"/>
  <c r="C100" i="41"/>
  <c r="B96" i="40"/>
  <c r="C100" i="21"/>
  <c r="C100" i="39"/>
  <c r="B102" i="44"/>
  <c r="C106" i="43"/>
  <c r="B102" i="42"/>
  <c r="B102" i="40"/>
  <c r="C106" i="41"/>
  <c r="C106" i="39"/>
  <c r="C106" i="21"/>
  <c r="O92" i="19"/>
  <c r="B100" i="44"/>
  <c r="C104" i="43"/>
  <c r="B100" i="42"/>
  <c r="C104" i="41"/>
  <c r="B100" i="40"/>
  <c r="C104" i="21"/>
  <c r="C104" i="39"/>
  <c r="O99" i="19"/>
  <c r="B107" i="44"/>
  <c r="E107" i="44" s="1"/>
  <c r="C111" i="43"/>
  <c r="B107" i="42"/>
  <c r="E107" i="42" s="1"/>
  <c r="C111" i="41"/>
  <c r="B107" i="40"/>
  <c r="E107" i="40" s="1"/>
  <c r="C111" i="39"/>
  <c r="C111" i="21"/>
  <c r="O103" i="19"/>
  <c r="B111" i="44"/>
  <c r="B111" i="42"/>
  <c r="C115" i="43"/>
  <c r="C115" i="41"/>
  <c r="B111" i="40"/>
  <c r="C115" i="39"/>
  <c r="C115" i="21"/>
  <c r="O117" i="19"/>
  <c r="C129" i="43"/>
  <c r="B125" i="44"/>
  <c r="B125" i="42"/>
  <c r="C129" i="41"/>
  <c r="B125" i="40"/>
  <c r="C129" i="21"/>
  <c r="C129" i="39"/>
  <c r="B125" i="22"/>
  <c r="E125" i="22" s="1"/>
  <c r="O124" i="19"/>
  <c r="B132" i="44"/>
  <c r="C136" i="43"/>
  <c r="B132" i="42"/>
  <c r="C136" i="41"/>
  <c r="C136" i="39"/>
  <c r="B132" i="40"/>
  <c r="C136" i="21"/>
  <c r="B132" i="22"/>
  <c r="O105" i="19"/>
  <c r="B113" i="44"/>
  <c r="C117" i="43"/>
  <c r="B113" i="42"/>
  <c r="C117" i="41"/>
  <c r="C117" i="21"/>
  <c r="B113" i="40"/>
  <c r="C117" i="39"/>
  <c r="O112" i="19"/>
  <c r="B120" i="44"/>
  <c r="C124" i="43"/>
  <c r="B120" i="42"/>
  <c r="C124" i="41"/>
  <c r="B120" i="40"/>
  <c r="C124" i="39"/>
  <c r="C124" i="21"/>
  <c r="O126" i="19"/>
  <c r="B134" i="44"/>
  <c r="C138" i="43"/>
  <c r="B134" i="42"/>
  <c r="C138" i="41"/>
  <c r="B134" i="40"/>
  <c r="E134" i="40" s="1"/>
  <c r="C138" i="21"/>
  <c r="C138" i="39"/>
  <c r="B134" i="22"/>
  <c r="O132" i="19"/>
  <c r="B140" i="44"/>
  <c r="C144" i="43"/>
  <c r="B140" i="42"/>
  <c r="C144" i="41"/>
  <c r="B140" i="40"/>
  <c r="C144" i="39"/>
  <c r="C144" i="21"/>
  <c r="B140" i="22"/>
  <c r="O114" i="19"/>
  <c r="B122" i="44"/>
  <c r="C126" i="43"/>
  <c r="B122" i="42"/>
  <c r="C126" i="41"/>
  <c r="B122" i="40"/>
  <c r="C126" i="21"/>
  <c r="C126" i="39"/>
  <c r="O136" i="19"/>
  <c r="B144" i="44"/>
  <c r="C148" i="43"/>
  <c r="B144" i="42"/>
  <c r="C148" i="41"/>
  <c r="B144" i="40"/>
  <c r="C148" i="39"/>
  <c r="C148" i="21"/>
  <c r="B144" i="22"/>
  <c r="O140" i="19"/>
  <c r="B148" i="44"/>
  <c r="C152" i="43"/>
  <c r="B148" i="42"/>
  <c r="C152" i="41"/>
  <c r="B148" i="40"/>
  <c r="C152" i="39"/>
  <c r="C152" i="21"/>
  <c r="B148" i="22"/>
  <c r="O144" i="19"/>
  <c r="B152" i="44"/>
  <c r="C156" i="43"/>
  <c r="B152" i="42"/>
  <c r="B152" i="40"/>
  <c r="C156" i="41"/>
  <c r="C156" i="39"/>
  <c r="C156" i="21"/>
  <c r="B152" i="22"/>
  <c r="O148" i="19"/>
  <c r="B156" i="44"/>
  <c r="C160" i="43"/>
  <c r="B156" i="42"/>
  <c r="C160" i="41"/>
  <c r="B156" i="40"/>
  <c r="C160" i="39"/>
  <c r="C160" i="21"/>
  <c r="B156" i="22"/>
  <c r="O152" i="19"/>
  <c r="B160" i="44"/>
  <c r="C164" i="43"/>
  <c r="B160" i="42"/>
  <c r="B160" i="40"/>
  <c r="C164" i="41"/>
  <c r="C164" i="39"/>
  <c r="C164" i="21"/>
  <c r="B160" i="22"/>
  <c r="B166" i="44"/>
  <c r="C170" i="43"/>
  <c r="B166" i="42"/>
  <c r="B166" i="40"/>
  <c r="C170" i="41"/>
  <c r="C170" i="39"/>
  <c r="C170" i="21"/>
  <c r="B166" i="22"/>
  <c r="D175" i="44"/>
  <c r="D175" i="42"/>
  <c r="D175" i="40"/>
  <c r="D175" i="22"/>
  <c r="C185" i="41"/>
  <c r="B181" i="22"/>
  <c r="B190" i="44"/>
  <c r="C194" i="43"/>
  <c r="B190" i="42"/>
  <c r="C194" i="41"/>
  <c r="B190" i="40"/>
  <c r="C194" i="21"/>
  <c r="C194" i="39"/>
  <c r="B190" i="22"/>
  <c r="E190" i="22" s="1"/>
  <c r="B196" i="44"/>
  <c r="C200" i="43"/>
  <c r="B196" i="42"/>
  <c r="C200" i="41"/>
  <c r="B196" i="40"/>
  <c r="C200" i="39"/>
  <c r="C200" i="21"/>
  <c r="B196" i="22"/>
  <c r="B199" i="44"/>
  <c r="C203" i="43"/>
  <c r="B199" i="42"/>
  <c r="C203" i="41"/>
  <c r="B199" i="40"/>
  <c r="C203" i="39"/>
  <c r="C203" i="21"/>
  <c r="B199" i="22"/>
  <c r="B176" i="44"/>
  <c r="E176" i="44" s="1"/>
  <c r="C180" i="43"/>
  <c r="B176" i="42"/>
  <c r="E176" i="42" s="1"/>
  <c r="C180" i="41"/>
  <c r="B176" i="40"/>
  <c r="E176" i="40" s="1"/>
  <c r="C180" i="39"/>
  <c r="C180" i="21"/>
  <c r="B176" i="22"/>
  <c r="E176" i="22" s="1"/>
  <c r="O177" i="19"/>
  <c r="B185" i="44"/>
  <c r="C189" i="43"/>
  <c r="B185" i="42"/>
  <c r="C189" i="41"/>
  <c r="B185" i="40"/>
  <c r="C189" i="21"/>
  <c r="C189" i="39"/>
  <c r="B185" i="22"/>
  <c r="V179" i="19"/>
  <c r="D187" i="44"/>
  <c r="D187" i="42"/>
  <c r="D187" i="40"/>
  <c r="D187" i="22"/>
  <c r="W184" i="19"/>
  <c r="D192" i="44"/>
  <c r="D192" i="42"/>
  <c r="D192" i="40"/>
  <c r="D192" i="22"/>
  <c r="B219" i="44"/>
  <c r="E219" i="44" s="1"/>
  <c r="C223" i="43"/>
  <c r="B219" i="42"/>
  <c r="C223" i="41"/>
  <c r="B219" i="40"/>
  <c r="C223" i="39"/>
  <c r="C223" i="21"/>
  <c r="B219" i="22"/>
  <c r="E219" i="22" s="1"/>
  <c r="O215" i="19"/>
  <c r="B223" i="44"/>
  <c r="C227" i="43"/>
  <c r="B223" i="42"/>
  <c r="C227" i="41"/>
  <c r="B223" i="40"/>
  <c r="C227" i="39"/>
  <c r="C227" i="21"/>
  <c r="B223" i="22"/>
  <c r="O219" i="19"/>
  <c r="B227" i="44"/>
  <c r="C231" i="43"/>
  <c r="B227" i="42"/>
  <c r="C231" i="41"/>
  <c r="B227" i="40"/>
  <c r="C231" i="39"/>
  <c r="C231" i="21"/>
  <c r="B227" i="22"/>
  <c r="O223" i="19"/>
  <c r="B231" i="44"/>
  <c r="C235" i="43"/>
  <c r="B231" i="42"/>
  <c r="C235" i="41"/>
  <c r="B231" i="40"/>
  <c r="C235" i="39"/>
  <c r="C235" i="21"/>
  <c r="B231" i="22"/>
  <c r="O227" i="19"/>
  <c r="B235" i="44"/>
  <c r="C239" i="43"/>
  <c r="B235" i="42"/>
  <c r="C239" i="41"/>
  <c r="B235" i="40"/>
  <c r="C239" i="39"/>
  <c r="C239" i="21"/>
  <c r="B235" i="22"/>
  <c r="O231" i="19"/>
  <c r="B239" i="44"/>
  <c r="C243" i="43"/>
  <c r="B239" i="42"/>
  <c r="C243" i="41"/>
  <c r="B239" i="40"/>
  <c r="C243" i="39"/>
  <c r="C243" i="21"/>
  <c r="B239" i="22"/>
  <c r="O256" i="19"/>
  <c r="B264" i="44"/>
  <c r="C268" i="43"/>
  <c r="B264" i="42"/>
  <c r="C268" i="41"/>
  <c r="B264" i="40"/>
  <c r="C268" i="21"/>
  <c r="C268" i="39"/>
  <c r="B264" i="22"/>
  <c r="O264" i="19"/>
  <c r="C276" i="41"/>
  <c r="B272" i="22"/>
  <c r="B276" i="40"/>
  <c r="C284" i="43"/>
  <c r="C284" i="21"/>
  <c r="C288" i="43"/>
  <c r="C288" i="21"/>
  <c r="O280" i="19"/>
  <c r="B288" i="44"/>
  <c r="C292" i="43"/>
  <c r="B288" i="42"/>
  <c r="C292" i="41"/>
  <c r="B288" i="40"/>
  <c r="C292" i="21"/>
  <c r="C292" i="39"/>
  <c r="B288" i="22"/>
  <c r="O284" i="19"/>
  <c r="C296" i="41"/>
  <c r="B292" i="22"/>
  <c r="O316" i="19"/>
  <c r="B324" i="44"/>
  <c r="C328" i="43"/>
  <c r="B324" i="42"/>
  <c r="C328" i="41"/>
  <c r="B324" i="40"/>
  <c r="C328" i="39"/>
  <c r="C328" i="21"/>
  <c r="B324" i="22"/>
  <c r="B327" i="44"/>
  <c r="E327" i="44" s="1"/>
  <c r="C331" i="43"/>
  <c r="B327" i="42"/>
  <c r="E327" i="42" s="1"/>
  <c r="C331" i="41"/>
  <c r="B327" i="40"/>
  <c r="E327" i="40" s="1"/>
  <c r="C331" i="39"/>
  <c r="C331" i="21"/>
  <c r="B327" i="22"/>
  <c r="E327" i="22" s="1"/>
  <c r="O326" i="19"/>
  <c r="B334" i="44"/>
  <c r="E334" i="44" s="1"/>
  <c r="C338" i="43"/>
  <c r="B334" i="42"/>
  <c r="C338" i="41"/>
  <c r="B334" i="40"/>
  <c r="C338" i="21"/>
  <c r="C338" i="39"/>
  <c r="B334" i="22"/>
  <c r="O329" i="19"/>
  <c r="B337" i="44"/>
  <c r="E337" i="44" s="1"/>
  <c r="C341" i="43"/>
  <c r="B337" i="42"/>
  <c r="E337" i="42" s="1"/>
  <c r="C341" i="41"/>
  <c r="B337" i="40"/>
  <c r="E337" i="40"/>
  <c r="C341" i="21"/>
  <c r="C341" i="39"/>
  <c r="B337" i="22"/>
  <c r="E337" i="22"/>
  <c r="O332" i="19"/>
  <c r="B340" i="44"/>
  <c r="B340" i="42"/>
  <c r="C344" i="43"/>
  <c r="C344" i="41"/>
  <c r="B340" i="40"/>
  <c r="C344" i="39"/>
  <c r="C344" i="21"/>
  <c r="B340" i="22"/>
  <c r="D205" i="44"/>
  <c r="D205" i="42"/>
  <c r="D205" i="40"/>
  <c r="D205" i="22"/>
  <c r="L18" i="36"/>
  <c r="D166" i="44"/>
  <c r="D166" i="42"/>
  <c r="D166" i="40"/>
  <c r="D166" i="22"/>
  <c r="D21" i="44"/>
  <c r="D21" i="42"/>
  <c r="D21" i="40"/>
  <c r="D25" i="44"/>
  <c r="D25" i="42"/>
  <c r="D25" i="40"/>
  <c r="D29" i="44"/>
  <c r="D29" i="42"/>
  <c r="D29" i="40"/>
  <c r="D33" i="44"/>
  <c r="D33" i="42"/>
  <c r="D33" i="40"/>
  <c r="D37" i="44"/>
  <c r="D37" i="42"/>
  <c r="D37" i="40"/>
  <c r="D41" i="44"/>
  <c r="D41" i="42"/>
  <c r="D41" i="40"/>
  <c r="D45" i="44"/>
  <c r="D45" i="42"/>
  <c r="D45" i="40"/>
  <c r="D49" i="44"/>
  <c r="D49" i="42"/>
  <c r="D49" i="40"/>
  <c r="D53" i="44"/>
  <c r="D53" i="42"/>
  <c r="D53" i="40"/>
  <c r="D57" i="44"/>
  <c r="D57" i="42"/>
  <c r="D57" i="40"/>
  <c r="D61" i="44"/>
  <c r="D61" i="42"/>
  <c r="D61" i="40"/>
  <c r="D65" i="44"/>
  <c r="D65" i="42"/>
  <c r="D65" i="40"/>
  <c r="D71" i="44"/>
  <c r="D71" i="42"/>
  <c r="D71" i="40"/>
  <c r="D75" i="44"/>
  <c r="D75" i="42"/>
  <c r="D75" i="40"/>
  <c r="D79" i="44"/>
  <c r="D79" i="42"/>
  <c r="D79" i="40"/>
  <c r="D83" i="44"/>
  <c r="D83" i="42"/>
  <c r="D83" i="40"/>
  <c r="D90" i="44"/>
  <c r="D90" i="42"/>
  <c r="D90" i="40"/>
  <c r="D100" i="44"/>
  <c r="D100" i="42"/>
  <c r="D100" i="40"/>
  <c r="D105" i="44"/>
  <c r="D105" i="42"/>
  <c r="D105" i="40"/>
  <c r="D110" i="44"/>
  <c r="D110" i="42"/>
  <c r="D110" i="40"/>
  <c r="D114" i="44"/>
  <c r="D114" i="42"/>
  <c r="D114" i="40"/>
  <c r="D118" i="44"/>
  <c r="D118" i="42"/>
  <c r="D118" i="40"/>
  <c r="D122" i="44"/>
  <c r="D122" i="42"/>
  <c r="D122" i="40"/>
  <c r="D127" i="44"/>
  <c r="D127" i="42"/>
  <c r="D127" i="40"/>
  <c r="D131" i="44"/>
  <c r="D131" i="42"/>
  <c r="D131" i="40"/>
  <c r="D131" i="22"/>
  <c r="D135" i="44"/>
  <c r="D135" i="42"/>
  <c r="D135" i="40"/>
  <c r="D135" i="22"/>
  <c r="D139" i="44"/>
  <c r="D139" i="42"/>
  <c r="D139" i="40"/>
  <c r="D139" i="22"/>
  <c r="D144" i="44"/>
  <c r="D144" i="42"/>
  <c r="D144" i="40"/>
  <c r="D144" i="22"/>
  <c r="D148" i="44"/>
  <c r="D148" i="42"/>
  <c r="D148" i="40"/>
  <c r="D148" i="22"/>
  <c r="D152" i="44"/>
  <c r="D152" i="42"/>
  <c r="D152" i="40"/>
  <c r="D152" i="22"/>
  <c r="D156" i="44"/>
  <c r="D156" i="42"/>
  <c r="D156" i="40"/>
  <c r="D156" i="22"/>
  <c r="D160" i="44"/>
  <c r="D160" i="42"/>
  <c r="D160" i="40"/>
  <c r="D160" i="22"/>
  <c r="D181" i="44"/>
  <c r="D181" i="42"/>
  <c r="D181" i="40"/>
  <c r="D181" i="22"/>
  <c r="D198" i="44"/>
  <c r="D198" i="42"/>
  <c r="D198" i="40"/>
  <c r="D198" i="22"/>
  <c r="D203" i="44"/>
  <c r="D203" i="42"/>
  <c r="D203" i="40"/>
  <c r="D203" i="22"/>
  <c r="D220" i="44"/>
  <c r="D220" i="42"/>
  <c r="D220" i="40"/>
  <c r="D220" i="22"/>
  <c r="D224" i="44"/>
  <c r="D224" i="42"/>
  <c r="D224" i="40"/>
  <c r="D224" i="22"/>
  <c r="D229" i="44"/>
  <c r="D229" i="42"/>
  <c r="D229" i="40"/>
  <c r="D229" i="22"/>
  <c r="D235" i="44"/>
  <c r="D235" i="42"/>
  <c r="D235" i="40"/>
  <c r="D235" i="22"/>
  <c r="D239" i="44"/>
  <c r="D239" i="42"/>
  <c r="D239" i="40"/>
  <c r="D239" i="22"/>
  <c r="D244" i="44"/>
  <c r="D244" i="42"/>
  <c r="D244" i="40"/>
  <c r="E244" i="40" s="1"/>
  <c r="D244" i="22"/>
  <c r="D248" i="44"/>
  <c r="D248" i="42"/>
  <c r="D248" i="40"/>
  <c r="D248" i="22"/>
  <c r="D254" i="44"/>
  <c r="D254" i="42"/>
  <c r="D254" i="40"/>
  <c r="D254" i="22"/>
  <c r="D262" i="44"/>
  <c r="D262" i="42"/>
  <c r="E262" i="42" s="1"/>
  <c r="D262" i="40"/>
  <c r="D262" i="22"/>
  <c r="D267" i="44"/>
  <c r="D267" i="42"/>
  <c r="D267" i="40"/>
  <c r="D267" i="22"/>
  <c r="D271" i="44"/>
  <c r="D271" i="42"/>
  <c r="D271" i="40"/>
  <c r="D271" i="22"/>
  <c r="D275" i="44"/>
  <c r="D275" i="42"/>
  <c r="D275" i="40"/>
  <c r="D275" i="22"/>
  <c r="D279" i="44"/>
  <c r="D279" i="42"/>
  <c r="D279" i="40"/>
  <c r="D279" i="22"/>
  <c r="D283" i="44"/>
  <c r="D283" i="42"/>
  <c r="D283" i="40"/>
  <c r="D283" i="22"/>
  <c r="D287" i="44"/>
  <c r="D287" i="42"/>
  <c r="D287" i="40"/>
  <c r="D287" i="22"/>
  <c r="D292" i="44"/>
  <c r="D292" i="42"/>
  <c r="D292" i="40"/>
  <c r="D292" i="22"/>
  <c r="D298" i="44"/>
  <c r="D298" i="42"/>
  <c r="D298" i="40"/>
  <c r="D298" i="22"/>
  <c r="D303" i="44"/>
  <c r="D303" i="42"/>
  <c r="D303" i="40"/>
  <c r="D303" i="22"/>
  <c r="D307" i="44"/>
  <c r="D307" i="42"/>
  <c r="D307" i="40"/>
  <c r="D307" i="22"/>
  <c r="D311" i="44"/>
  <c r="D311" i="42"/>
  <c r="D311" i="40"/>
  <c r="D311" i="22"/>
  <c r="D315" i="44"/>
  <c r="D315" i="42"/>
  <c r="D315" i="40"/>
  <c r="D315" i="22"/>
  <c r="D319" i="44"/>
  <c r="D319" i="42"/>
  <c r="D319" i="40"/>
  <c r="D319" i="22"/>
  <c r="D323" i="44"/>
  <c r="D323" i="42"/>
  <c r="D323" i="40"/>
  <c r="D323" i="22"/>
  <c r="D329" i="44"/>
  <c r="D329" i="42"/>
  <c r="D329" i="40"/>
  <c r="D329" i="22"/>
  <c r="D334" i="44"/>
  <c r="D334" i="42"/>
  <c r="D334" i="40"/>
  <c r="D21" i="22"/>
  <c r="D25" i="22"/>
  <c r="D29" i="22"/>
  <c r="D33" i="22"/>
  <c r="D37" i="22"/>
  <c r="D41" i="22"/>
  <c r="D45" i="22"/>
  <c r="D49" i="22"/>
  <c r="D53" i="22"/>
  <c r="D57" i="22"/>
  <c r="D61" i="22"/>
  <c r="D65" i="22"/>
  <c r="D71" i="22"/>
  <c r="D75" i="22"/>
  <c r="D79" i="22"/>
  <c r="D82" i="22"/>
  <c r="D83" i="22"/>
  <c r="D90" i="22"/>
  <c r="D94" i="22"/>
  <c r="D99" i="22"/>
  <c r="D100" i="22"/>
  <c r="D104" i="22"/>
  <c r="D105" i="22"/>
  <c r="D109" i="22"/>
  <c r="D110" i="22"/>
  <c r="D113" i="22"/>
  <c r="D114" i="22"/>
  <c r="D117" i="22"/>
  <c r="D118" i="22"/>
  <c r="D121" i="22"/>
  <c r="D122" i="22"/>
  <c r="D322" i="22"/>
  <c r="D328" i="22"/>
  <c r="I244" i="19"/>
  <c r="W244" i="19" s="1"/>
  <c r="B252" i="44"/>
  <c r="C256" i="43"/>
  <c r="B252" i="42"/>
  <c r="C256" i="41"/>
  <c r="B252" i="40"/>
  <c r="C256" i="39"/>
  <c r="C256" i="21"/>
  <c r="B252" i="22"/>
  <c r="G234" i="19"/>
  <c r="U234" i="19" s="1"/>
  <c r="B242" i="44"/>
  <c r="C246" i="43"/>
  <c r="B242" i="42"/>
  <c r="C246" i="41"/>
  <c r="B242" i="40"/>
  <c r="C246" i="21"/>
  <c r="C246" i="39"/>
  <c r="B242" i="22"/>
  <c r="B244" i="44"/>
  <c r="C248" i="43"/>
  <c r="B244" i="42"/>
  <c r="C248" i="41"/>
  <c r="B244" i="40"/>
  <c r="C248" i="39"/>
  <c r="C248" i="21"/>
  <c r="B244" i="22"/>
  <c r="S8" i="29"/>
  <c r="T8" i="29" s="1"/>
  <c r="S60" i="29"/>
  <c r="T60" i="29" s="1"/>
  <c r="S68" i="29"/>
  <c r="T68" i="29" s="1"/>
  <c r="S80" i="29"/>
  <c r="T80" i="29" s="1"/>
  <c r="S132" i="29"/>
  <c r="T132" i="29" s="1"/>
  <c r="S152" i="29"/>
  <c r="T152" i="29" s="1"/>
  <c r="S160" i="29"/>
  <c r="T160" i="29" s="1"/>
  <c r="S286" i="29"/>
  <c r="T286" i="29" s="1"/>
  <c r="S306" i="29"/>
  <c r="T306" i="29" s="1"/>
  <c r="S310" i="29"/>
  <c r="T310" i="29" s="1"/>
  <c r="B170" i="44"/>
  <c r="C174" i="43"/>
  <c r="B170" i="42"/>
  <c r="C174" i="41"/>
  <c r="B170" i="40"/>
  <c r="C174" i="39"/>
  <c r="C174" i="21"/>
  <c r="B170" i="22"/>
  <c r="O78" i="19"/>
  <c r="B86" i="44"/>
  <c r="C90" i="43"/>
  <c r="B86" i="42"/>
  <c r="E86" i="42" s="1"/>
  <c r="C90" i="41"/>
  <c r="B86" i="40"/>
  <c r="E86" i="40"/>
  <c r="C90" i="39"/>
  <c r="C90" i="21"/>
  <c r="O74" i="19"/>
  <c r="B82" i="44"/>
  <c r="C86" i="43"/>
  <c r="B82" i="42"/>
  <c r="E82" i="42" s="1"/>
  <c r="B82" i="40"/>
  <c r="C86" i="41"/>
  <c r="C86" i="39"/>
  <c r="C86" i="21"/>
  <c r="B20" i="44"/>
  <c r="C24" i="43"/>
  <c r="B20" i="42"/>
  <c r="E20" i="42" s="1"/>
  <c r="C24" i="41"/>
  <c r="B20" i="40"/>
  <c r="C24" i="39"/>
  <c r="C24" i="21"/>
  <c r="B24" i="44"/>
  <c r="C28" i="43"/>
  <c r="B24" i="42"/>
  <c r="E24" i="42" s="1"/>
  <c r="C28" i="41"/>
  <c r="B24" i="40"/>
  <c r="E24" i="40" s="1"/>
  <c r="C28" i="39"/>
  <c r="C28" i="21"/>
  <c r="B28" i="44"/>
  <c r="C32" i="43"/>
  <c r="B28" i="42"/>
  <c r="C32" i="41"/>
  <c r="B28" i="40"/>
  <c r="C32" i="39"/>
  <c r="C32" i="21"/>
  <c r="B32" i="44"/>
  <c r="E32" i="44" s="1"/>
  <c r="C36" i="43"/>
  <c r="B32" i="42"/>
  <c r="E32" i="42" s="1"/>
  <c r="C36" i="41"/>
  <c r="B32" i="40"/>
  <c r="C36" i="39"/>
  <c r="C36" i="21"/>
  <c r="B36" i="44"/>
  <c r="C40" i="43"/>
  <c r="B36" i="42"/>
  <c r="E36" i="42" s="1"/>
  <c r="C40" i="41"/>
  <c r="B36" i="40"/>
  <c r="C40" i="39"/>
  <c r="C40" i="21"/>
  <c r="B40" i="44"/>
  <c r="C44" i="43"/>
  <c r="B40" i="42"/>
  <c r="E40" i="42" s="1"/>
  <c r="C44" i="41"/>
  <c r="B40" i="40"/>
  <c r="E40" i="40" s="1"/>
  <c r="C44" i="39"/>
  <c r="C44" i="21"/>
  <c r="B44" i="44"/>
  <c r="B44" i="42"/>
  <c r="C48" i="43"/>
  <c r="C48" i="41"/>
  <c r="B44" i="40"/>
  <c r="C48" i="39"/>
  <c r="C48" i="21"/>
  <c r="B48" i="44"/>
  <c r="E48" i="44" s="1"/>
  <c r="C52" i="43"/>
  <c r="B48" i="42"/>
  <c r="C52" i="41"/>
  <c r="B48" i="40"/>
  <c r="C52" i="39"/>
  <c r="C52" i="21"/>
  <c r="B52" i="44"/>
  <c r="C56" i="43"/>
  <c r="B52" i="42"/>
  <c r="E52" i="42" s="1"/>
  <c r="B52" i="40"/>
  <c r="C56" i="41"/>
  <c r="C56" i="39"/>
  <c r="C56" i="21"/>
  <c r="B56" i="44"/>
  <c r="C60" i="43"/>
  <c r="B56" i="42"/>
  <c r="E56" i="42"/>
  <c r="C60" i="41"/>
  <c r="B56" i="40"/>
  <c r="E56" i="40" s="1"/>
  <c r="C60" i="39"/>
  <c r="C60" i="21"/>
  <c r="B60" i="44"/>
  <c r="B60" i="42"/>
  <c r="C64" i="43"/>
  <c r="C64" i="41"/>
  <c r="B60" i="40"/>
  <c r="C64" i="39"/>
  <c r="C64" i="21"/>
  <c r="B64" i="44"/>
  <c r="E64" i="44" s="1"/>
  <c r="C68" i="43"/>
  <c r="B64" i="42"/>
  <c r="E64" i="42" s="1"/>
  <c r="C68" i="41"/>
  <c r="B64" i="40"/>
  <c r="C68" i="39"/>
  <c r="C68" i="21"/>
  <c r="B17" i="44"/>
  <c r="E17" i="44" s="1"/>
  <c r="C21" i="43"/>
  <c r="B17" i="42"/>
  <c r="C21" i="41"/>
  <c r="C21" i="39"/>
  <c r="B17" i="40"/>
  <c r="C21" i="21"/>
  <c r="B92" i="44"/>
  <c r="C96" i="43"/>
  <c r="C96" i="41"/>
  <c r="B92" i="42"/>
  <c r="B92" i="40"/>
  <c r="C96" i="39"/>
  <c r="C96" i="21"/>
  <c r="B97" i="44"/>
  <c r="B97" i="42"/>
  <c r="C101" i="43"/>
  <c r="C101" i="41"/>
  <c r="B97" i="40"/>
  <c r="C101" i="39"/>
  <c r="C101" i="21"/>
  <c r="B98" i="44"/>
  <c r="B98" i="42"/>
  <c r="C102" i="43"/>
  <c r="C102" i="41"/>
  <c r="C102" i="39"/>
  <c r="B98" i="40"/>
  <c r="C102" i="21"/>
  <c r="O96" i="19"/>
  <c r="B104" i="44"/>
  <c r="C108" i="43"/>
  <c r="B104" i="42"/>
  <c r="C108" i="41"/>
  <c r="B104" i="40"/>
  <c r="E104" i="40" s="1"/>
  <c r="C108" i="39"/>
  <c r="C108" i="21"/>
  <c r="O100" i="19"/>
  <c r="B108" i="44"/>
  <c r="C112" i="43"/>
  <c r="B108" i="42"/>
  <c r="C112" i="41"/>
  <c r="B108" i="40"/>
  <c r="C112" i="39"/>
  <c r="C112" i="21"/>
  <c r="O104" i="19"/>
  <c r="B112" i="44"/>
  <c r="C116" i="43"/>
  <c r="B112" i="42"/>
  <c r="C116" i="41"/>
  <c r="B112" i="40"/>
  <c r="C116" i="39"/>
  <c r="C116" i="21"/>
  <c r="O120" i="19"/>
  <c r="B128" i="44"/>
  <c r="C132" i="43"/>
  <c r="B128" i="42"/>
  <c r="C132" i="41"/>
  <c r="C132" i="39"/>
  <c r="B128" i="40"/>
  <c r="C132" i="21"/>
  <c r="B128" i="22"/>
  <c r="E128" i="22" s="1"/>
  <c r="O125" i="19"/>
  <c r="B133" i="44"/>
  <c r="C137" i="43"/>
  <c r="B133" i="42"/>
  <c r="C137" i="41"/>
  <c r="B133" i="40"/>
  <c r="C137" i="21"/>
  <c r="C137" i="39"/>
  <c r="B133" i="22"/>
  <c r="O106" i="19"/>
  <c r="B114" i="44"/>
  <c r="B114" i="42"/>
  <c r="C118" i="43"/>
  <c r="C118" i="41"/>
  <c r="C118" i="21"/>
  <c r="B114" i="40"/>
  <c r="C118" i="39"/>
  <c r="O113" i="19"/>
  <c r="B121" i="44"/>
  <c r="E121" i="44" s="1"/>
  <c r="C125" i="43"/>
  <c r="B121" i="42"/>
  <c r="C125" i="41"/>
  <c r="B121" i="40"/>
  <c r="C125" i="21"/>
  <c r="C125" i="39"/>
  <c r="O127" i="19"/>
  <c r="B135" i="44"/>
  <c r="C139" i="43"/>
  <c r="B135" i="42"/>
  <c r="E135" i="42" s="1"/>
  <c r="B135" i="40"/>
  <c r="E135" i="40" s="1"/>
  <c r="C139" i="41"/>
  <c r="C139" i="39"/>
  <c r="C139" i="21"/>
  <c r="B135" i="22"/>
  <c r="O133" i="19"/>
  <c r="B141" i="44"/>
  <c r="C145" i="43"/>
  <c r="B141" i="42"/>
  <c r="C145" i="41"/>
  <c r="C145" i="21"/>
  <c r="B141" i="40"/>
  <c r="C145" i="39"/>
  <c r="B141" i="22"/>
  <c r="O115" i="19"/>
  <c r="B123" i="44"/>
  <c r="C127" i="43"/>
  <c r="B123" i="42"/>
  <c r="C127" i="41"/>
  <c r="B123" i="40"/>
  <c r="C127" i="39"/>
  <c r="C127" i="21"/>
  <c r="O137" i="19"/>
  <c r="B145" i="44"/>
  <c r="C149" i="43"/>
  <c r="B145" i="42"/>
  <c r="C149" i="41"/>
  <c r="B145" i="40"/>
  <c r="C149" i="39"/>
  <c r="C149" i="21"/>
  <c r="B145" i="22"/>
  <c r="O141" i="19"/>
  <c r="B149" i="44"/>
  <c r="C153" i="43"/>
  <c r="B149" i="42"/>
  <c r="B149" i="40"/>
  <c r="C153" i="41"/>
  <c r="C153" i="39"/>
  <c r="C153" i="21"/>
  <c r="B149" i="22"/>
  <c r="O145" i="19"/>
  <c r="B153" i="44"/>
  <c r="C157" i="43"/>
  <c r="B153" i="42"/>
  <c r="C157" i="41"/>
  <c r="B153" i="40"/>
  <c r="C157" i="39"/>
  <c r="C157" i="21"/>
  <c r="B153" i="22"/>
  <c r="O149" i="19"/>
  <c r="B157" i="44"/>
  <c r="C161" i="43"/>
  <c r="B157" i="42"/>
  <c r="C161" i="41"/>
  <c r="B157" i="40"/>
  <c r="C161" i="39"/>
  <c r="C161" i="21"/>
  <c r="B157" i="22"/>
  <c r="O153" i="19"/>
  <c r="B161" i="44"/>
  <c r="C165" i="43"/>
  <c r="B161" i="42"/>
  <c r="C165" i="41"/>
  <c r="B161" i="40"/>
  <c r="C165" i="39"/>
  <c r="C165" i="21"/>
  <c r="B161" i="22"/>
  <c r="B167" i="44"/>
  <c r="C171" i="43"/>
  <c r="B167" i="42"/>
  <c r="B167" i="40"/>
  <c r="C171" i="41"/>
  <c r="C171" i="39"/>
  <c r="C171" i="21"/>
  <c r="B167" i="22"/>
  <c r="B173" i="44"/>
  <c r="C177" i="43"/>
  <c r="B173" i="42"/>
  <c r="C177" i="41"/>
  <c r="B173" i="40"/>
  <c r="C177" i="21"/>
  <c r="C177" i="39"/>
  <c r="B173" i="22"/>
  <c r="B182" i="44"/>
  <c r="C186" i="43"/>
  <c r="B182" i="42"/>
  <c r="C186" i="41"/>
  <c r="B182" i="40"/>
  <c r="C186" i="21"/>
  <c r="C186" i="39"/>
  <c r="B182" i="22"/>
  <c r="B191" i="44"/>
  <c r="C195" i="43"/>
  <c r="B191" i="42"/>
  <c r="C195" i="41"/>
  <c r="B191" i="40"/>
  <c r="C195" i="39"/>
  <c r="C195" i="21"/>
  <c r="B191" i="22"/>
  <c r="B200" i="44"/>
  <c r="C204" i="43"/>
  <c r="B200" i="42"/>
  <c r="C204" i="41"/>
  <c r="B200" i="40"/>
  <c r="C204" i="39"/>
  <c r="C204" i="21"/>
  <c r="B200" i="22"/>
  <c r="O169" i="19"/>
  <c r="B177" i="44"/>
  <c r="E177" i="44" s="1"/>
  <c r="C181" i="43"/>
  <c r="B177" i="42"/>
  <c r="E177" i="42" s="1"/>
  <c r="C181" i="41"/>
  <c r="B177" i="40"/>
  <c r="E177" i="40" s="1"/>
  <c r="C181" i="21"/>
  <c r="C181" i="39"/>
  <c r="B177" i="22"/>
  <c r="E177" i="22" s="1"/>
  <c r="B179" i="44"/>
  <c r="E179" i="44" s="1"/>
  <c r="C183" i="43"/>
  <c r="B179" i="42"/>
  <c r="E179" i="42" s="1"/>
  <c r="B179" i="40"/>
  <c r="E179" i="40" s="1"/>
  <c r="C183" i="41"/>
  <c r="C183" i="39"/>
  <c r="C183" i="21"/>
  <c r="B179" i="22"/>
  <c r="E179" i="22" s="1"/>
  <c r="D178" i="44"/>
  <c r="D178" i="42"/>
  <c r="D178" i="40"/>
  <c r="D178" i="22"/>
  <c r="B186" i="44"/>
  <c r="C190" i="43"/>
  <c r="B186" i="42"/>
  <c r="C190" i="41"/>
  <c r="B186" i="40"/>
  <c r="C190" i="21"/>
  <c r="C190" i="39"/>
  <c r="B186" i="22"/>
  <c r="D185" i="44"/>
  <c r="D185" i="42"/>
  <c r="D185" i="40"/>
  <c r="D185" i="22"/>
  <c r="B203" i="44"/>
  <c r="C207" i="43"/>
  <c r="B203" i="42"/>
  <c r="C207" i="41"/>
  <c r="B203" i="40"/>
  <c r="E203" i="40"/>
  <c r="E202" i="40" s="1"/>
  <c r="C207" i="21"/>
  <c r="C207" i="39"/>
  <c r="B203" i="22"/>
  <c r="D193" i="44"/>
  <c r="D193" i="42"/>
  <c r="D193" i="40"/>
  <c r="D193" i="22"/>
  <c r="B220" i="44"/>
  <c r="C224" i="43"/>
  <c r="B220" i="42"/>
  <c r="C224" i="41"/>
  <c r="B220" i="40"/>
  <c r="E220" i="40" s="1"/>
  <c r="C224" i="21"/>
  <c r="C224" i="39"/>
  <c r="B220" i="22"/>
  <c r="O216" i="19"/>
  <c r="B224" i="44"/>
  <c r="C228" i="43"/>
  <c r="B224" i="42"/>
  <c r="E224" i="42"/>
  <c r="C228" i="41"/>
  <c r="B224" i="40"/>
  <c r="C228" i="21"/>
  <c r="C228" i="39"/>
  <c r="B224" i="22"/>
  <c r="O220" i="19"/>
  <c r="B228" i="44"/>
  <c r="C232" i="43"/>
  <c r="B228" i="42"/>
  <c r="E228" i="42"/>
  <c r="C232" i="41"/>
  <c r="B228" i="40"/>
  <c r="E228" i="40" s="1"/>
  <c r="C232" i="21"/>
  <c r="C232" i="39"/>
  <c r="B228" i="22"/>
  <c r="B232" i="44"/>
  <c r="C236" i="43"/>
  <c r="B232" i="42"/>
  <c r="C236" i="41"/>
  <c r="B232" i="40"/>
  <c r="C236" i="21"/>
  <c r="C236" i="39"/>
  <c r="B232" i="22"/>
  <c r="O228" i="19"/>
  <c r="B236" i="44"/>
  <c r="C240" i="43"/>
  <c r="B236" i="42"/>
  <c r="C240" i="41"/>
  <c r="B236" i="40"/>
  <c r="C240" i="21"/>
  <c r="C240" i="39"/>
  <c r="B236" i="22"/>
  <c r="O252" i="19"/>
  <c r="B260" i="44"/>
  <c r="C264" i="43"/>
  <c r="B260" i="42"/>
  <c r="C264" i="41"/>
  <c r="B260" i="40"/>
  <c r="C264" i="39"/>
  <c r="C264" i="21"/>
  <c r="B260" i="22"/>
  <c r="C269" i="43"/>
  <c r="O261" i="19"/>
  <c r="B269" i="44"/>
  <c r="C273" i="43"/>
  <c r="B269" i="42"/>
  <c r="C273" i="41"/>
  <c r="B269" i="40"/>
  <c r="C273" i="39"/>
  <c r="C273" i="21"/>
  <c r="B269" i="22"/>
  <c r="B273" i="44"/>
  <c r="B273" i="40"/>
  <c r="O269" i="19"/>
  <c r="B277" i="44"/>
  <c r="C281" i="43"/>
  <c r="B277" i="42"/>
  <c r="C281" i="41"/>
  <c r="B277" i="40"/>
  <c r="C281" i="39"/>
  <c r="C281" i="21"/>
  <c r="B277" i="22"/>
  <c r="O273" i="19"/>
  <c r="B281" i="44"/>
  <c r="C285" i="43"/>
  <c r="B281" i="42"/>
  <c r="C285" i="41"/>
  <c r="B281" i="40"/>
  <c r="C285" i="39"/>
  <c r="C285" i="21"/>
  <c r="B281" i="22"/>
  <c r="O277" i="19"/>
  <c r="B285" i="44"/>
  <c r="C289" i="43"/>
  <c r="B285" i="42"/>
  <c r="C289" i="41"/>
  <c r="B285" i="40"/>
  <c r="C289" i="39"/>
  <c r="C289" i="21"/>
  <c r="B285" i="22"/>
  <c r="O281" i="19"/>
  <c r="C293" i="41"/>
  <c r="B289" i="22"/>
  <c r="O286" i="19"/>
  <c r="B294" i="44"/>
  <c r="C298" i="43"/>
  <c r="B294" i="42"/>
  <c r="C298" i="41"/>
  <c r="B294" i="40"/>
  <c r="C298" i="39"/>
  <c r="C298" i="21"/>
  <c r="B294" i="22"/>
  <c r="B298" i="44"/>
  <c r="C302" i="43"/>
  <c r="B298" i="42"/>
  <c r="C302" i="41"/>
  <c r="B298" i="40"/>
  <c r="C302" i="21"/>
  <c r="C302" i="39"/>
  <c r="B298" i="22"/>
  <c r="B300" i="44"/>
  <c r="C304" i="43"/>
  <c r="B300" i="42"/>
  <c r="C304" i="41"/>
  <c r="B300" i="40"/>
  <c r="C304" i="39"/>
  <c r="C304" i="21"/>
  <c r="B300" i="22"/>
  <c r="B302" i="44"/>
  <c r="C306" i="43"/>
  <c r="B302" i="42"/>
  <c r="C306" i="41"/>
  <c r="B302" i="40"/>
  <c r="E302" i="40" s="1"/>
  <c r="C306" i="21"/>
  <c r="C306" i="39"/>
  <c r="B302" i="22"/>
  <c r="B304" i="44"/>
  <c r="C308" i="43"/>
  <c r="B304" i="42"/>
  <c r="C308" i="41"/>
  <c r="B304" i="40"/>
  <c r="C308" i="39"/>
  <c r="C308" i="21"/>
  <c r="B304" i="22"/>
  <c r="B306" i="44"/>
  <c r="C310" i="43"/>
  <c r="B306" i="42"/>
  <c r="C310" i="41"/>
  <c r="B306" i="40"/>
  <c r="E306" i="40" s="1"/>
  <c r="C310" i="21"/>
  <c r="C310" i="39"/>
  <c r="B306" i="22"/>
  <c r="B308" i="44"/>
  <c r="C312" i="43"/>
  <c r="B308" i="42"/>
  <c r="C312" i="41"/>
  <c r="B308" i="40"/>
  <c r="C312" i="39"/>
  <c r="C312" i="21"/>
  <c r="B308" i="22"/>
  <c r="B310" i="44"/>
  <c r="C314" i="43"/>
  <c r="B310" i="42"/>
  <c r="C314" i="41"/>
  <c r="B310" i="40"/>
  <c r="E310" i="40" s="1"/>
  <c r="C314" i="21"/>
  <c r="C314" i="39"/>
  <c r="B310" i="22"/>
  <c r="B312" i="44"/>
  <c r="C316" i="43"/>
  <c r="B312" i="42"/>
  <c r="C316" i="41"/>
  <c r="B312" i="40"/>
  <c r="C316" i="39"/>
  <c r="C316" i="21"/>
  <c r="B312" i="22"/>
  <c r="B314" i="44"/>
  <c r="C318" i="43"/>
  <c r="B314" i="42"/>
  <c r="C318" i="41"/>
  <c r="B314" i="40"/>
  <c r="E314" i="40"/>
  <c r="C318" i="21"/>
  <c r="C318" i="39"/>
  <c r="B314" i="22"/>
  <c r="B316" i="44"/>
  <c r="C320" i="43"/>
  <c r="B316" i="42"/>
  <c r="C320" i="41"/>
  <c r="B316" i="40"/>
  <c r="C320" i="39"/>
  <c r="C320" i="21"/>
  <c r="B316" i="22"/>
  <c r="B318" i="44"/>
  <c r="C322" i="43"/>
  <c r="B318" i="42"/>
  <c r="C322" i="41"/>
  <c r="B318" i="40"/>
  <c r="E318" i="40" s="1"/>
  <c r="C322" i="21"/>
  <c r="C322" i="39"/>
  <c r="B318" i="22"/>
  <c r="B320" i="44"/>
  <c r="C324" i="43"/>
  <c r="B320" i="42"/>
  <c r="C324" i="41"/>
  <c r="B320" i="40"/>
  <c r="C324" i="39"/>
  <c r="C324" i="21"/>
  <c r="B320" i="22"/>
  <c r="B322" i="44"/>
  <c r="C326" i="43"/>
  <c r="B322" i="42"/>
  <c r="C326" i="41"/>
  <c r="B322" i="40"/>
  <c r="E322" i="40" s="1"/>
  <c r="C326" i="21"/>
  <c r="C326" i="39"/>
  <c r="B322" i="22"/>
  <c r="O317" i="19"/>
  <c r="B325" i="44"/>
  <c r="C329" i="43"/>
  <c r="B325" i="42"/>
  <c r="C329" i="41"/>
  <c r="B325" i="40"/>
  <c r="C329" i="21"/>
  <c r="C329" i="39"/>
  <c r="B325" i="22"/>
  <c r="O320" i="19"/>
  <c r="B328" i="44"/>
  <c r="C332" i="43"/>
  <c r="B328" i="42"/>
  <c r="E328" i="42" s="1"/>
  <c r="C332" i="41"/>
  <c r="B328" i="40"/>
  <c r="E328" i="40" s="1"/>
  <c r="C332" i="39"/>
  <c r="C332" i="21"/>
  <c r="B328" i="22"/>
  <c r="B331" i="44"/>
  <c r="C335" i="43"/>
  <c r="B331" i="42"/>
  <c r="C335" i="41"/>
  <c r="B331" i="40"/>
  <c r="C335" i="39"/>
  <c r="C335" i="21"/>
  <c r="B331" i="22"/>
  <c r="O330" i="19"/>
  <c r="B338" i="44"/>
  <c r="E338" i="44" s="1"/>
  <c r="B338" i="42"/>
  <c r="E338" i="42" s="1"/>
  <c r="C342" i="43"/>
  <c r="C342" i="41"/>
  <c r="B338" i="40"/>
  <c r="E338" i="40" s="1"/>
  <c r="C342" i="21"/>
  <c r="C342" i="39"/>
  <c r="B338" i="22"/>
  <c r="E338" i="22" s="1"/>
  <c r="O333" i="19"/>
  <c r="B341" i="44"/>
  <c r="E341" i="44" s="1"/>
  <c r="C345" i="43"/>
  <c r="B341" i="42"/>
  <c r="E341" i="42" s="1"/>
  <c r="C345" i="41"/>
  <c r="B341" i="40"/>
  <c r="E341" i="40" s="1"/>
  <c r="C345" i="21"/>
  <c r="C345" i="39"/>
  <c r="B341" i="22"/>
  <c r="E341" i="22" s="1"/>
  <c r="D207" i="44"/>
  <c r="D207" i="42"/>
  <c r="E207" i="42" s="1"/>
  <c r="D207" i="40"/>
  <c r="D207" i="22"/>
  <c r="B205" i="44"/>
  <c r="C209" i="43"/>
  <c r="B205" i="42"/>
  <c r="C209" i="41"/>
  <c r="B205" i="40"/>
  <c r="C209" i="39"/>
  <c r="C209" i="21"/>
  <c r="B205" i="22"/>
  <c r="E205" i="22" s="1"/>
  <c r="D206" i="44"/>
  <c r="D206" i="42"/>
  <c r="D206" i="40"/>
  <c r="D206" i="22"/>
  <c r="D167" i="44"/>
  <c r="D167" i="42"/>
  <c r="D167" i="40"/>
  <c r="D167" i="22"/>
  <c r="D18" i="44"/>
  <c r="E18" i="44" s="1"/>
  <c r="D18" i="42"/>
  <c r="D18" i="40"/>
  <c r="D22" i="44"/>
  <c r="D22" i="42"/>
  <c r="D22" i="40"/>
  <c r="D26" i="44"/>
  <c r="D26" i="42"/>
  <c r="D26" i="40"/>
  <c r="D30" i="44"/>
  <c r="E30" i="44" s="1"/>
  <c r="D30" i="42"/>
  <c r="D30" i="40"/>
  <c r="D34" i="44"/>
  <c r="E34" i="44" s="1"/>
  <c r="D34" i="42"/>
  <c r="D34" i="40"/>
  <c r="D38" i="44"/>
  <c r="D38" i="42"/>
  <c r="D38" i="40"/>
  <c r="D42" i="44"/>
  <c r="D42" i="42"/>
  <c r="D42" i="40"/>
  <c r="D46" i="44"/>
  <c r="E46" i="44" s="1"/>
  <c r="D46" i="42"/>
  <c r="D46" i="40"/>
  <c r="D50" i="44"/>
  <c r="E50" i="44" s="1"/>
  <c r="D50" i="42"/>
  <c r="D50" i="40"/>
  <c r="D54" i="44"/>
  <c r="D54" i="42"/>
  <c r="D54" i="40"/>
  <c r="D58" i="44"/>
  <c r="D58" i="42"/>
  <c r="D58" i="40"/>
  <c r="D62" i="44"/>
  <c r="E62" i="44" s="1"/>
  <c r="D62" i="42"/>
  <c r="D62" i="40"/>
  <c r="D66" i="44"/>
  <c r="E66" i="44" s="1"/>
  <c r="D66" i="42"/>
  <c r="D66" i="40"/>
  <c r="D72" i="44"/>
  <c r="D72" i="42"/>
  <c r="D72" i="40"/>
  <c r="D76" i="44"/>
  <c r="D76" i="42"/>
  <c r="D76" i="40"/>
  <c r="D80" i="44"/>
  <c r="D80" i="42"/>
  <c r="D80" i="40"/>
  <c r="D84" i="44"/>
  <c r="D84" i="42"/>
  <c r="D84" i="40"/>
  <c r="D92" i="44"/>
  <c r="D92" i="42"/>
  <c r="D92" i="40"/>
  <c r="D97" i="44"/>
  <c r="D97" i="42"/>
  <c r="D97" i="40"/>
  <c r="D101" i="44"/>
  <c r="D101" i="42"/>
  <c r="D101" i="40"/>
  <c r="D106" i="44"/>
  <c r="D106" i="42"/>
  <c r="D106" i="40"/>
  <c r="D111" i="44"/>
  <c r="D111" i="42"/>
  <c r="D111" i="40"/>
  <c r="D115" i="44"/>
  <c r="D115" i="42"/>
  <c r="D115" i="40"/>
  <c r="D119" i="44"/>
  <c r="D119" i="42"/>
  <c r="D119" i="40"/>
  <c r="D123" i="44"/>
  <c r="D123" i="42"/>
  <c r="D123" i="40"/>
  <c r="D128" i="44"/>
  <c r="D128" i="42"/>
  <c r="D128" i="40"/>
  <c r="D132" i="44"/>
  <c r="D132" i="42"/>
  <c r="D132" i="40"/>
  <c r="D132" i="22"/>
  <c r="D136" i="44"/>
  <c r="D136" i="42"/>
  <c r="D136" i="40"/>
  <c r="D136" i="22"/>
  <c r="D140" i="44"/>
  <c r="D140" i="42"/>
  <c r="D140" i="40"/>
  <c r="D140" i="22"/>
  <c r="D145" i="44"/>
  <c r="D145" i="42"/>
  <c r="D145" i="40"/>
  <c r="D145" i="22"/>
  <c r="D149" i="44"/>
  <c r="D149" i="42"/>
  <c r="D149" i="40"/>
  <c r="D149" i="22"/>
  <c r="D153" i="44"/>
  <c r="D153" i="42"/>
  <c r="D153" i="40"/>
  <c r="D153" i="22"/>
  <c r="D157" i="44"/>
  <c r="D157" i="42"/>
  <c r="D157" i="40"/>
  <c r="D157" i="22"/>
  <c r="D161" i="44"/>
  <c r="D161" i="42"/>
  <c r="D161" i="40"/>
  <c r="D161" i="22"/>
  <c r="D194" i="44"/>
  <c r="D194" i="42"/>
  <c r="D194" i="40"/>
  <c r="D194" i="22"/>
  <c r="D199" i="44"/>
  <c r="D199" i="42"/>
  <c r="D199" i="40"/>
  <c r="D199" i="22"/>
  <c r="D217" i="44"/>
  <c r="D217" i="42"/>
  <c r="D217" i="40"/>
  <c r="D217" i="22"/>
  <c r="D221" i="44"/>
  <c r="E221" i="44" s="1"/>
  <c r="D221" i="42"/>
  <c r="E221" i="42" s="1"/>
  <c r="D221" i="40"/>
  <c r="D221" i="22"/>
  <c r="E221" i="22" s="1"/>
  <c r="D225" i="44"/>
  <c r="D225" i="42"/>
  <c r="D225" i="40"/>
  <c r="D225" i="22"/>
  <c r="D230" i="44"/>
  <c r="D230" i="42"/>
  <c r="E230" i="42" s="1"/>
  <c r="D230" i="40"/>
  <c r="D230" i="22"/>
  <c r="D236" i="44"/>
  <c r="D236" i="42"/>
  <c r="D236" i="40"/>
  <c r="D236" i="22"/>
  <c r="D241" i="44"/>
  <c r="D241" i="42"/>
  <c r="D241" i="40"/>
  <c r="D241" i="22"/>
  <c r="D245" i="44"/>
  <c r="D245" i="42"/>
  <c r="D245" i="40"/>
  <c r="D245" i="22"/>
  <c r="D250" i="44"/>
  <c r="E250" i="44" s="1"/>
  <c r="D250" i="42"/>
  <c r="E250" i="42" s="1"/>
  <c r="D250" i="40"/>
  <c r="D250" i="22"/>
  <c r="D255" i="44"/>
  <c r="D255" i="42"/>
  <c r="D255" i="40"/>
  <c r="D255" i="22"/>
  <c r="D264" i="44"/>
  <c r="D264" i="42"/>
  <c r="D264" i="40"/>
  <c r="D264" i="22"/>
  <c r="D268" i="44"/>
  <c r="D268" i="42"/>
  <c r="D268" i="40"/>
  <c r="D268" i="22"/>
  <c r="D272" i="44"/>
  <c r="D272" i="42"/>
  <c r="D272" i="40"/>
  <c r="D272" i="22"/>
  <c r="D276" i="44"/>
  <c r="D276" i="42"/>
  <c r="D276" i="40"/>
  <c r="D276" i="22"/>
  <c r="D280" i="44"/>
  <c r="D280" i="42"/>
  <c r="D280" i="40"/>
  <c r="D280" i="22"/>
  <c r="D284" i="44"/>
  <c r="D284" i="42"/>
  <c r="D284" i="40"/>
  <c r="D284" i="22"/>
  <c r="D288" i="44"/>
  <c r="D288" i="42"/>
  <c r="D288" i="40"/>
  <c r="D288" i="22"/>
  <c r="D294" i="44"/>
  <c r="D294" i="42"/>
  <c r="D294" i="40"/>
  <c r="D294" i="22"/>
  <c r="D300" i="44"/>
  <c r="D300" i="42"/>
  <c r="D300" i="40"/>
  <c r="D300" i="22"/>
  <c r="D304" i="44"/>
  <c r="D304" i="42"/>
  <c r="D304" i="40"/>
  <c r="D304" i="22"/>
  <c r="D308" i="44"/>
  <c r="D308" i="42"/>
  <c r="D308" i="40"/>
  <c r="D308" i="22"/>
  <c r="D312" i="44"/>
  <c r="D312" i="42"/>
  <c r="D312" i="40"/>
  <c r="D312" i="22"/>
  <c r="D316" i="44"/>
  <c r="D316" i="42"/>
  <c r="D316" i="40"/>
  <c r="D316" i="22"/>
  <c r="D320" i="44"/>
  <c r="D320" i="42"/>
  <c r="D320" i="40"/>
  <c r="D320" i="22"/>
  <c r="D324" i="44"/>
  <c r="D324" i="42"/>
  <c r="D324" i="40"/>
  <c r="D330" i="44"/>
  <c r="E330" i="44" s="1"/>
  <c r="D330" i="42"/>
  <c r="E330" i="42" s="1"/>
  <c r="D330" i="40"/>
  <c r="B17" i="22"/>
  <c r="D127" i="22"/>
  <c r="D324" i="22"/>
  <c r="D330" i="22"/>
  <c r="B258" i="44"/>
  <c r="E258" i="44" s="1"/>
  <c r="C262" i="43"/>
  <c r="B258" i="42"/>
  <c r="E258" i="42" s="1"/>
  <c r="C262" i="41"/>
  <c r="B258" i="40"/>
  <c r="E258" i="40" s="1"/>
  <c r="C262" i="21"/>
  <c r="C262" i="39"/>
  <c r="B258" i="22"/>
  <c r="E258" i="22" s="1"/>
  <c r="D235" i="19"/>
  <c r="R235" i="19" s="1"/>
  <c r="H235" i="19"/>
  <c r="V235" i="19" s="1"/>
  <c r="B246" i="44"/>
  <c r="C250" i="43"/>
  <c r="B246" i="42"/>
  <c r="C250" i="41"/>
  <c r="B246" i="40"/>
  <c r="C250" i="21"/>
  <c r="C250" i="39"/>
  <c r="B246" i="22"/>
  <c r="B248" i="44"/>
  <c r="C252" i="43"/>
  <c r="B248" i="42"/>
  <c r="C252" i="41"/>
  <c r="B248" i="40"/>
  <c r="C252" i="39"/>
  <c r="C252" i="21"/>
  <c r="B248" i="22"/>
  <c r="E248" i="22" s="1"/>
  <c r="O196" i="19"/>
  <c r="D234" i="19"/>
  <c r="R234" i="19" s="1"/>
  <c r="H233" i="19"/>
  <c r="V233" i="19" s="1"/>
  <c r="B241" i="44"/>
  <c r="C245" i="43"/>
  <c r="B241" i="42"/>
  <c r="E241" i="42" s="1"/>
  <c r="C245" i="41"/>
  <c r="B241" i="40"/>
  <c r="C245" i="21"/>
  <c r="C245" i="39"/>
  <c r="B241" i="22"/>
  <c r="E241" i="19"/>
  <c r="S241" i="19" s="1"/>
  <c r="O239" i="19"/>
  <c r="O246" i="19"/>
  <c r="E248" i="19"/>
  <c r="S248" i="19" s="1"/>
  <c r="D250" i="19"/>
  <c r="R250" i="19" s="1"/>
  <c r="H237" i="19"/>
  <c r="V237" i="19" s="1"/>
  <c r="H241" i="19"/>
  <c r="V241" i="19" s="1"/>
  <c r="G236" i="19"/>
  <c r="U236" i="19" s="1"/>
  <c r="H242" i="19"/>
  <c r="V242" i="19" s="1"/>
  <c r="G240" i="19"/>
  <c r="U240" i="19" s="1"/>
  <c r="H238" i="19"/>
  <c r="V238" i="19" s="1"/>
  <c r="E250" i="19"/>
  <c r="S250" i="19" s="1"/>
  <c r="G239" i="19"/>
  <c r="U239" i="19" s="1"/>
  <c r="I243" i="19"/>
  <c r="W243" i="19" s="1"/>
  <c r="B257" i="44"/>
  <c r="C261" i="43"/>
  <c r="B257" i="42"/>
  <c r="C261" i="41"/>
  <c r="B257" i="40"/>
  <c r="C261" i="21"/>
  <c r="C261" i="39"/>
  <c r="B257" i="22"/>
  <c r="E257" i="22" s="1"/>
  <c r="B255" i="44"/>
  <c r="C259" i="43"/>
  <c r="B255" i="42"/>
  <c r="C259" i="41"/>
  <c r="B255" i="40"/>
  <c r="C259" i="39"/>
  <c r="C259" i="21"/>
  <c r="B255" i="22"/>
  <c r="E255" i="22" s="1"/>
  <c r="B253" i="44"/>
  <c r="C257" i="43"/>
  <c r="B253" i="42"/>
  <c r="E253" i="42" s="1"/>
  <c r="C257" i="41"/>
  <c r="B253" i="40"/>
  <c r="E253" i="40" s="1"/>
  <c r="C257" i="21"/>
  <c r="C257" i="39"/>
  <c r="B253" i="22"/>
  <c r="S99" i="29"/>
  <c r="T99" i="29"/>
  <c r="S273" i="29"/>
  <c r="T273" i="29"/>
  <c r="O24" i="19"/>
  <c r="O40" i="19"/>
  <c r="O56" i="19"/>
  <c r="O77" i="19"/>
  <c r="T77" i="19" s="1"/>
  <c r="B85" i="44"/>
  <c r="C89" i="43"/>
  <c r="C89" i="41"/>
  <c r="B85" i="42"/>
  <c r="B85" i="40"/>
  <c r="C89" i="39"/>
  <c r="C89" i="21"/>
  <c r="O73" i="19"/>
  <c r="T73" i="19" s="1"/>
  <c r="B81" i="44"/>
  <c r="C85" i="43"/>
  <c r="B81" i="42"/>
  <c r="C85" i="41"/>
  <c r="B81" i="40"/>
  <c r="C85" i="39"/>
  <c r="C85" i="21"/>
  <c r="B21" i="44"/>
  <c r="E21" i="44" s="1"/>
  <c r="C25" i="43"/>
  <c r="B21" i="42"/>
  <c r="C25" i="41"/>
  <c r="B21" i="40"/>
  <c r="C25" i="39"/>
  <c r="C25" i="21"/>
  <c r="B25" i="44"/>
  <c r="C29" i="43"/>
  <c r="B25" i="42"/>
  <c r="C29" i="41"/>
  <c r="C29" i="39"/>
  <c r="B25" i="40"/>
  <c r="C29" i="21"/>
  <c r="B29" i="44"/>
  <c r="E29" i="44" s="1"/>
  <c r="C33" i="43"/>
  <c r="B29" i="42"/>
  <c r="E29" i="42" s="1"/>
  <c r="C33" i="41"/>
  <c r="C33" i="39"/>
  <c r="B29" i="40"/>
  <c r="C33" i="21"/>
  <c r="B33" i="44"/>
  <c r="C37" i="43"/>
  <c r="B33" i="42"/>
  <c r="C37" i="41"/>
  <c r="C37" i="39"/>
  <c r="B33" i="40"/>
  <c r="E33" i="40" s="1"/>
  <c r="C37" i="21"/>
  <c r="B37" i="44"/>
  <c r="C41" i="43"/>
  <c r="B37" i="42"/>
  <c r="E37" i="42" s="1"/>
  <c r="C41" i="41"/>
  <c r="B37" i="40"/>
  <c r="C41" i="39"/>
  <c r="C41" i="21"/>
  <c r="B41" i="44"/>
  <c r="C45" i="43"/>
  <c r="B41" i="42"/>
  <c r="C45" i="41"/>
  <c r="B41" i="40"/>
  <c r="C45" i="39"/>
  <c r="C45" i="21"/>
  <c r="B45" i="44"/>
  <c r="B45" i="42"/>
  <c r="C49" i="43"/>
  <c r="C49" i="41"/>
  <c r="C49" i="39"/>
  <c r="B45" i="40"/>
  <c r="C49" i="21"/>
  <c r="B49" i="44"/>
  <c r="C53" i="43"/>
  <c r="B49" i="42"/>
  <c r="B49" i="40"/>
  <c r="E49" i="40" s="1"/>
  <c r="C53" i="41"/>
  <c r="C53" i="39"/>
  <c r="C53" i="21"/>
  <c r="B53" i="44"/>
  <c r="C57" i="43"/>
  <c r="B53" i="42"/>
  <c r="C57" i="41"/>
  <c r="B53" i="40"/>
  <c r="C57" i="39"/>
  <c r="C57" i="21"/>
  <c r="B57" i="44"/>
  <c r="C61" i="43"/>
  <c r="B57" i="42"/>
  <c r="C61" i="41"/>
  <c r="C61" i="39"/>
  <c r="B57" i="40"/>
  <c r="E57" i="40" s="1"/>
  <c r="C61" i="21"/>
  <c r="B61" i="44"/>
  <c r="B61" i="42"/>
  <c r="C65" i="43"/>
  <c r="C65" i="41"/>
  <c r="C65" i="39"/>
  <c r="B61" i="40"/>
  <c r="C65" i="21"/>
  <c r="B65" i="44"/>
  <c r="C69" i="43"/>
  <c r="B65" i="42"/>
  <c r="B65" i="40"/>
  <c r="E65" i="40" s="1"/>
  <c r="C69" i="41"/>
  <c r="C69" i="39"/>
  <c r="C69" i="21"/>
  <c r="B78" i="44"/>
  <c r="B78" i="42"/>
  <c r="C82" i="43"/>
  <c r="C82" i="41"/>
  <c r="B78" i="40"/>
  <c r="C82" i="39"/>
  <c r="C82" i="21"/>
  <c r="B80" i="44"/>
  <c r="C84" i="43"/>
  <c r="B80" i="42"/>
  <c r="C84" i="41"/>
  <c r="C84" i="21"/>
  <c r="B80" i="40"/>
  <c r="E80" i="40" s="1"/>
  <c r="C84" i="39"/>
  <c r="B74" i="44"/>
  <c r="C78" i="43"/>
  <c r="B74" i="42"/>
  <c r="C78" i="41"/>
  <c r="B74" i="40"/>
  <c r="E74" i="40" s="1"/>
  <c r="C78" i="39"/>
  <c r="C78" i="21"/>
  <c r="B72" i="44"/>
  <c r="C76" i="43"/>
  <c r="B72" i="42"/>
  <c r="E72" i="42" s="1"/>
  <c r="C76" i="41"/>
  <c r="B72" i="40"/>
  <c r="C76" i="21"/>
  <c r="C76" i="39"/>
  <c r="B70" i="44"/>
  <c r="C74" i="43"/>
  <c r="B70" i="42"/>
  <c r="E70" i="42" s="1"/>
  <c r="C74" i="41"/>
  <c r="B70" i="40"/>
  <c r="E70" i="40" s="1"/>
  <c r="C74" i="39"/>
  <c r="C74" i="21"/>
  <c r="B93" i="44"/>
  <c r="E93" i="44" s="1"/>
  <c r="C97" i="43"/>
  <c r="B93" i="42"/>
  <c r="E93" i="42" s="1"/>
  <c r="C97" i="41"/>
  <c r="C97" i="39"/>
  <c r="B93" i="40"/>
  <c r="C97" i="21"/>
  <c r="B99" i="44"/>
  <c r="C103" i="43"/>
  <c r="B99" i="42"/>
  <c r="C103" i="41"/>
  <c r="C103" i="39"/>
  <c r="B99" i="40"/>
  <c r="E99" i="40" s="1"/>
  <c r="C103" i="21"/>
  <c r="O97" i="19"/>
  <c r="C109" i="43"/>
  <c r="B105" i="44"/>
  <c r="E105" i="44" s="1"/>
  <c r="B105" i="42"/>
  <c r="E105" i="42" s="1"/>
  <c r="C109" i="41"/>
  <c r="B105" i="40"/>
  <c r="C109" i="21"/>
  <c r="C109" i="39"/>
  <c r="O101" i="19"/>
  <c r="C113" i="43"/>
  <c r="B109" i="44"/>
  <c r="E109" i="44" s="1"/>
  <c r="B109" i="42"/>
  <c r="E109" i="42" s="1"/>
  <c r="C113" i="41"/>
  <c r="C113" i="21"/>
  <c r="B109" i="40"/>
  <c r="C113" i="39"/>
  <c r="O108" i="19"/>
  <c r="B116" i="44"/>
  <c r="C120" i="43"/>
  <c r="B116" i="42"/>
  <c r="C120" i="41"/>
  <c r="B116" i="40"/>
  <c r="C120" i="39"/>
  <c r="C120" i="21"/>
  <c r="O121" i="19"/>
  <c r="B129" i="44"/>
  <c r="C133" i="43"/>
  <c r="B129" i="42"/>
  <c r="C133" i="41"/>
  <c r="B129" i="40"/>
  <c r="C133" i="21"/>
  <c r="C133" i="39"/>
  <c r="B129" i="22"/>
  <c r="O130" i="19"/>
  <c r="T130" i="19" s="1"/>
  <c r="B138" i="44"/>
  <c r="C142" i="43"/>
  <c r="C142" i="41"/>
  <c r="B138" i="42"/>
  <c r="E138" i="42" s="1"/>
  <c r="B138" i="40"/>
  <c r="E138" i="40" s="1"/>
  <c r="C142" i="21"/>
  <c r="C142" i="39"/>
  <c r="B138" i="22"/>
  <c r="O107" i="19"/>
  <c r="B115" i="44"/>
  <c r="C119" i="43"/>
  <c r="B115" i="42"/>
  <c r="E115" i="42" s="1"/>
  <c r="C119" i="41"/>
  <c r="B115" i="40"/>
  <c r="C119" i="39"/>
  <c r="C119" i="21"/>
  <c r="O118" i="19"/>
  <c r="B126" i="44"/>
  <c r="C130" i="43"/>
  <c r="C130" i="41"/>
  <c r="B126" i="42"/>
  <c r="E126" i="42" s="1"/>
  <c r="B126" i="40"/>
  <c r="E126" i="40" s="1"/>
  <c r="C130" i="21"/>
  <c r="C130" i="39"/>
  <c r="B126" i="22"/>
  <c r="O128" i="19"/>
  <c r="S128" i="19" s="1"/>
  <c r="B136" i="44"/>
  <c r="C140" i="43"/>
  <c r="B136" i="42"/>
  <c r="C140" i="41"/>
  <c r="B136" i="40"/>
  <c r="C140" i="39"/>
  <c r="C140" i="21"/>
  <c r="B136" i="22"/>
  <c r="O134" i="19"/>
  <c r="B142" i="44"/>
  <c r="C146" i="43"/>
  <c r="C146" i="41"/>
  <c r="B142" i="42"/>
  <c r="E142" i="42" s="1"/>
  <c r="C146" i="21"/>
  <c r="B142" i="40"/>
  <c r="E142" i="40"/>
  <c r="C146" i="39"/>
  <c r="B142" i="22"/>
  <c r="B124" i="44"/>
  <c r="E124" i="44"/>
  <c r="C128" i="43"/>
  <c r="B124" i="42"/>
  <c r="E124" i="42" s="1"/>
  <c r="C128" i="41"/>
  <c r="B124" i="40"/>
  <c r="C128" i="39"/>
  <c r="C128" i="21"/>
  <c r="O138" i="19"/>
  <c r="B146" i="44"/>
  <c r="C150" i="43"/>
  <c r="B146" i="42"/>
  <c r="C150" i="41"/>
  <c r="B146" i="40"/>
  <c r="C150" i="21"/>
  <c r="C150" i="39"/>
  <c r="B146" i="22"/>
  <c r="O142" i="19"/>
  <c r="R142" i="19" s="1"/>
  <c r="B150" i="44"/>
  <c r="C154" i="43"/>
  <c r="B150" i="42"/>
  <c r="C154" i="41"/>
  <c r="B150" i="40"/>
  <c r="C154" i="21"/>
  <c r="C154" i="39"/>
  <c r="B150" i="22"/>
  <c r="O146" i="19"/>
  <c r="B154" i="44"/>
  <c r="C158" i="43"/>
  <c r="B154" i="42"/>
  <c r="C158" i="41"/>
  <c r="B154" i="40"/>
  <c r="C158" i="21"/>
  <c r="C158" i="39"/>
  <c r="B154" i="22"/>
  <c r="O150" i="19"/>
  <c r="T150" i="19" s="1"/>
  <c r="B158" i="44"/>
  <c r="C162" i="43"/>
  <c r="B158" i="42"/>
  <c r="C162" i="41"/>
  <c r="B158" i="40"/>
  <c r="C162" i="21"/>
  <c r="C162" i="39"/>
  <c r="B158" i="22"/>
  <c r="B164" i="44"/>
  <c r="E164" i="44" s="1"/>
  <c r="C168" i="43"/>
  <c r="B164" i="42"/>
  <c r="E164" i="42" s="1"/>
  <c r="C168" i="41"/>
  <c r="B164" i="40"/>
  <c r="C168" i="21"/>
  <c r="C168" i="39"/>
  <c r="B164" i="22"/>
  <c r="E164" i="22" s="1"/>
  <c r="B168" i="44"/>
  <c r="C172" i="43"/>
  <c r="B168" i="42"/>
  <c r="C172" i="41"/>
  <c r="B168" i="40"/>
  <c r="C172" i="21"/>
  <c r="C172" i="39"/>
  <c r="B168" i="22"/>
  <c r="B174" i="44"/>
  <c r="C178" i="43"/>
  <c r="C178" i="41"/>
  <c r="B174" i="42"/>
  <c r="B174" i="40"/>
  <c r="E174" i="40" s="1"/>
  <c r="C178" i="21"/>
  <c r="C178" i="39"/>
  <c r="B174" i="22"/>
  <c r="E174" i="22" s="1"/>
  <c r="B188" i="44"/>
  <c r="C192" i="43"/>
  <c r="B188" i="42"/>
  <c r="C192" i="41"/>
  <c r="B188" i="40"/>
  <c r="C192" i="39"/>
  <c r="C192" i="21"/>
  <c r="B188" i="22"/>
  <c r="B194" i="44"/>
  <c r="C198" i="43"/>
  <c r="B194" i="42"/>
  <c r="C198" i="41"/>
  <c r="B194" i="40"/>
  <c r="C198" i="21"/>
  <c r="C198" i="39"/>
  <c r="B194" i="22"/>
  <c r="B197" i="44"/>
  <c r="E197" i="44" s="1"/>
  <c r="C201" i="43"/>
  <c r="B197" i="42"/>
  <c r="E197" i="42"/>
  <c r="C201" i="41"/>
  <c r="B197" i="40"/>
  <c r="E197" i="40" s="1"/>
  <c r="C201" i="21"/>
  <c r="C201" i="39"/>
  <c r="B197" i="22"/>
  <c r="B201" i="44"/>
  <c r="C205" i="43"/>
  <c r="B201" i="42"/>
  <c r="E201" i="42" s="1"/>
  <c r="C205" i="41"/>
  <c r="B201" i="40"/>
  <c r="E201" i="40" s="1"/>
  <c r="C205" i="21"/>
  <c r="C205" i="39"/>
  <c r="B201" i="22"/>
  <c r="W177" i="19"/>
  <c r="V177" i="19"/>
  <c r="S170" i="19"/>
  <c r="T179" i="19"/>
  <c r="W185" i="19"/>
  <c r="V185" i="19"/>
  <c r="O172" i="19"/>
  <c r="B180" i="44"/>
  <c r="E180" i="44" s="1"/>
  <c r="C184" i="43"/>
  <c r="B180" i="42"/>
  <c r="E180" i="42" s="1"/>
  <c r="C184" i="41"/>
  <c r="B180" i="40"/>
  <c r="E180" i="40"/>
  <c r="C184" i="39"/>
  <c r="C184" i="21"/>
  <c r="B180" i="22"/>
  <c r="E180" i="22"/>
  <c r="O175" i="19"/>
  <c r="B183" i="44"/>
  <c r="C187" i="43"/>
  <c r="B183" i="42"/>
  <c r="E183" i="42" s="1"/>
  <c r="C187" i="41"/>
  <c r="B183" i="40"/>
  <c r="E183" i="40" s="1"/>
  <c r="C187" i="39"/>
  <c r="C187" i="21"/>
  <c r="B183" i="22"/>
  <c r="V174" i="19"/>
  <c r="D182" i="44"/>
  <c r="D182" i="42"/>
  <c r="D182" i="40"/>
  <c r="D182" i="22"/>
  <c r="S178" i="19"/>
  <c r="D186" i="44"/>
  <c r="D186" i="42"/>
  <c r="D186" i="40"/>
  <c r="D186" i="22"/>
  <c r="B192" i="44"/>
  <c r="C196" i="43"/>
  <c r="B192" i="42"/>
  <c r="E192" i="42" s="1"/>
  <c r="C196" i="41"/>
  <c r="B192" i="40"/>
  <c r="E192" i="40"/>
  <c r="C196" i="39"/>
  <c r="C196" i="21"/>
  <c r="B192" i="22"/>
  <c r="B217" i="44"/>
  <c r="C221" i="43"/>
  <c r="B217" i="42"/>
  <c r="C221" i="41"/>
  <c r="B217" i="40"/>
  <c r="E217" i="40" s="1"/>
  <c r="C221" i="21"/>
  <c r="C221" i="39"/>
  <c r="B217" i="22"/>
  <c r="O217" i="19"/>
  <c r="B225" i="44"/>
  <c r="C229" i="43"/>
  <c r="B225" i="42"/>
  <c r="C229" i="41"/>
  <c r="B225" i="40"/>
  <c r="C229" i="21"/>
  <c r="C229" i="39"/>
  <c r="B225" i="22"/>
  <c r="E225" i="22" s="1"/>
  <c r="O221" i="19"/>
  <c r="B229" i="44"/>
  <c r="C233" i="43"/>
  <c r="B229" i="42"/>
  <c r="E229" i="42" s="1"/>
  <c r="C233" i="41"/>
  <c r="B229" i="40"/>
  <c r="E229" i="40" s="1"/>
  <c r="C233" i="21"/>
  <c r="C233" i="39"/>
  <c r="B229" i="22"/>
  <c r="E229" i="22"/>
  <c r="O225" i="19"/>
  <c r="B233" i="44"/>
  <c r="C237" i="43"/>
  <c r="B233" i="42"/>
  <c r="C237" i="41"/>
  <c r="B233" i="40"/>
  <c r="C237" i="21"/>
  <c r="C237" i="39"/>
  <c r="B233" i="22"/>
  <c r="O229" i="19"/>
  <c r="B237" i="44"/>
  <c r="C241" i="43"/>
  <c r="B237" i="42"/>
  <c r="C241" i="41"/>
  <c r="B237" i="40"/>
  <c r="C241" i="21"/>
  <c r="C241" i="39"/>
  <c r="B237" i="22"/>
  <c r="O253" i="19"/>
  <c r="O251" i="19" s="1"/>
  <c r="B261" i="44"/>
  <c r="C265" i="43"/>
  <c r="B261" i="42"/>
  <c r="E261" i="42" s="1"/>
  <c r="C265" i="41"/>
  <c r="B261" i="40"/>
  <c r="E261" i="40" s="1"/>
  <c r="C265" i="39"/>
  <c r="C265" i="21"/>
  <c r="B261" i="22"/>
  <c r="E261" i="22" s="1"/>
  <c r="B266" i="44"/>
  <c r="B266" i="40"/>
  <c r="E266" i="40" s="1"/>
  <c r="C262" i="19"/>
  <c r="O266" i="19"/>
  <c r="B274" i="44"/>
  <c r="C278" i="43"/>
  <c r="B274" i="42"/>
  <c r="C278" i="41"/>
  <c r="B274" i="40"/>
  <c r="E274" i="40" s="1"/>
  <c r="C278" i="39"/>
  <c r="C278" i="21"/>
  <c r="B274" i="22"/>
  <c r="E274" i="22" s="1"/>
  <c r="C270" i="19"/>
  <c r="B282" i="44"/>
  <c r="B282" i="40"/>
  <c r="E282" i="40" s="1"/>
  <c r="C278" i="19"/>
  <c r="O282" i="19"/>
  <c r="B290" i="44"/>
  <c r="E290" i="44" s="1"/>
  <c r="C294" i="43"/>
  <c r="B290" i="42"/>
  <c r="C294" i="41"/>
  <c r="B290" i="40"/>
  <c r="E290" i="40" s="1"/>
  <c r="C294" i="39"/>
  <c r="C294" i="21"/>
  <c r="B290" i="22"/>
  <c r="E290" i="22" s="1"/>
  <c r="O287" i="19"/>
  <c r="B295" i="44"/>
  <c r="E295" i="44" s="1"/>
  <c r="C299" i="43"/>
  <c r="B295" i="42"/>
  <c r="E295" i="42" s="1"/>
  <c r="C299" i="41"/>
  <c r="B295" i="40"/>
  <c r="C299" i="39"/>
  <c r="C299" i="21"/>
  <c r="B295" i="22"/>
  <c r="O318" i="19"/>
  <c r="B326" i="44"/>
  <c r="C330" i="43"/>
  <c r="B326" i="42"/>
  <c r="C330" i="41"/>
  <c r="B326" i="40"/>
  <c r="C330" i="21"/>
  <c r="C330" i="39"/>
  <c r="B326" i="22"/>
  <c r="O321" i="19"/>
  <c r="B329" i="44"/>
  <c r="C333" i="43"/>
  <c r="B329" i="42"/>
  <c r="E329" i="42" s="1"/>
  <c r="C333" i="41"/>
  <c r="B329" i="40"/>
  <c r="C333" i="21"/>
  <c r="C333" i="39"/>
  <c r="B329" i="22"/>
  <c r="E329" i="22"/>
  <c r="O324" i="19"/>
  <c r="B332" i="44"/>
  <c r="E332" i="44" s="1"/>
  <c r="C336" i="43"/>
  <c r="B332" i="42"/>
  <c r="E332" i="42" s="1"/>
  <c r="C336" i="41"/>
  <c r="B332" i="40"/>
  <c r="E332" i="40" s="1"/>
  <c r="C336" i="39"/>
  <c r="C336" i="21"/>
  <c r="B332" i="22"/>
  <c r="E332" i="22" s="1"/>
  <c r="B335" i="44"/>
  <c r="E335" i="44" s="1"/>
  <c r="C339" i="43"/>
  <c r="B335" i="42"/>
  <c r="E335" i="42" s="1"/>
  <c r="C339" i="41"/>
  <c r="B335" i="40"/>
  <c r="E335" i="40" s="1"/>
  <c r="C339" i="39"/>
  <c r="C339" i="21"/>
  <c r="B335" i="22"/>
  <c r="E335" i="22" s="1"/>
  <c r="T186" i="19"/>
  <c r="V191" i="19"/>
  <c r="U76" i="19"/>
  <c r="U72" i="19"/>
  <c r="U68" i="19"/>
  <c r="U64" i="19"/>
  <c r="Q64" i="19" s="1"/>
  <c r="Y64" i="19" s="1"/>
  <c r="B206" i="44"/>
  <c r="C210" i="43"/>
  <c r="B206" i="42"/>
  <c r="C210" i="41"/>
  <c r="B206" i="40"/>
  <c r="E206" i="40" s="1"/>
  <c r="C210" i="39"/>
  <c r="C210" i="21"/>
  <c r="B206" i="22"/>
  <c r="D168" i="44"/>
  <c r="D168" i="42"/>
  <c r="D168" i="40"/>
  <c r="D168" i="22"/>
  <c r="D19" i="44"/>
  <c r="D19" i="42"/>
  <c r="D19" i="40"/>
  <c r="D23" i="44"/>
  <c r="D23" i="42"/>
  <c r="D23" i="40"/>
  <c r="D27" i="44"/>
  <c r="D27" i="42"/>
  <c r="D27" i="40"/>
  <c r="D31" i="44"/>
  <c r="D31" i="42"/>
  <c r="D31" i="40"/>
  <c r="D35" i="44"/>
  <c r="D35" i="42"/>
  <c r="D35" i="40"/>
  <c r="D39" i="44"/>
  <c r="D39" i="42"/>
  <c r="D39" i="40"/>
  <c r="D43" i="44"/>
  <c r="D43" i="42"/>
  <c r="E43" i="42" s="1"/>
  <c r="D43" i="40"/>
  <c r="D47" i="44"/>
  <c r="D47" i="42"/>
  <c r="D47" i="40"/>
  <c r="D51" i="44"/>
  <c r="D51" i="42"/>
  <c r="D51" i="40"/>
  <c r="D55" i="44"/>
  <c r="D55" i="42"/>
  <c r="D55" i="40"/>
  <c r="D59" i="44"/>
  <c r="D59" i="42"/>
  <c r="D59" i="40"/>
  <c r="D63" i="44"/>
  <c r="D63" i="42"/>
  <c r="D63" i="40"/>
  <c r="E63" i="40" s="1"/>
  <c r="D69" i="44"/>
  <c r="D69" i="42"/>
  <c r="D69" i="40"/>
  <c r="D73" i="44"/>
  <c r="D73" i="42"/>
  <c r="D73" i="40"/>
  <c r="E73" i="40" s="1"/>
  <c r="D77" i="44"/>
  <c r="D77" i="42"/>
  <c r="E77" i="42" s="1"/>
  <c r="D77" i="40"/>
  <c r="D81" i="44"/>
  <c r="D81" i="42"/>
  <c r="D81" i="40"/>
  <c r="D85" i="44"/>
  <c r="D85" i="42"/>
  <c r="D85" i="40"/>
  <c r="D98" i="44"/>
  <c r="D98" i="42"/>
  <c r="D98" i="40"/>
  <c r="D102" i="44"/>
  <c r="D102" i="42"/>
  <c r="E102" i="42" s="1"/>
  <c r="D102" i="40"/>
  <c r="D108" i="44"/>
  <c r="D108" i="42"/>
  <c r="D108" i="40"/>
  <c r="E108" i="40" s="1"/>
  <c r="D112" i="44"/>
  <c r="D112" i="42"/>
  <c r="D112" i="40"/>
  <c r="D116" i="44"/>
  <c r="E116" i="44" s="1"/>
  <c r="D116" i="42"/>
  <c r="D116" i="40"/>
  <c r="D120" i="44"/>
  <c r="D120" i="42"/>
  <c r="E120" i="42" s="1"/>
  <c r="D120" i="40"/>
  <c r="D125" i="44"/>
  <c r="D125" i="42"/>
  <c r="D125" i="40"/>
  <c r="D129" i="44"/>
  <c r="D129" i="42"/>
  <c r="E129" i="42" s="1"/>
  <c r="D129" i="40"/>
  <c r="D129" i="22"/>
  <c r="D133" i="44"/>
  <c r="D133" i="42"/>
  <c r="D133" i="40"/>
  <c r="D133" i="22"/>
  <c r="E133" i="22" s="1"/>
  <c r="D137" i="44"/>
  <c r="D137" i="42"/>
  <c r="D137" i="40"/>
  <c r="D137" i="22"/>
  <c r="D141" i="44"/>
  <c r="D141" i="42"/>
  <c r="D141" i="40"/>
  <c r="D141" i="22"/>
  <c r="D146" i="44"/>
  <c r="D146" i="42"/>
  <c r="D146" i="40"/>
  <c r="D146" i="22"/>
  <c r="D150" i="44"/>
  <c r="D150" i="42"/>
  <c r="D150" i="40"/>
  <c r="D150" i="22"/>
  <c r="D154" i="44"/>
  <c r="D154" i="42"/>
  <c r="D154" i="40"/>
  <c r="D154" i="22"/>
  <c r="D158" i="44"/>
  <c r="E158" i="44" s="1"/>
  <c r="D158" i="42"/>
  <c r="E158" i="42" s="1"/>
  <c r="D158" i="40"/>
  <c r="D158" i="22"/>
  <c r="D173" i="44"/>
  <c r="D173" i="42"/>
  <c r="D173" i="40"/>
  <c r="D173" i="22"/>
  <c r="D189" i="44"/>
  <c r="D189" i="42"/>
  <c r="D189" i="40"/>
  <c r="D189" i="22"/>
  <c r="E189" i="22" s="1"/>
  <c r="D196" i="44"/>
  <c r="D196" i="42"/>
  <c r="D196" i="40"/>
  <c r="D196" i="22"/>
  <c r="D200" i="44"/>
  <c r="D200" i="42"/>
  <c r="D200" i="40"/>
  <c r="D200" i="22"/>
  <c r="E200" i="22" s="1"/>
  <c r="D218" i="44"/>
  <c r="E218" i="44" s="1"/>
  <c r="D218" i="42"/>
  <c r="D218" i="40"/>
  <c r="D218" i="22"/>
  <c r="D222" i="44"/>
  <c r="E222" i="44" s="1"/>
  <c r="D222" i="42"/>
  <c r="D222" i="40"/>
  <c r="D222" i="22"/>
  <c r="E222" i="22" s="1"/>
  <c r="D227" i="44"/>
  <c r="D227" i="42"/>
  <c r="D227" i="40"/>
  <c r="D227" i="22"/>
  <c r="D231" i="44"/>
  <c r="D231" i="42"/>
  <c r="D231" i="40"/>
  <c r="D231" i="22"/>
  <c r="E231" i="22" s="1"/>
  <c r="D237" i="44"/>
  <c r="D237" i="42"/>
  <c r="D237" i="40"/>
  <c r="D237" i="22"/>
  <c r="D242" i="44"/>
  <c r="D242" i="42"/>
  <c r="E242" i="42" s="1"/>
  <c r="D242" i="40"/>
  <c r="D242" i="22"/>
  <c r="D246" i="44"/>
  <c r="E246" i="44"/>
  <c r="D246" i="42"/>
  <c r="D246" i="40"/>
  <c r="D246" i="22"/>
  <c r="D252" i="44"/>
  <c r="D252" i="42"/>
  <c r="D252" i="40"/>
  <c r="E252" i="40" s="1"/>
  <c r="D252" i="22"/>
  <c r="D260" i="44"/>
  <c r="D260" i="42"/>
  <c r="D260" i="40"/>
  <c r="D260" i="22"/>
  <c r="D265" i="44"/>
  <c r="D265" i="42"/>
  <c r="D265" i="40"/>
  <c r="E265" i="40" s="1"/>
  <c r="D265" i="22"/>
  <c r="D269" i="44"/>
  <c r="D269" i="42"/>
  <c r="D269" i="40"/>
  <c r="E269" i="40" s="1"/>
  <c r="D269" i="22"/>
  <c r="D273" i="44"/>
  <c r="D273" i="42"/>
  <c r="D273" i="40"/>
  <c r="D273" i="22"/>
  <c r="D277" i="44"/>
  <c r="D277" i="42"/>
  <c r="D277" i="40"/>
  <c r="D277" i="22"/>
  <c r="D281" i="44"/>
  <c r="D281" i="42"/>
  <c r="D281" i="40"/>
  <c r="E281" i="40" s="1"/>
  <c r="D281" i="22"/>
  <c r="D285" i="44"/>
  <c r="D285" i="42"/>
  <c r="D285" i="40"/>
  <c r="E285" i="40" s="1"/>
  <c r="D285" i="22"/>
  <c r="D289" i="44"/>
  <c r="D289" i="42"/>
  <c r="D289" i="40"/>
  <c r="D289" i="22"/>
  <c r="D295" i="44"/>
  <c r="D295" i="42"/>
  <c r="D295" i="40"/>
  <c r="D295" i="22"/>
  <c r="D301" i="44"/>
  <c r="D301" i="42"/>
  <c r="D301" i="40"/>
  <c r="D301" i="22"/>
  <c r="D305" i="44"/>
  <c r="D305" i="42"/>
  <c r="D305" i="40"/>
  <c r="D305" i="22"/>
  <c r="D309" i="44"/>
  <c r="D309" i="42"/>
  <c r="D309" i="40"/>
  <c r="D309" i="22"/>
  <c r="D313" i="44"/>
  <c r="D313" i="42"/>
  <c r="D313" i="40"/>
  <c r="D313" i="22"/>
  <c r="D317" i="44"/>
  <c r="D317" i="42"/>
  <c r="D317" i="40"/>
  <c r="D317" i="22"/>
  <c r="D321" i="44"/>
  <c r="D321" i="42"/>
  <c r="D321" i="40"/>
  <c r="D321" i="22"/>
  <c r="D325" i="44"/>
  <c r="D325" i="42"/>
  <c r="D325" i="40"/>
  <c r="E325" i="40" s="1"/>
  <c r="D325" i="22"/>
  <c r="D331" i="44"/>
  <c r="E331" i="44" s="1"/>
  <c r="D331" i="42"/>
  <c r="D331" i="40"/>
  <c r="D331" i="22"/>
  <c r="B18" i="22"/>
  <c r="E18" i="22" s="1"/>
  <c r="B19" i="22"/>
  <c r="B20" i="22"/>
  <c r="B21" i="22"/>
  <c r="E21" i="22" s="1"/>
  <c r="B22" i="22"/>
  <c r="E22" i="22" s="1"/>
  <c r="B23" i="22"/>
  <c r="B24" i="22"/>
  <c r="E24" i="22" s="1"/>
  <c r="B25" i="22"/>
  <c r="E25" i="22" s="1"/>
  <c r="B26" i="22"/>
  <c r="E26" i="22" s="1"/>
  <c r="B27" i="22"/>
  <c r="E27" i="22" s="1"/>
  <c r="B28" i="22"/>
  <c r="E28" i="22" s="1"/>
  <c r="B29" i="22"/>
  <c r="B30" i="22"/>
  <c r="E30" i="22" s="1"/>
  <c r="B31" i="22"/>
  <c r="B32" i="22"/>
  <c r="E32" i="22" s="1"/>
  <c r="B33" i="22"/>
  <c r="E33" i="22" s="1"/>
  <c r="B34" i="22"/>
  <c r="E34" i="22" s="1"/>
  <c r="B35" i="22"/>
  <c r="E35" i="22" s="1"/>
  <c r="B36" i="22"/>
  <c r="E36" i="22" s="1"/>
  <c r="B37" i="22"/>
  <c r="E37" i="22" s="1"/>
  <c r="B38" i="22"/>
  <c r="E38" i="22" s="1"/>
  <c r="B39" i="22"/>
  <c r="E39" i="22" s="1"/>
  <c r="B40" i="22"/>
  <c r="E40" i="22" s="1"/>
  <c r="B41" i="22"/>
  <c r="B42" i="22"/>
  <c r="E42" i="22" s="1"/>
  <c r="B43" i="22"/>
  <c r="E43" i="22" s="1"/>
  <c r="B44" i="22"/>
  <c r="B45" i="22"/>
  <c r="E45" i="22" s="1"/>
  <c r="B46" i="22"/>
  <c r="E46" i="22" s="1"/>
  <c r="B47" i="22"/>
  <c r="E47" i="22" s="1"/>
  <c r="B48" i="22"/>
  <c r="E48" i="22" s="1"/>
  <c r="B49" i="22"/>
  <c r="E49" i="22" s="1"/>
  <c r="B50" i="22"/>
  <c r="E50" i="22" s="1"/>
  <c r="B51" i="22"/>
  <c r="E51" i="22" s="1"/>
  <c r="B52" i="22"/>
  <c r="E52" i="22"/>
  <c r="B53" i="22"/>
  <c r="E53" i="22"/>
  <c r="B54" i="22"/>
  <c r="E54" i="22"/>
  <c r="B55" i="22"/>
  <c r="E55" i="22"/>
  <c r="B56" i="22"/>
  <c r="B57" i="22"/>
  <c r="E57" i="22" s="1"/>
  <c r="B58" i="22"/>
  <c r="B59" i="22"/>
  <c r="E59" i="22" s="1"/>
  <c r="B60" i="22"/>
  <c r="E60" i="22" s="1"/>
  <c r="B61" i="22"/>
  <c r="B62" i="22"/>
  <c r="E62" i="22" s="1"/>
  <c r="B63" i="22"/>
  <c r="B64" i="22"/>
  <c r="E64" i="22" s="1"/>
  <c r="B65" i="22"/>
  <c r="E65" i="22" s="1"/>
  <c r="B66" i="22"/>
  <c r="E66" i="22" s="1"/>
  <c r="B68" i="22"/>
  <c r="B69" i="22"/>
  <c r="E69" i="22" s="1"/>
  <c r="B70" i="22"/>
  <c r="E70" i="22" s="1"/>
  <c r="B71" i="22"/>
  <c r="E71" i="22" s="1"/>
  <c r="B72" i="22"/>
  <c r="E72" i="22" s="1"/>
  <c r="B73" i="22"/>
  <c r="B74" i="22"/>
  <c r="B75" i="22"/>
  <c r="E75" i="22" s="1"/>
  <c r="B76" i="22"/>
  <c r="E76" i="22" s="1"/>
  <c r="B77" i="22"/>
  <c r="E77" i="22" s="1"/>
  <c r="B78" i="22"/>
  <c r="B79" i="22"/>
  <c r="E79" i="22" s="1"/>
  <c r="B80" i="22"/>
  <c r="E80" i="22" s="1"/>
  <c r="B81" i="22"/>
  <c r="E81" i="22" s="1"/>
  <c r="B82" i="22"/>
  <c r="E82" i="22"/>
  <c r="B83" i="22"/>
  <c r="E83" i="22"/>
  <c r="B84" i="22"/>
  <c r="E84" i="22"/>
  <c r="B85" i="22"/>
  <c r="B86" i="22"/>
  <c r="E86" i="22" s="1"/>
  <c r="B92" i="22"/>
  <c r="E92" i="22" s="1"/>
  <c r="B93" i="22"/>
  <c r="E93" i="22" s="1"/>
  <c r="B94" i="22"/>
  <c r="B96" i="22"/>
  <c r="E96" i="22" s="1"/>
  <c r="B97" i="22"/>
  <c r="B98" i="22"/>
  <c r="E98" i="22" s="1"/>
  <c r="B99" i="22"/>
  <c r="B100" i="22"/>
  <c r="E100" i="22" s="1"/>
  <c r="B101" i="22"/>
  <c r="B102" i="22"/>
  <c r="E102" i="22" s="1"/>
  <c r="B104" i="22"/>
  <c r="B105" i="22"/>
  <c r="B106" i="22"/>
  <c r="E106" i="22" s="1"/>
  <c r="B107" i="22"/>
  <c r="E107" i="22" s="1"/>
  <c r="B108" i="22"/>
  <c r="E108" i="22" s="1"/>
  <c r="B109" i="22"/>
  <c r="E109" i="22" s="1"/>
  <c r="B110" i="22"/>
  <c r="E110" i="22" s="1"/>
  <c r="B111" i="22"/>
  <c r="E111" i="22" s="1"/>
  <c r="B112" i="22"/>
  <c r="E112" i="22" s="1"/>
  <c r="B113" i="22"/>
  <c r="B114" i="22"/>
  <c r="B115" i="22"/>
  <c r="E115" i="22" s="1"/>
  <c r="B116" i="22"/>
  <c r="E116" i="22" s="1"/>
  <c r="B117" i="22"/>
  <c r="E117" i="22" s="1"/>
  <c r="B118" i="22"/>
  <c r="E118" i="22" s="1"/>
  <c r="B119" i="22"/>
  <c r="E119" i="22" s="1"/>
  <c r="B120" i="22"/>
  <c r="E120" i="22" s="1"/>
  <c r="B121" i="22"/>
  <c r="E121" i="22" s="1"/>
  <c r="B122" i="22"/>
  <c r="B123" i="22"/>
  <c r="B124" i="22"/>
  <c r="E124" i="22"/>
  <c r="D126" i="22"/>
  <c r="E221" i="40"/>
  <c r="E290" i="42"/>
  <c r="E195" i="42"/>
  <c r="E86" i="44"/>
  <c r="E165" i="22"/>
  <c r="U69" i="19"/>
  <c r="V69" i="19"/>
  <c r="D233" i="19"/>
  <c r="R233" i="19" s="1"/>
  <c r="I233" i="19"/>
  <c r="W233" i="19" s="1"/>
  <c r="E233" i="19"/>
  <c r="S233" i="19" s="1"/>
  <c r="I234" i="19"/>
  <c r="W234" i="19" s="1"/>
  <c r="G244" i="19"/>
  <c r="U244" i="19" s="1"/>
  <c r="O234" i="19"/>
  <c r="C82" i="19"/>
  <c r="B90" i="40" s="1"/>
  <c r="E90" i="40" s="1"/>
  <c r="E234" i="19"/>
  <c r="S234" i="19"/>
  <c r="G233" i="19"/>
  <c r="U233" i="19"/>
  <c r="O233" i="19"/>
  <c r="H234" i="19"/>
  <c r="V234" i="19" s="1"/>
  <c r="D246" i="19"/>
  <c r="R246" i="19" s="1"/>
  <c r="E246" i="19"/>
  <c r="S246" i="19" s="1"/>
  <c r="G246" i="19"/>
  <c r="U246" i="19" s="1"/>
  <c r="I246" i="19"/>
  <c r="W246" i="19" s="1"/>
  <c r="I248" i="19"/>
  <c r="W248" i="19" s="1"/>
  <c r="H248" i="19"/>
  <c r="V248" i="19" s="1"/>
  <c r="O248" i="19"/>
  <c r="H250" i="19"/>
  <c r="V250" i="19" s="1"/>
  <c r="G250" i="19"/>
  <c r="U250" i="19" s="1"/>
  <c r="O250" i="19"/>
  <c r="K162" i="19"/>
  <c r="C81" i="19"/>
  <c r="B89" i="44" s="1"/>
  <c r="T178" i="19"/>
  <c r="U179" i="19"/>
  <c r="V184" i="19"/>
  <c r="U174" i="19"/>
  <c r="W174" i="19"/>
  <c r="C18" i="36"/>
  <c r="C45" i="36"/>
  <c r="E12" i="38"/>
  <c r="S184" i="19"/>
  <c r="T174" i="19"/>
  <c r="O176" i="19"/>
  <c r="O184" i="19"/>
  <c r="O178" i="19"/>
  <c r="W179" i="19"/>
  <c r="U176" i="19"/>
  <c r="U184" i="19"/>
  <c r="N23" i="36"/>
  <c r="O18" i="36"/>
  <c r="S18" i="36"/>
  <c r="N19" i="36"/>
  <c r="Q18" i="36"/>
  <c r="N27" i="36"/>
  <c r="N29" i="36"/>
  <c r="P18" i="36"/>
  <c r="R346" i="19"/>
  <c r="Q210" i="19"/>
  <c r="Y210" i="19" s="1"/>
  <c r="Q283" i="19"/>
  <c r="Y283" i="19" s="1"/>
  <c r="Q262" i="19"/>
  <c r="Y262" i="19" s="1"/>
  <c r="B282" i="22"/>
  <c r="E282" i="22" s="1"/>
  <c r="C286" i="41"/>
  <c r="O274" i="19"/>
  <c r="B266" i="22"/>
  <c r="E266" i="22" s="1"/>
  <c r="C270" i="41"/>
  <c r="O258" i="19"/>
  <c r="E53" i="40"/>
  <c r="E37" i="40"/>
  <c r="E21" i="40"/>
  <c r="B273" i="22"/>
  <c r="C277" i="41"/>
  <c r="O265" i="19"/>
  <c r="B276" i="22"/>
  <c r="E276" i="22" s="1"/>
  <c r="C280" i="41"/>
  <c r="O268" i="19"/>
  <c r="C185" i="39"/>
  <c r="B181" i="42"/>
  <c r="V81" i="19"/>
  <c r="D89" i="42"/>
  <c r="S176" i="19"/>
  <c r="D184" i="22"/>
  <c r="T22" i="19"/>
  <c r="E85" i="22"/>
  <c r="E31" i="22"/>
  <c r="E109" i="40"/>
  <c r="E65" i="42"/>
  <c r="E49" i="42"/>
  <c r="E33" i="42"/>
  <c r="C277" i="21"/>
  <c r="B273" i="42"/>
  <c r="C280" i="39"/>
  <c r="B276" i="42"/>
  <c r="C185" i="21"/>
  <c r="C185" i="43"/>
  <c r="D89" i="22"/>
  <c r="D89" i="44"/>
  <c r="T176" i="19"/>
  <c r="D184" i="40"/>
  <c r="E184" i="40" s="1"/>
  <c r="W22" i="19"/>
  <c r="Q302" i="19"/>
  <c r="Y302" i="19" s="1"/>
  <c r="E99" i="22"/>
  <c r="E63" i="22"/>
  <c r="E19" i="22"/>
  <c r="C286" i="21"/>
  <c r="B282" i="42"/>
  <c r="E282" i="42" s="1"/>
  <c r="C270" i="21"/>
  <c r="B266" i="42"/>
  <c r="E186" i="44"/>
  <c r="V176" i="19"/>
  <c r="E242" i="44"/>
  <c r="E329" i="40"/>
  <c r="C286" i="39"/>
  <c r="C270" i="39"/>
  <c r="E61" i="44"/>
  <c r="E45" i="44"/>
  <c r="E248" i="40"/>
  <c r="C277" i="39"/>
  <c r="C269" i="39"/>
  <c r="C280" i="21"/>
  <c r="B181" i="40"/>
  <c r="E181" i="40" s="1"/>
  <c r="B181" i="44"/>
  <c r="W176" i="19"/>
  <c r="R89" i="19"/>
  <c r="R54" i="19"/>
  <c r="R46" i="19"/>
  <c r="R68" i="19"/>
  <c r="R251" i="19"/>
  <c r="W65" i="19"/>
  <c r="V285" i="19"/>
  <c r="Q266" i="19"/>
  <c r="Y266" i="19"/>
  <c r="E17" i="42"/>
  <c r="J17" i="42"/>
  <c r="E60" i="44"/>
  <c r="E44" i="44"/>
  <c r="E28" i="44"/>
  <c r="S58" i="19"/>
  <c r="T50" i="19"/>
  <c r="W38" i="19"/>
  <c r="S18" i="19"/>
  <c r="R34" i="19"/>
  <c r="E61" i="42"/>
  <c r="E57" i="44"/>
  <c r="E45" i="42"/>
  <c r="E41" i="44"/>
  <c r="E25" i="44"/>
  <c r="E36" i="40"/>
  <c r="E20" i="40"/>
  <c r="E322" i="22"/>
  <c r="T65" i="19"/>
  <c r="Q165" i="19"/>
  <c r="Y165" i="19" s="1"/>
  <c r="Q314" i="19"/>
  <c r="Y314" i="19" s="1"/>
  <c r="Q258" i="19"/>
  <c r="Y258" i="19" s="1"/>
  <c r="Q214" i="19"/>
  <c r="Y214" i="19" s="1"/>
  <c r="Q325" i="19"/>
  <c r="Y325" i="19" s="1"/>
  <c r="Q310" i="19"/>
  <c r="Y310" i="19" s="1"/>
  <c r="Q298" i="19"/>
  <c r="Y298" i="19" s="1"/>
  <c r="Q192" i="19"/>
  <c r="Y192" i="19" s="1"/>
  <c r="Q219" i="19"/>
  <c r="Y219" i="19" s="1"/>
  <c r="Q270" i="19"/>
  <c r="Y270" i="19" s="1"/>
  <c r="Q288" i="19"/>
  <c r="Y288" i="19" s="1"/>
  <c r="Q320" i="19"/>
  <c r="Y320" i="19" s="1"/>
  <c r="Q306" i="19"/>
  <c r="Y306" i="19" s="1"/>
  <c r="Q294" i="19"/>
  <c r="Y294" i="19" s="1"/>
  <c r="E225" i="42"/>
  <c r="E182" i="44"/>
  <c r="E53" i="42"/>
  <c r="E21" i="42"/>
  <c r="E28" i="42"/>
  <c r="E82" i="40"/>
  <c r="E254" i="44"/>
  <c r="E198" i="44"/>
  <c r="B280" i="40"/>
  <c r="B280" i="44"/>
  <c r="E280" i="44" s="1"/>
  <c r="C276" i="39"/>
  <c r="B272" i="42"/>
  <c r="E272" i="42" s="1"/>
  <c r="O88" i="19"/>
  <c r="W88" i="19" s="1"/>
  <c r="D96" i="40"/>
  <c r="E96" i="40" s="1"/>
  <c r="W50" i="19"/>
  <c r="W26" i="19"/>
  <c r="W68" i="19"/>
  <c r="S46" i="19"/>
  <c r="E206" i="22"/>
  <c r="E217" i="42"/>
  <c r="E72" i="44"/>
  <c r="B280" i="22"/>
  <c r="E280" i="22" s="1"/>
  <c r="C284" i="41"/>
  <c r="O272" i="19"/>
  <c r="C276" i="21"/>
  <c r="C276" i="43"/>
  <c r="U88" i="19"/>
  <c r="U87" i="19" s="1"/>
  <c r="D96" i="42"/>
  <c r="E96" i="42" s="1"/>
  <c r="R50" i="19"/>
  <c r="S26" i="19"/>
  <c r="S68" i="19"/>
  <c r="T46" i="19"/>
  <c r="T251" i="19"/>
  <c r="C284" i="39"/>
  <c r="B272" i="40"/>
  <c r="D96" i="22"/>
  <c r="R285" i="19"/>
  <c r="Q257" i="19"/>
  <c r="Y257" i="19" s="1"/>
  <c r="Q313" i="19"/>
  <c r="Y313" i="19" s="1"/>
  <c r="Q188" i="19"/>
  <c r="Y188" i="19" s="1"/>
  <c r="R72" i="19"/>
  <c r="E61" i="22"/>
  <c r="E29" i="22"/>
  <c r="E183" i="44"/>
  <c r="E201" i="44"/>
  <c r="E65" i="44"/>
  <c r="E49" i="44"/>
  <c r="E33" i="44"/>
  <c r="C293" i="21"/>
  <c r="B289" i="42"/>
  <c r="B265" i="40"/>
  <c r="B265" i="44"/>
  <c r="E228" i="44"/>
  <c r="E52" i="44"/>
  <c r="E36" i="44"/>
  <c r="E20" i="44"/>
  <c r="C296" i="39"/>
  <c r="B292" i="42"/>
  <c r="E292" i="42" s="1"/>
  <c r="B284" i="40"/>
  <c r="B284" i="44"/>
  <c r="E284" i="44" s="1"/>
  <c r="S89" i="19"/>
  <c r="R30" i="19"/>
  <c r="S54" i="19"/>
  <c r="S72" i="19"/>
  <c r="T14" i="19"/>
  <c r="E94" i="22"/>
  <c r="E73" i="22"/>
  <c r="E200" i="40"/>
  <c r="E196" i="40"/>
  <c r="E102" i="44"/>
  <c r="E261" i="44"/>
  <c r="E99" i="42"/>
  <c r="E74" i="42"/>
  <c r="E78" i="40"/>
  <c r="E25" i="40"/>
  <c r="E248" i="42"/>
  <c r="C293" i="39"/>
  <c r="C293" i="43"/>
  <c r="B265" i="22"/>
  <c r="E265" i="22" s="1"/>
  <c r="C269" i="41"/>
  <c r="O257" i="19"/>
  <c r="C296" i="21"/>
  <c r="C296" i="43"/>
  <c r="B284" i="22"/>
  <c r="C288" i="41"/>
  <c r="O276" i="19"/>
  <c r="T89" i="19"/>
  <c r="T30" i="19"/>
  <c r="T54" i="19"/>
  <c r="W72" i="19"/>
  <c r="R14" i="19"/>
  <c r="Q323" i="19"/>
  <c r="Y323" i="19"/>
  <c r="Q305" i="19"/>
  <c r="Y305" i="19"/>
  <c r="E123" i="22"/>
  <c r="E23" i="22"/>
  <c r="Q186" i="19"/>
  <c r="Y186" i="19"/>
  <c r="E217" i="44"/>
  <c r="E192" i="44"/>
  <c r="E41" i="40"/>
  <c r="E253" i="44"/>
  <c r="E54" i="44"/>
  <c r="E38" i="44"/>
  <c r="E22" i="44"/>
  <c r="B289" i="40"/>
  <c r="C269" i="21"/>
  <c r="E178" i="44"/>
  <c r="E60" i="40"/>
  <c r="E44" i="40"/>
  <c r="E28" i="40"/>
  <c r="B292" i="40"/>
  <c r="C288" i="39"/>
  <c r="E80" i="44"/>
  <c r="Q297" i="19"/>
  <c r="Y297" i="19" s="1"/>
  <c r="Q309" i="19"/>
  <c r="Y309" i="19" s="1"/>
  <c r="Q273" i="19"/>
  <c r="Y273" i="19" s="1"/>
  <c r="Q229" i="19"/>
  <c r="Y229" i="19" s="1"/>
  <c r="Q301" i="19"/>
  <c r="Y301" i="19" s="1"/>
  <c r="Q213" i="19"/>
  <c r="Y213" i="19" s="1"/>
  <c r="E104" i="44"/>
  <c r="E194" i="42"/>
  <c r="E298" i="40"/>
  <c r="E224" i="40"/>
  <c r="S65" i="19"/>
  <c r="Q269" i="19"/>
  <c r="Y269" i="19"/>
  <c r="Q222" i="19"/>
  <c r="Y222" i="19"/>
  <c r="Q317" i="19"/>
  <c r="Y317" i="19" s="1"/>
  <c r="Q217" i="19"/>
  <c r="Y217" i="19" s="1"/>
  <c r="Q209" i="19"/>
  <c r="Y209" i="19" s="1"/>
  <c r="Q281" i="19"/>
  <c r="Y281" i="19" s="1"/>
  <c r="E225" i="44"/>
  <c r="E115" i="44"/>
  <c r="E167" i="22"/>
  <c r="E166" i="22"/>
  <c r="Q277" i="19"/>
  <c r="Y277" i="19" s="1"/>
  <c r="Q261" i="19"/>
  <c r="Y261" i="19" s="1"/>
  <c r="E101" i="22"/>
  <c r="E329" i="44"/>
  <c r="E138" i="22"/>
  <c r="E99" i="44"/>
  <c r="E106" i="44"/>
  <c r="E205" i="40"/>
  <c r="E228" i="22"/>
  <c r="E60" i="42"/>
  <c r="E56" i="44"/>
  <c r="E44" i="42"/>
  <c r="E40" i="44"/>
  <c r="E24" i="44"/>
  <c r="Q252" i="19"/>
  <c r="Y252" i="19" s="1"/>
  <c r="Q287" i="19"/>
  <c r="Y287" i="19" s="1"/>
  <c r="W61" i="19"/>
  <c r="E97" i="22"/>
  <c r="E113" i="22"/>
  <c r="E229" i="44"/>
  <c r="E164" i="40"/>
  <c r="E142" i="22"/>
  <c r="E78" i="42"/>
  <c r="E57" i="42"/>
  <c r="E41" i="42"/>
  <c r="E25" i="42"/>
  <c r="Q293" i="19"/>
  <c r="Y293" i="19" s="1"/>
  <c r="R61" i="19"/>
  <c r="E41" i="22"/>
  <c r="E104" i="22"/>
  <c r="E183" i="22"/>
  <c r="E201" i="22"/>
  <c r="E197" i="22"/>
  <c r="E93" i="40"/>
  <c r="E53" i="44"/>
  <c r="E37" i="44"/>
  <c r="E253" i="22"/>
  <c r="E248" i="44"/>
  <c r="E230" i="44"/>
  <c r="E58" i="44"/>
  <c r="E42" i="44"/>
  <c r="E26" i="44"/>
  <c r="E121" i="42"/>
  <c r="E17" i="40"/>
  <c r="E64" i="40"/>
  <c r="E48" i="40"/>
  <c r="E32" i="40"/>
  <c r="E110" i="44"/>
  <c r="E223" i="22"/>
  <c r="E190" i="40"/>
  <c r="E184" i="44"/>
  <c r="E194" i="40"/>
  <c r="E255" i="40"/>
  <c r="E224" i="22"/>
  <c r="E223" i="40"/>
  <c r="E220" i="42"/>
  <c r="E113" i="40"/>
  <c r="E184" i="22"/>
  <c r="E219" i="42"/>
  <c r="E244" i="42"/>
  <c r="E166" i="44"/>
  <c r="E136" i="42"/>
  <c r="E114" i="40"/>
  <c r="E134" i="42"/>
  <c r="E113" i="42"/>
  <c r="E246" i="42"/>
  <c r="E241" i="40"/>
  <c r="E328" i="22"/>
  <c r="E223" i="42"/>
  <c r="E225" i="40"/>
  <c r="E294" i="44"/>
  <c r="E220" i="22"/>
  <c r="E254" i="42"/>
  <c r="E219" i="40"/>
  <c r="E238" i="44"/>
  <c r="E206" i="42"/>
  <c r="E205" i="42"/>
  <c r="E328" i="44"/>
  <c r="E318" i="22"/>
  <c r="E314" i="22"/>
  <c r="E310" i="22"/>
  <c r="E306" i="22"/>
  <c r="E302" i="22"/>
  <c r="E298" i="22"/>
  <c r="E98" i="44"/>
  <c r="V80" i="19"/>
  <c r="E105" i="40"/>
  <c r="E104" i="42"/>
  <c r="E118" i="44"/>
  <c r="E114" i="42"/>
  <c r="E122" i="22"/>
  <c r="E114" i="22"/>
  <c r="E121" i="40"/>
  <c r="E105" i="22"/>
  <c r="E136" i="44"/>
  <c r="E80" i="42"/>
  <c r="E294" i="42"/>
  <c r="E220" i="44"/>
  <c r="E203" i="44"/>
  <c r="E202" i="44" s="1"/>
  <c r="E122" i="44"/>
  <c r="E223" i="44"/>
  <c r="E238" i="42"/>
  <c r="E154" i="44"/>
  <c r="E150" i="44"/>
  <c r="E217" i="22"/>
  <c r="E224" i="44"/>
  <c r="E135" i="44"/>
  <c r="E113" i="44"/>
  <c r="E262" i="44"/>
  <c r="Q90" i="19"/>
  <c r="Y90" i="19" s="1"/>
  <c r="Q166" i="19"/>
  <c r="Y166" i="19" s="1"/>
  <c r="E255" i="44"/>
  <c r="E241" i="22"/>
  <c r="E205" i="44"/>
  <c r="E203" i="22"/>
  <c r="E202" i="22" s="1"/>
  <c r="E192" i="22"/>
  <c r="E190" i="42"/>
  <c r="E184" i="42"/>
  <c r="Q191" i="19"/>
  <c r="Y191" i="19" s="1"/>
  <c r="E194" i="22"/>
  <c r="E174" i="42"/>
  <c r="E136" i="22"/>
  <c r="E115" i="40"/>
  <c r="E130" i="44"/>
  <c r="E136" i="40"/>
  <c r="E72" i="40"/>
  <c r="E135" i="22"/>
  <c r="E134" i="22"/>
  <c r="Q179" i="19"/>
  <c r="Y179" i="19" s="1"/>
  <c r="W150" i="19"/>
  <c r="R150" i="19"/>
  <c r="S150" i="19"/>
  <c r="T128" i="19"/>
  <c r="W128" i="19"/>
  <c r="R128" i="19"/>
  <c r="W73" i="19"/>
  <c r="S73" i="19"/>
  <c r="R73" i="19"/>
  <c r="W77" i="19"/>
  <c r="S77" i="19"/>
  <c r="R77" i="19"/>
  <c r="W141" i="19"/>
  <c r="T141" i="19"/>
  <c r="S141" i="19"/>
  <c r="R141" i="19"/>
  <c r="W125" i="19"/>
  <c r="T125" i="19"/>
  <c r="S125" i="19"/>
  <c r="R125" i="19"/>
  <c r="T140" i="19"/>
  <c r="S140" i="19"/>
  <c r="R140" i="19"/>
  <c r="W140" i="19"/>
  <c r="T124" i="19"/>
  <c r="S124" i="19"/>
  <c r="R124" i="19"/>
  <c r="Q124" i="19" s="1"/>
  <c r="Y124" i="19" s="1"/>
  <c r="W124" i="19"/>
  <c r="W75" i="19"/>
  <c r="S75" i="19"/>
  <c r="R75" i="19"/>
  <c r="T75" i="19"/>
  <c r="W69" i="19"/>
  <c r="T69" i="19"/>
  <c r="S69" i="19"/>
  <c r="R69" i="19"/>
  <c r="R143" i="19"/>
  <c r="W143" i="19"/>
  <c r="S143" i="19"/>
  <c r="T143" i="19"/>
  <c r="T123" i="19"/>
  <c r="R123" i="19"/>
  <c r="W123" i="19"/>
  <c r="S123" i="19"/>
  <c r="W109" i="19"/>
  <c r="T109" i="19"/>
  <c r="S109" i="19"/>
  <c r="R109" i="19"/>
  <c r="T88" i="19"/>
  <c r="S88" i="19"/>
  <c r="Q94" i="19"/>
  <c r="Y94" i="19" s="1"/>
  <c r="Q29" i="19"/>
  <c r="Y29" i="19" s="1"/>
  <c r="Q22" i="19"/>
  <c r="Y22" i="19" s="1"/>
  <c r="Q60" i="19"/>
  <c r="Y60" i="19" s="1"/>
  <c r="Q53" i="19"/>
  <c r="Y53" i="19" s="1"/>
  <c r="Q33" i="19"/>
  <c r="Y33" i="19" s="1"/>
  <c r="Q28" i="19"/>
  <c r="Y28" i="19" s="1"/>
  <c r="Q62" i="19"/>
  <c r="Y62" i="19" s="1"/>
  <c r="E295" i="22"/>
  <c r="W146" i="19"/>
  <c r="S146" i="19"/>
  <c r="R146" i="19"/>
  <c r="T146" i="19"/>
  <c r="W118" i="19"/>
  <c r="T118" i="19"/>
  <c r="R118" i="19"/>
  <c r="S118" i="19"/>
  <c r="R107" i="19"/>
  <c r="W107" i="19"/>
  <c r="T107" i="19"/>
  <c r="S107" i="19"/>
  <c r="T56" i="19"/>
  <c r="W56" i="19"/>
  <c r="S56" i="19"/>
  <c r="R56" i="19"/>
  <c r="W153" i="19"/>
  <c r="T153" i="19"/>
  <c r="S153" i="19"/>
  <c r="R153" i="19"/>
  <c r="W137" i="19"/>
  <c r="T137" i="19"/>
  <c r="S137" i="19"/>
  <c r="R137" i="19"/>
  <c r="Q137" i="19" s="1"/>
  <c r="Y137" i="19" s="1"/>
  <c r="S115" i="19"/>
  <c r="Q115" i="19" s="1"/>
  <c r="Y115" i="19" s="1"/>
  <c r="R115" i="19"/>
  <c r="W115" i="19"/>
  <c r="T115" i="19"/>
  <c r="T120" i="19"/>
  <c r="S120" i="19"/>
  <c r="W120" i="19"/>
  <c r="R120" i="19"/>
  <c r="T104" i="19"/>
  <c r="S104" i="19"/>
  <c r="W104" i="19"/>
  <c r="R104" i="19"/>
  <c r="T100" i="19"/>
  <c r="S100" i="19"/>
  <c r="W100" i="19"/>
  <c r="R100" i="19"/>
  <c r="T96" i="19"/>
  <c r="W96" i="19"/>
  <c r="S96" i="19"/>
  <c r="R96" i="19"/>
  <c r="Q96" i="19" s="1"/>
  <c r="Y96" i="19" s="1"/>
  <c r="W74" i="19"/>
  <c r="R74" i="19"/>
  <c r="T74" i="19"/>
  <c r="S74" i="19"/>
  <c r="W78" i="19"/>
  <c r="T78" i="19"/>
  <c r="S78" i="19"/>
  <c r="R78" i="19"/>
  <c r="T152" i="19"/>
  <c r="S152" i="19"/>
  <c r="W152" i="19"/>
  <c r="R152" i="19"/>
  <c r="T136" i="19"/>
  <c r="S136" i="19"/>
  <c r="W136" i="19"/>
  <c r="R136" i="19"/>
  <c r="W114" i="19"/>
  <c r="T114" i="19"/>
  <c r="R114" i="19"/>
  <c r="S114" i="19"/>
  <c r="W117" i="19"/>
  <c r="T117" i="19"/>
  <c r="S117" i="19"/>
  <c r="R117" i="19"/>
  <c r="Q117" i="19" s="1"/>
  <c r="Y117" i="19" s="1"/>
  <c r="R103" i="19"/>
  <c r="T103" i="19"/>
  <c r="W103" i="19"/>
  <c r="S103" i="19"/>
  <c r="W99" i="19"/>
  <c r="S99" i="19"/>
  <c r="T99" i="19"/>
  <c r="R99" i="19"/>
  <c r="T92" i="19"/>
  <c r="S92" i="19"/>
  <c r="W92" i="19"/>
  <c r="R92" i="19"/>
  <c r="T55" i="19"/>
  <c r="W55" i="19"/>
  <c r="R55" i="19"/>
  <c r="S55" i="19"/>
  <c r="W51" i="19"/>
  <c r="S51" i="19"/>
  <c r="R51" i="19"/>
  <c r="T51" i="19"/>
  <c r="T47" i="19"/>
  <c r="R47" i="19"/>
  <c r="W47" i="19"/>
  <c r="S47" i="19"/>
  <c r="W43" i="19"/>
  <c r="S43" i="19"/>
  <c r="R43" i="19"/>
  <c r="T43" i="19"/>
  <c r="T39" i="19"/>
  <c r="W39" i="19"/>
  <c r="R39" i="19"/>
  <c r="S39" i="19"/>
  <c r="W35" i="19"/>
  <c r="S35" i="19"/>
  <c r="R35" i="19"/>
  <c r="T35" i="19"/>
  <c r="T31" i="19"/>
  <c r="R31" i="19"/>
  <c r="S31" i="19"/>
  <c r="W31" i="19"/>
  <c r="W27" i="19"/>
  <c r="T27" i="19"/>
  <c r="S27" i="19"/>
  <c r="R27" i="19"/>
  <c r="W23" i="19"/>
  <c r="T23" i="19"/>
  <c r="R23" i="19"/>
  <c r="S23" i="19"/>
  <c r="W19" i="19"/>
  <c r="S19" i="19"/>
  <c r="R19" i="19"/>
  <c r="T19" i="19"/>
  <c r="T15" i="19"/>
  <c r="R15" i="19"/>
  <c r="W15" i="19"/>
  <c r="S15" i="19"/>
  <c r="Q185" i="19"/>
  <c r="Y185" i="19" s="1"/>
  <c r="T139" i="19"/>
  <c r="R139" i="19"/>
  <c r="W139" i="19"/>
  <c r="S139" i="19"/>
  <c r="T131" i="19"/>
  <c r="R131" i="19"/>
  <c r="W131" i="19"/>
  <c r="S131" i="19"/>
  <c r="W142" i="19"/>
  <c r="T142" i="19"/>
  <c r="S142" i="19"/>
  <c r="W130" i="19"/>
  <c r="S130" i="19"/>
  <c r="R130" i="19"/>
  <c r="T40" i="19"/>
  <c r="W40" i="19"/>
  <c r="S40" i="19"/>
  <c r="R40" i="19"/>
  <c r="W149" i="19"/>
  <c r="T149" i="19"/>
  <c r="S149" i="19"/>
  <c r="R149" i="19"/>
  <c r="W133" i="19"/>
  <c r="T133" i="19"/>
  <c r="S133" i="19"/>
  <c r="R133" i="19"/>
  <c r="T148" i="19"/>
  <c r="S148" i="19"/>
  <c r="R148" i="19"/>
  <c r="W148" i="19"/>
  <c r="T132" i="19"/>
  <c r="S132" i="19"/>
  <c r="R132" i="19"/>
  <c r="W132" i="19"/>
  <c r="S151" i="19"/>
  <c r="R151" i="19"/>
  <c r="W151" i="19"/>
  <c r="T151" i="19"/>
  <c r="S119" i="19"/>
  <c r="R119" i="19"/>
  <c r="W119" i="19"/>
  <c r="T119" i="19"/>
  <c r="W110" i="19"/>
  <c r="T110" i="19"/>
  <c r="S110" i="19"/>
  <c r="R110" i="19"/>
  <c r="W122" i="19"/>
  <c r="T122" i="19"/>
  <c r="S122" i="19"/>
  <c r="R122" i="19"/>
  <c r="R111" i="19"/>
  <c r="T111" i="19"/>
  <c r="S111" i="19"/>
  <c r="W111" i="19"/>
  <c r="W98" i="19"/>
  <c r="T98" i="19"/>
  <c r="R98" i="19"/>
  <c r="S98" i="19"/>
  <c r="W138" i="19"/>
  <c r="T138" i="19"/>
  <c r="S138" i="19"/>
  <c r="R138" i="19"/>
  <c r="W134" i="19"/>
  <c r="T134" i="19"/>
  <c r="R134" i="19"/>
  <c r="S134" i="19"/>
  <c r="W121" i="19"/>
  <c r="T121" i="19"/>
  <c r="S121" i="19"/>
  <c r="R121" i="19"/>
  <c r="T108" i="19"/>
  <c r="S108" i="19"/>
  <c r="R108" i="19"/>
  <c r="W108" i="19"/>
  <c r="W101" i="19"/>
  <c r="T101" i="19"/>
  <c r="S101" i="19"/>
  <c r="R101" i="19"/>
  <c r="W97" i="19"/>
  <c r="T97" i="19"/>
  <c r="S97" i="19"/>
  <c r="R97" i="19"/>
  <c r="W24" i="19"/>
  <c r="S24" i="19"/>
  <c r="T24" i="19"/>
  <c r="R24" i="19"/>
  <c r="W145" i="19"/>
  <c r="T145" i="19"/>
  <c r="S145" i="19"/>
  <c r="R145" i="19"/>
  <c r="R127" i="19"/>
  <c r="S127" i="19"/>
  <c r="W127" i="19"/>
  <c r="T127" i="19"/>
  <c r="W113" i="19"/>
  <c r="T113" i="19"/>
  <c r="R113" i="19"/>
  <c r="S113" i="19"/>
  <c r="W106" i="19"/>
  <c r="S106" i="19"/>
  <c r="R106" i="19"/>
  <c r="T106" i="19"/>
  <c r="E244" i="44"/>
  <c r="T144" i="19"/>
  <c r="S144" i="19"/>
  <c r="W144" i="19"/>
  <c r="R144" i="19"/>
  <c r="W126" i="19"/>
  <c r="T126" i="19"/>
  <c r="S126" i="19"/>
  <c r="R126" i="19"/>
  <c r="T112" i="19"/>
  <c r="S112" i="19"/>
  <c r="W112" i="19"/>
  <c r="R112" i="19"/>
  <c r="W105" i="19"/>
  <c r="T105" i="19"/>
  <c r="S105" i="19"/>
  <c r="R105" i="19"/>
  <c r="T147" i="19"/>
  <c r="R147" i="19"/>
  <c r="W147" i="19"/>
  <c r="S147" i="19"/>
  <c r="W129" i="19"/>
  <c r="T129" i="19"/>
  <c r="S129" i="19"/>
  <c r="R129" i="19"/>
  <c r="T76" i="19"/>
  <c r="S76" i="19"/>
  <c r="W76" i="19"/>
  <c r="R76" i="19"/>
  <c r="Q71" i="19"/>
  <c r="Y71" i="19" s="1"/>
  <c r="Q84" i="19"/>
  <c r="Y84" i="19" s="1"/>
  <c r="Q49" i="19"/>
  <c r="Y49" i="19" s="1"/>
  <c r="Q37" i="19"/>
  <c r="Y37" i="19" s="1"/>
  <c r="Q25" i="19"/>
  <c r="Y25" i="19" s="1"/>
  <c r="Q17" i="19"/>
  <c r="Y17" i="19" s="1"/>
  <c r="E168" i="22"/>
  <c r="Q184" i="19"/>
  <c r="Y184" i="19" s="1"/>
  <c r="E255" i="42"/>
  <c r="E241" i="44"/>
  <c r="E244" i="22"/>
  <c r="E334" i="42"/>
  <c r="Q176" i="19"/>
  <c r="Y176" i="19" s="1"/>
  <c r="E295" i="40"/>
  <c r="E158" i="22"/>
  <c r="E154" i="40"/>
  <c r="E146" i="42"/>
  <c r="E116" i="42"/>
  <c r="E85" i="42"/>
  <c r="E206" i="44"/>
  <c r="E331" i="42"/>
  <c r="E325" i="22"/>
  <c r="E320" i="40"/>
  <c r="E320" i="44"/>
  <c r="E316" i="40"/>
  <c r="E316" i="44"/>
  <c r="E312" i="40"/>
  <c r="E312" i="44"/>
  <c r="E308" i="40"/>
  <c r="E308" i="44"/>
  <c r="E304" i="40"/>
  <c r="E304" i="44"/>
  <c r="E300" i="40"/>
  <c r="E300" i="44"/>
  <c r="E294" i="40"/>
  <c r="E285" i="42"/>
  <c r="E281" i="22"/>
  <c r="E277" i="40"/>
  <c r="E277" i="44"/>
  <c r="E269" i="42"/>
  <c r="E260" i="40"/>
  <c r="E260" i="44"/>
  <c r="E259" i="44" s="1"/>
  <c r="E200" i="42"/>
  <c r="E182" i="42"/>
  <c r="E173" i="42"/>
  <c r="E167" i="42"/>
  <c r="E161" i="42"/>
  <c r="E157" i="22"/>
  <c r="E153" i="40"/>
  <c r="E153" i="44"/>
  <c r="E145" i="42"/>
  <c r="E123" i="42"/>
  <c r="E141" i="22"/>
  <c r="E128" i="42"/>
  <c r="E112" i="42"/>
  <c r="E108" i="42"/>
  <c r="E97" i="42"/>
  <c r="E92" i="40"/>
  <c r="E91" i="40" s="1"/>
  <c r="E92" i="44"/>
  <c r="E252" i="22"/>
  <c r="E298" i="44"/>
  <c r="E114" i="44"/>
  <c r="E324" i="42"/>
  <c r="E292" i="22"/>
  <c r="E288" i="40"/>
  <c r="E288" i="44"/>
  <c r="E280" i="42"/>
  <c r="E272" i="40"/>
  <c r="E272" i="44"/>
  <c r="E264" i="42"/>
  <c r="E239" i="22"/>
  <c r="E235" i="40"/>
  <c r="E235" i="44"/>
  <c r="E227" i="42"/>
  <c r="E185" i="42"/>
  <c r="E199" i="40"/>
  <c r="E199" i="44"/>
  <c r="E196" i="44"/>
  <c r="E181" i="44"/>
  <c r="E160" i="44"/>
  <c r="E152" i="42"/>
  <c r="E148" i="22"/>
  <c r="E144" i="40"/>
  <c r="E144" i="44"/>
  <c r="E122" i="40"/>
  <c r="E132" i="22"/>
  <c r="E125" i="40"/>
  <c r="E111" i="40"/>
  <c r="E111" i="44"/>
  <c r="E100" i="40"/>
  <c r="E100" i="44"/>
  <c r="E69" i="42"/>
  <c r="E73" i="44"/>
  <c r="E79" i="42"/>
  <c r="E76" i="40"/>
  <c r="E63" i="44"/>
  <c r="E59" i="40"/>
  <c r="E55" i="40"/>
  <c r="E51" i="40"/>
  <c r="E51" i="44"/>
  <c r="E322" i="44"/>
  <c r="E318" i="44"/>
  <c r="E314" i="44"/>
  <c r="E310" i="44"/>
  <c r="E306" i="44"/>
  <c r="E302" i="44"/>
  <c r="E282" i="44"/>
  <c r="E274" i="44"/>
  <c r="E266" i="44"/>
  <c r="E190" i="44"/>
  <c r="E174" i="44"/>
  <c r="E142" i="44"/>
  <c r="E138" i="44"/>
  <c r="E134" i="44"/>
  <c r="E70" i="44"/>
  <c r="E207" i="22"/>
  <c r="E323" i="22"/>
  <c r="E321" i="22"/>
  <c r="E319" i="22"/>
  <c r="E317" i="22"/>
  <c r="E315" i="22"/>
  <c r="E313" i="22"/>
  <c r="E311" i="22"/>
  <c r="E309" i="22"/>
  <c r="E307" i="22"/>
  <c r="E305" i="22"/>
  <c r="E303" i="22"/>
  <c r="E301" i="22"/>
  <c r="E296" i="22"/>
  <c r="O283" i="19"/>
  <c r="B291" i="44"/>
  <c r="E291" i="44"/>
  <c r="C295" i="43"/>
  <c r="B291" i="42"/>
  <c r="E291" i="42" s="1"/>
  <c r="C295" i="41"/>
  <c r="B291" i="40"/>
  <c r="E291" i="40" s="1"/>
  <c r="C295" i="21"/>
  <c r="C295" i="39"/>
  <c r="B291" i="22"/>
  <c r="E291" i="22" s="1"/>
  <c r="E287" i="40"/>
  <c r="E287" i="44"/>
  <c r="O267" i="19"/>
  <c r="B275" i="44"/>
  <c r="E275" i="44" s="1"/>
  <c r="C279" i="43"/>
  <c r="B275" i="42"/>
  <c r="E275" i="42" s="1"/>
  <c r="C279" i="41"/>
  <c r="B275" i="40"/>
  <c r="E275" i="40" s="1"/>
  <c r="C279" i="21"/>
  <c r="C279" i="39"/>
  <c r="B275" i="22"/>
  <c r="E275" i="22" s="1"/>
  <c r="E271" i="40"/>
  <c r="E271" i="44"/>
  <c r="E238" i="22"/>
  <c r="E218" i="40"/>
  <c r="E193" i="40"/>
  <c r="E193" i="44"/>
  <c r="E187" i="44"/>
  <c r="E178" i="40"/>
  <c r="E151" i="22"/>
  <c r="E151" i="42"/>
  <c r="E147" i="40"/>
  <c r="E147" i="44"/>
  <c r="E127" i="40"/>
  <c r="E137" i="42"/>
  <c r="E131" i="22"/>
  <c r="E139" i="40"/>
  <c r="E139" i="44"/>
  <c r="E110" i="40"/>
  <c r="E62" i="42"/>
  <c r="E58" i="40"/>
  <c r="E54" i="40"/>
  <c r="E50" i="40"/>
  <c r="E46" i="42"/>
  <c r="E38" i="40"/>
  <c r="E30" i="42"/>
  <c r="E26" i="40"/>
  <c r="E22" i="40"/>
  <c r="E84" i="42"/>
  <c r="B171" i="44"/>
  <c r="E171" i="44" s="1"/>
  <c r="C175" i="43"/>
  <c r="B171" i="42"/>
  <c r="E171" i="42" s="1"/>
  <c r="C175" i="41"/>
  <c r="B171" i="40"/>
  <c r="E171" i="40" s="1"/>
  <c r="C175" i="39"/>
  <c r="C175" i="21"/>
  <c r="B171" i="22"/>
  <c r="E171" i="22" s="1"/>
  <c r="C155" i="19"/>
  <c r="O163" i="19"/>
  <c r="E247" i="22"/>
  <c r="E250" i="40"/>
  <c r="O270" i="19"/>
  <c r="B278" i="44"/>
  <c r="E278" i="44" s="1"/>
  <c r="C282" i="43"/>
  <c r="B278" i="42"/>
  <c r="E278" i="42" s="1"/>
  <c r="C282" i="41"/>
  <c r="B278" i="40"/>
  <c r="E278" i="40"/>
  <c r="C282" i="39"/>
  <c r="C282" i="21"/>
  <c r="B278" i="22"/>
  <c r="E278" i="22" s="1"/>
  <c r="E237" i="40"/>
  <c r="E237" i="44"/>
  <c r="E168" i="42"/>
  <c r="E154" i="22"/>
  <c r="E150" i="40"/>
  <c r="E126" i="22"/>
  <c r="E81" i="42"/>
  <c r="E325" i="42"/>
  <c r="E320" i="22"/>
  <c r="E316" i="22"/>
  <c r="E312" i="22"/>
  <c r="E308" i="22"/>
  <c r="E304" i="22"/>
  <c r="E300" i="22"/>
  <c r="E294" i="22"/>
  <c r="O285" i="19"/>
  <c r="E289" i="40"/>
  <c r="E281" i="42"/>
  <c r="E277" i="22"/>
  <c r="E273" i="40"/>
  <c r="E273" i="44"/>
  <c r="E265" i="42"/>
  <c r="E260" i="22"/>
  <c r="E236" i="40"/>
  <c r="E236" i="44"/>
  <c r="E186" i="40"/>
  <c r="E157" i="42"/>
  <c r="E153" i="22"/>
  <c r="E149" i="44"/>
  <c r="E141" i="42"/>
  <c r="E133" i="40"/>
  <c r="E133" i="44"/>
  <c r="E128" i="40"/>
  <c r="E98" i="40"/>
  <c r="E98" i="42"/>
  <c r="E97" i="40"/>
  <c r="E97" i="44"/>
  <c r="E92" i="42"/>
  <c r="E252" i="42"/>
  <c r="E334" i="40"/>
  <c r="E288" i="22"/>
  <c r="E284" i="40"/>
  <c r="E276" i="42"/>
  <c r="E272" i="22"/>
  <c r="E239" i="42"/>
  <c r="E235" i="22"/>
  <c r="E231" i="40"/>
  <c r="E231" i="44"/>
  <c r="E199" i="22"/>
  <c r="E196" i="22"/>
  <c r="E181" i="22"/>
  <c r="E166" i="40"/>
  <c r="E160" i="22"/>
  <c r="E160" i="40"/>
  <c r="E156" i="40"/>
  <c r="E156" i="44"/>
  <c r="E148" i="42"/>
  <c r="E144" i="22"/>
  <c r="E140" i="40"/>
  <c r="E140" i="44"/>
  <c r="E132" i="42"/>
  <c r="E102" i="40"/>
  <c r="E71" i="40"/>
  <c r="E71" i="44"/>
  <c r="E75" i="42"/>
  <c r="E76" i="44"/>
  <c r="E83" i="42"/>
  <c r="E254" i="40"/>
  <c r="E74" i="44"/>
  <c r="E333" i="40"/>
  <c r="E333" i="44"/>
  <c r="E323" i="42"/>
  <c r="E321" i="42"/>
  <c r="E319" i="42"/>
  <c r="E317" i="42"/>
  <c r="E315" i="42"/>
  <c r="E313" i="42"/>
  <c r="E311" i="42"/>
  <c r="E309" i="42"/>
  <c r="E307" i="42"/>
  <c r="E305" i="42"/>
  <c r="E303" i="42"/>
  <c r="E301" i="42"/>
  <c r="E296" i="42"/>
  <c r="E287" i="22"/>
  <c r="E271" i="22"/>
  <c r="E230" i="40"/>
  <c r="E222" i="42"/>
  <c r="E218" i="22"/>
  <c r="E193" i="22"/>
  <c r="E187" i="22"/>
  <c r="E187" i="40"/>
  <c r="E178" i="22"/>
  <c r="E178" i="42"/>
  <c r="E198" i="40"/>
  <c r="E189" i="40"/>
  <c r="E189" i="44"/>
  <c r="E175" i="40"/>
  <c r="E175" i="44"/>
  <c r="E169" i="40"/>
  <c r="E169" i="44"/>
  <c r="E159" i="40"/>
  <c r="E159" i="44"/>
  <c r="E147" i="22"/>
  <c r="E127" i="44"/>
  <c r="E118" i="40"/>
  <c r="E131" i="42"/>
  <c r="E117" i="42"/>
  <c r="E139" i="22"/>
  <c r="E130" i="40"/>
  <c r="E119" i="44"/>
  <c r="E106" i="40"/>
  <c r="E66" i="42"/>
  <c r="E62" i="40"/>
  <c r="E46" i="40"/>
  <c r="E42" i="40"/>
  <c r="E34" i="42"/>
  <c r="E30" i="40"/>
  <c r="E18" i="42"/>
  <c r="E247" i="42"/>
  <c r="E243" i="40"/>
  <c r="E243" i="44"/>
  <c r="O82" i="19"/>
  <c r="T82" i="19" s="1"/>
  <c r="C94" i="43"/>
  <c r="B90" i="44"/>
  <c r="E90" i="44" s="1"/>
  <c r="B90" i="42"/>
  <c r="E90" i="42" s="1"/>
  <c r="C94" i="41"/>
  <c r="C94" i="21"/>
  <c r="C94" i="39"/>
  <c r="B90" i="22"/>
  <c r="E90" i="22" s="1"/>
  <c r="E237" i="22"/>
  <c r="E154" i="42"/>
  <c r="E150" i="22"/>
  <c r="E146" i="40"/>
  <c r="E129" i="40"/>
  <c r="E129" i="44"/>
  <c r="E116" i="40"/>
  <c r="E246" i="40"/>
  <c r="E194" i="44"/>
  <c r="E331" i="40"/>
  <c r="E320" i="42"/>
  <c r="E316" i="42"/>
  <c r="E312" i="42"/>
  <c r="E308" i="42"/>
  <c r="E304" i="42"/>
  <c r="E300" i="42"/>
  <c r="E289" i="22"/>
  <c r="E285" i="44"/>
  <c r="E277" i="42"/>
  <c r="E273" i="22"/>
  <c r="E269" i="44"/>
  <c r="E260" i="42"/>
  <c r="E236" i="22"/>
  <c r="E186" i="22"/>
  <c r="E200" i="44"/>
  <c r="E182" i="40"/>
  <c r="E173" i="40"/>
  <c r="E173" i="44"/>
  <c r="E167" i="44"/>
  <c r="E161" i="40"/>
  <c r="E161" i="44"/>
  <c r="E153" i="42"/>
  <c r="E149" i="22"/>
  <c r="E149" i="40"/>
  <c r="E145" i="40"/>
  <c r="E145" i="44"/>
  <c r="E123" i="40"/>
  <c r="E123" i="44"/>
  <c r="E141" i="40"/>
  <c r="E128" i="44"/>
  <c r="E112" i="40"/>
  <c r="E112" i="44"/>
  <c r="E108" i="44"/>
  <c r="E242" i="40"/>
  <c r="E324" i="40"/>
  <c r="E324" i="44"/>
  <c r="E288" i="42"/>
  <c r="E284" i="22"/>
  <c r="E280" i="40"/>
  <c r="E264" i="40"/>
  <c r="E264" i="44"/>
  <c r="E235" i="42"/>
  <c r="E227" i="40"/>
  <c r="E227" i="44"/>
  <c r="E185" i="40"/>
  <c r="E185" i="44"/>
  <c r="E199" i="42"/>
  <c r="E196" i="42"/>
  <c r="E181" i="42"/>
  <c r="E166" i="42"/>
  <c r="E160" i="42"/>
  <c r="E156" i="22"/>
  <c r="E152" i="44"/>
  <c r="E144" i="42"/>
  <c r="E122" i="42"/>
  <c r="E140" i="22"/>
  <c r="E120" i="40"/>
  <c r="E120" i="44"/>
  <c r="E132" i="40"/>
  <c r="E125" i="42"/>
  <c r="E100" i="42"/>
  <c r="E69" i="40"/>
  <c r="E69" i="44"/>
  <c r="E73" i="42"/>
  <c r="E79" i="40"/>
  <c r="E79" i="44"/>
  <c r="E63" i="42"/>
  <c r="E59" i="42"/>
  <c r="E55" i="42"/>
  <c r="E51" i="42"/>
  <c r="E47" i="40"/>
  <c r="E47" i="42"/>
  <c r="E39" i="42"/>
  <c r="E35" i="42"/>
  <c r="E31" i="42"/>
  <c r="E27" i="40"/>
  <c r="E27" i="42"/>
  <c r="E23" i="42"/>
  <c r="E19" i="42"/>
  <c r="E254" i="22"/>
  <c r="E78" i="44"/>
  <c r="E333" i="22"/>
  <c r="E330" i="40"/>
  <c r="E287" i="42"/>
  <c r="O275" i="19"/>
  <c r="B283" i="44"/>
  <c r="E283" i="44" s="1"/>
  <c r="C287" i="43"/>
  <c r="B283" i="42"/>
  <c r="E283" i="42" s="1"/>
  <c r="C287" i="41"/>
  <c r="B283" i="40"/>
  <c r="E283" i="40" s="1"/>
  <c r="C287" i="21"/>
  <c r="C287" i="39"/>
  <c r="B283" i="22"/>
  <c r="E283" i="22" s="1"/>
  <c r="E271" i="42"/>
  <c r="O259" i="19"/>
  <c r="B267" i="44"/>
  <c r="E267" i="44" s="1"/>
  <c r="C271" i="43"/>
  <c r="B267" i="42"/>
  <c r="E267" i="42" s="1"/>
  <c r="C271" i="41"/>
  <c r="B267" i="40"/>
  <c r="E267" i="40"/>
  <c r="C271" i="21"/>
  <c r="C271" i="39"/>
  <c r="B267" i="22"/>
  <c r="E267" i="22"/>
  <c r="E262" i="40"/>
  <c r="E230" i="22"/>
  <c r="E218" i="42"/>
  <c r="E193" i="42"/>
  <c r="E187" i="42"/>
  <c r="E198" i="22"/>
  <c r="E175" i="22"/>
  <c r="E169" i="22"/>
  <c r="E159" i="22"/>
  <c r="E155" i="40"/>
  <c r="E155" i="44"/>
  <c r="E147" i="42"/>
  <c r="E127" i="22"/>
  <c r="E137" i="40"/>
  <c r="E137" i="44"/>
  <c r="E131" i="40"/>
  <c r="E139" i="42"/>
  <c r="E130" i="22"/>
  <c r="E119" i="40"/>
  <c r="E110" i="42"/>
  <c r="E106" i="42"/>
  <c r="E54" i="42"/>
  <c r="E38" i="42"/>
  <c r="E22" i="42"/>
  <c r="E84" i="40"/>
  <c r="E84" i="44"/>
  <c r="E243" i="22"/>
  <c r="E89" i="44"/>
  <c r="C93" i="43"/>
  <c r="B89" i="42"/>
  <c r="E89" i="42" s="1"/>
  <c r="E88" i="42" s="1"/>
  <c r="B89" i="40"/>
  <c r="C93" i="39"/>
  <c r="C93" i="21"/>
  <c r="O162" i="19"/>
  <c r="D170" i="44"/>
  <c r="E170" i="44" s="1"/>
  <c r="D170" i="42"/>
  <c r="E170" i="42" s="1"/>
  <c r="D170" i="40"/>
  <c r="E170" i="40" s="1"/>
  <c r="D170" i="22"/>
  <c r="E170" i="22" s="1"/>
  <c r="E163" i="22" s="1"/>
  <c r="O278" i="19"/>
  <c r="B286" i="44"/>
  <c r="E286" i="44"/>
  <c r="C290" i="43"/>
  <c r="B286" i="42"/>
  <c r="E286" i="42" s="1"/>
  <c r="C290" i="41"/>
  <c r="B286" i="40"/>
  <c r="E286" i="40" s="1"/>
  <c r="C290" i="39"/>
  <c r="C290" i="21"/>
  <c r="B286" i="22"/>
  <c r="E286" i="22" s="1"/>
  <c r="O262" i="19"/>
  <c r="B270" i="44"/>
  <c r="E270" i="44" s="1"/>
  <c r="C274" i="43"/>
  <c r="B270" i="42"/>
  <c r="E270" i="42" s="1"/>
  <c r="C274" i="41"/>
  <c r="B270" i="40"/>
  <c r="E270" i="40"/>
  <c r="C274" i="39"/>
  <c r="C274" i="21"/>
  <c r="B270" i="22"/>
  <c r="E270" i="22"/>
  <c r="E237" i="42"/>
  <c r="E168" i="40"/>
  <c r="E168" i="44"/>
  <c r="E158" i="40"/>
  <c r="E150" i="42"/>
  <c r="E146" i="22"/>
  <c r="E143" i="22" s="1"/>
  <c r="O135" i="19"/>
  <c r="E129" i="22"/>
  <c r="E81" i="40"/>
  <c r="E81" i="44"/>
  <c r="E85" i="40"/>
  <c r="E85" i="44"/>
  <c r="E246" i="22"/>
  <c r="E331" i="22"/>
  <c r="E325" i="44"/>
  <c r="E289" i="42"/>
  <c r="E285" i="22"/>
  <c r="E281" i="44"/>
  <c r="E273" i="42"/>
  <c r="E269" i="22"/>
  <c r="E265" i="44"/>
  <c r="E236" i="42"/>
  <c r="E186" i="42"/>
  <c r="E182" i="22"/>
  <c r="E173" i="22"/>
  <c r="E167" i="40"/>
  <c r="E161" i="22"/>
  <c r="E157" i="40"/>
  <c r="E157" i="44"/>
  <c r="E149" i="42"/>
  <c r="E145" i="22"/>
  <c r="E141" i="44"/>
  <c r="E133" i="42"/>
  <c r="E242" i="22"/>
  <c r="E252" i="44"/>
  <c r="E298" i="42"/>
  <c r="E203" i="42"/>
  <c r="E202" i="42" s="1"/>
  <c r="E324" i="22"/>
  <c r="E292" i="40"/>
  <c r="E292" i="44"/>
  <c r="E284" i="42"/>
  <c r="E276" i="40"/>
  <c r="E264" i="22"/>
  <c r="E239" i="40"/>
  <c r="E239" i="44"/>
  <c r="E231" i="42"/>
  <c r="E227" i="22"/>
  <c r="E185" i="22"/>
  <c r="E156" i="42"/>
  <c r="E152" i="22"/>
  <c r="E152" i="40"/>
  <c r="E148" i="40"/>
  <c r="E148" i="44"/>
  <c r="E140" i="42"/>
  <c r="E132" i="44"/>
  <c r="E125" i="44"/>
  <c r="E111" i="42"/>
  <c r="E71" i="42"/>
  <c r="E75" i="40"/>
  <c r="E75" i="44"/>
  <c r="E76" i="42"/>
  <c r="E59" i="44"/>
  <c r="E55" i="44"/>
  <c r="E43" i="40"/>
  <c r="E35" i="40"/>
  <c r="E31" i="40"/>
  <c r="E27" i="44"/>
  <c r="E23" i="44"/>
  <c r="E19" i="40"/>
  <c r="E83" i="40"/>
  <c r="E83" i="44"/>
  <c r="E77" i="40"/>
  <c r="E77" i="44"/>
  <c r="E322" i="42"/>
  <c r="E318" i="42"/>
  <c r="E314" i="42"/>
  <c r="E310" i="42"/>
  <c r="E306" i="42"/>
  <c r="E302" i="42"/>
  <c r="E274" i="42"/>
  <c r="E266" i="42"/>
  <c r="E126" i="44"/>
  <c r="E82" i="44"/>
  <c r="E207" i="40"/>
  <c r="E207" i="44"/>
  <c r="E204" i="44" s="1"/>
  <c r="E333" i="42"/>
  <c r="E330" i="22"/>
  <c r="E323" i="40"/>
  <c r="E323" i="44"/>
  <c r="E321" i="40"/>
  <c r="E321" i="44"/>
  <c r="E319" i="40"/>
  <c r="E319" i="44"/>
  <c r="E317" i="40"/>
  <c r="E317" i="44"/>
  <c r="E315" i="40"/>
  <c r="E315" i="44"/>
  <c r="E313" i="40"/>
  <c r="E313" i="44"/>
  <c r="E311" i="40"/>
  <c r="E311" i="44"/>
  <c r="E309" i="40"/>
  <c r="E309" i="44"/>
  <c r="E307" i="40"/>
  <c r="E307" i="44"/>
  <c r="E305" i="40"/>
  <c r="E305" i="44"/>
  <c r="E303" i="40"/>
  <c r="E303" i="44"/>
  <c r="E301" i="40"/>
  <c r="E301" i="44"/>
  <c r="E296" i="40"/>
  <c r="E296" i="44"/>
  <c r="E262" i="22"/>
  <c r="E238" i="40"/>
  <c r="E222" i="40"/>
  <c r="E198" i="42"/>
  <c r="E189" i="42"/>
  <c r="E169" i="42"/>
  <c r="E159" i="42"/>
  <c r="E143" i="42" s="1"/>
  <c r="E155" i="22"/>
  <c r="E155" i="42"/>
  <c r="E151" i="40"/>
  <c r="E151" i="44"/>
  <c r="E127" i="42"/>
  <c r="E118" i="42"/>
  <c r="E137" i="22"/>
  <c r="E131" i="44"/>
  <c r="E117" i="40"/>
  <c r="E117" i="44"/>
  <c r="E130" i="42"/>
  <c r="E119" i="42"/>
  <c r="E101" i="42"/>
  <c r="E94" i="40"/>
  <c r="E66" i="40"/>
  <c r="E58" i="42"/>
  <c r="E42" i="42"/>
  <c r="E34" i="40"/>
  <c r="E26" i="42"/>
  <c r="E18" i="40"/>
  <c r="E245" i="40"/>
  <c r="E245" i="44"/>
  <c r="E247" i="40"/>
  <c r="E247" i="44"/>
  <c r="C79" i="19"/>
  <c r="O81" i="19"/>
  <c r="S81" i="19" s="1"/>
  <c r="E20" i="16"/>
  <c r="Q68" i="19"/>
  <c r="Y68" i="19" s="1"/>
  <c r="Q77" i="19"/>
  <c r="Y77" i="19" s="1"/>
  <c r="Q46" i="19"/>
  <c r="Y46" i="19" s="1"/>
  <c r="Q89" i="19"/>
  <c r="Y89" i="19"/>
  <c r="Q54" i="19"/>
  <c r="Y54" i="19" s="1"/>
  <c r="E293" i="44"/>
  <c r="J17" i="40"/>
  <c r="E204" i="42"/>
  <c r="E293" i="42"/>
  <c r="E204" i="40"/>
  <c r="Q106" i="19"/>
  <c r="Y106" i="19" s="1"/>
  <c r="Q108" i="19"/>
  <c r="Y108" i="19" s="1"/>
  <c r="Q134" i="19"/>
  <c r="Y134" i="19" s="1"/>
  <c r="Q122" i="19"/>
  <c r="Y122" i="19" s="1"/>
  <c r="Q133" i="19"/>
  <c r="Y133" i="19" s="1"/>
  <c r="Q40" i="19"/>
  <c r="Y40" i="19" s="1"/>
  <c r="Q75" i="19"/>
  <c r="Y75" i="19" s="1"/>
  <c r="Q149" i="19"/>
  <c r="Y149" i="19" s="1"/>
  <c r="Q141" i="19"/>
  <c r="Y141" i="19" s="1"/>
  <c r="Q73" i="19"/>
  <c r="Y73" i="19" s="1"/>
  <c r="Q43" i="19"/>
  <c r="Y43" i="19" s="1"/>
  <c r="Q99" i="19"/>
  <c r="Y99" i="19" s="1"/>
  <c r="Q136" i="19"/>
  <c r="Y136" i="19" s="1"/>
  <c r="Q152" i="19"/>
  <c r="Y152" i="19" s="1"/>
  <c r="Q78" i="19"/>
  <c r="Y78" i="19" s="1"/>
  <c r="Q100" i="19"/>
  <c r="Y100" i="19" s="1"/>
  <c r="Q104" i="19"/>
  <c r="Y104" i="19" s="1"/>
  <c r="Q120" i="19"/>
  <c r="Y120" i="19" s="1"/>
  <c r="Q153" i="19"/>
  <c r="Y153" i="19" s="1"/>
  <c r="Q56" i="19"/>
  <c r="Y56" i="19" s="1"/>
  <c r="O155" i="19"/>
  <c r="Q24" i="19"/>
  <c r="Y24" i="19" s="1"/>
  <c r="Q101" i="19"/>
  <c r="Y101" i="19" s="1"/>
  <c r="Q138" i="19"/>
  <c r="Y138" i="19" s="1"/>
  <c r="Q111" i="19"/>
  <c r="Y111" i="19" s="1"/>
  <c r="Q131" i="19"/>
  <c r="Y131" i="19" s="1"/>
  <c r="Q23" i="19"/>
  <c r="Y23" i="19" s="1"/>
  <c r="Q35" i="19"/>
  <c r="Y35" i="19" s="1"/>
  <c r="Q39" i="19"/>
  <c r="Y39" i="19" s="1"/>
  <c r="Q55" i="19"/>
  <c r="Y55" i="19" s="1"/>
  <c r="Q114" i="19"/>
  <c r="Y114" i="19" s="1"/>
  <c r="Q107" i="19"/>
  <c r="Y107" i="19" s="1"/>
  <c r="Q109" i="19"/>
  <c r="Y109" i="19" s="1"/>
  <c r="Q27" i="19"/>
  <c r="Y27" i="19" s="1"/>
  <c r="Q47" i="19"/>
  <c r="Y47" i="19" s="1"/>
  <c r="Q74" i="19"/>
  <c r="Y74" i="19" s="1"/>
  <c r="O80" i="19"/>
  <c r="W81" i="19"/>
  <c r="T81" i="19"/>
  <c r="R81" i="19"/>
  <c r="S135" i="19"/>
  <c r="R135" i="19"/>
  <c r="W135" i="19"/>
  <c r="T135" i="19"/>
  <c r="E293" i="22"/>
  <c r="Q132" i="19"/>
  <c r="Y132" i="19" s="1"/>
  <c r="Q148" i="19"/>
  <c r="Y148" i="19" s="1"/>
  <c r="Q15" i="19"/>
  <c r="Y15" i="19" s="1"/>
  <c r="Q31" i="19"/>
  <c r="Y31" i="19" s="1"/>
  <c r="Q103" i="19"/>
  <c r="Y103" i="19" s="1"/>
  <c r="Q140" i="19"/>
  <c r="Y140" i="19" s="1"/>
  <c r="W82" i="19"/>
  <c r="R82" i="19"/>
  <c r="S82" i="19"/>
  <c r="Q76" i="19"/>
  <c r="Y76" i="19" s="1"/>
  <c r="Q105" i="19"/>
  <c r="Y105" i="19" s="1"/>
  <c r="Q112" i="19"/>
  <c r="Y112" i="19" s="1"/>
  <c r="Q127" i="19"/>
  <c r="Y127" i="19" s="1"/>
  <c r="Q119" i="19"/>
  <c r="Y119" i="19" s="1"/>
  <c r="Q151" i="19"/>
  <c r="Y151" i="19" s="1"/>
  <c r="E259" i="22"/>
  <c r="E143" i="40"/>
  <c r="E88" i="44"/>
  <c r="E293" i="40"/>
  <c r="G16" i="16"/>
  <c r="T80" i="19"/>
  <c r="W80" i="19"/>
  <c r="R80" i="19" l="1"/>
  <c r="S80" i="19"/>
  <c r="Q113" i="19"/>
  <c r="Y113" i="19" s="1"/>
  <c r="Q145" i="19"/>
  <c r="Y145" i="19" s="1"/>
  <c r="Q139" i="19"/>
  <c r="Y139" i="19" s="1"/>
  <c r="Q19" i="19"/>
  <c r="Y19" i="19" s="1"/>
  <c r="Q51" i="19"/>
  <c r="Y51" i="19" s="1"/>
  <c r="Q118" i="19"/>
  <c r="Y118" i="19" s="1"/>
  <c r="Q123" i="19"/>
  <c r="Y123" i="19" s="1"/>
  <c r="Q69" i="19"/>
  <c r="Y69" i="19" s="1"/>
  <c r="Q125" i="19"/>
  <c r="Y125" i="19" s="1"/>
  <c r="E204" i="22"/>
  <c r="Q82" i="19"/>
  <c r="Y82" i="19" s="1"/>
  <c r="Q129" i="19"/>
  <c r="Y129" i="19" s="1"/>
  <c r="Q144" i="19"/>
  <c r="Y144" i="19" s="1"/>
  <c r="Q128" i="19"/>
  <c r="Y128" i="19" s="1"/>
  <c r="Q121" i="19"/>
  <c r="Y121" i="19" s="1"/>
  <c r="Q98" i="19"/>
  <c r="Y98" i="19" s="1"/>
  <c r="E95" i="42"/>
  <c r="E94" i="44"/>
  <c r="E91" i="44" s="1"/>
  <c r="S14" i="19"/>
  <c r="Q14" i="19" s="1"/>
  <c r="Y14" i="19" s="1"/>
  <c r="C164" i="19"/>
  <c r="T34" i="19"/>
  <c r="W34" i="19"/>
  <c r="T18" i="19"/>
  <c r="R18" i="19"/>
  <c r="Q18" i="19" s="1"/>
  <c r="Y18" i="19" s="1"/>
  <c r="O236" i="19"/>
  <c r="H246" i="19"/>
  <c r="V246" i="19" s="1"/>
  <c r="C258" i="43"/>
  <c r="C258" i="21"/>
  <c r="B256" i="44"/>
  <c r="C260" i="41"/>
  <c r="B256" i="22"/>
  <c r="D248" i="19"/>
  <c r="R248" i="19" s="1"/>
  <c r="B256" i="40"/>
  <c r="Q200" i="19"/>
  <c r="Y200" i="19" s="1"/>
  <c r="O42" i="19"/>
  <c r="C54" i="43"/>
  <c r="C54" i="39"/>
  <c r="B50" i="42"/>
  <c r="E50" i="42" s="1"/>
  <c r="C54" i="21"/>
  <c r="O93" i="19"/>
  <c r="C105" i="41"/>
  <c r="B101" i="44"/>
  <c r="E101" i="44" s="1"/>
  <c r="B101" i="40"/>
  <c r="E101" i="40" s="1"/>
  <c r="R88" i="19"/>
  <c r="E146" i="44"/>
  <c r="E143" i="44" s="1"/>
  <c r="E103" i="44"/>
  <c r="H236" i="19"/>
  <c r="V236" i="19" s="1"/>
  <c r="Q236" i="19" s="1"/>
  <c r="Y236" i="19" s="1"/>
  <c r="U81" i="19"/>
  <c r="U80" i="19" s="1"/>
  <c r="D89" i="40"/>
  <c r="E89" i="40" s="1"/>
  <c r="E88" i="40" s="1"/>
  <c r="R58" i="19"/>
  <c r="Q58" i="19" s="1"/>
  <c r="Y58" i="19" s="1"/>
  <c r="W58" i="19"/>
  <c r="T58" i="19"/>
  <c r="S30" i="19"/>
  <c r="W30" i="19"/>
  <c r="W21" i="19"/>
  <c r="T21" i="19"/>
  <c r="Q21" i="19" s="1"/>
  <c r="Y21" i="19" s="1"/>
  <c r="S155" i="19"/>
  <c r="Q155" i="19" s="1"/>
  <c r="Y155" i="19" s="1"/>
  <c r="Q162" i="19"/>
  <c r="Y162" i="19" s="1"/>
  <c r="O11" i="19"/>
  <c r="B19" i="44"/>
  <c r="E19" i="44" s="1"/>
  <c r="C23" i="21"/>
  <c r="C27" i="43"/>
  <c r="B23" i="40"/>
  <c r="E23" i="40" s="1"/>
  <c r="C31" i="43"/>
  <c r="C31" i="21"/>
  <c r="B31" i="44"/>
  <c r="E31" i="44" s="1"/>
  <c r="C35" i="21"/>
  <c r="B35" i="44"/>
  <c r="E35" i="44" s="1"/>
  <c r="C39" i="21"/>
  <c r="B39" i="44"/>
  <c r="E39" i="44" s="1"/>
  <c r="B39" i="40"/>
  <c r="E39" i="40" s="1"/>
  <c r="B43" i="44"/>
  <c r="E43" i="44" s="1"/>
  <c r="C47" i="21"/>
  <c r="B47" i="44"/>
  <c r="E47" i="44" s="1"/>
  <c r="C51" i="21"/>
  <c r="T63" i="19"/>
  <c r="R63" i="19"/>
  <c r="O86" i="19"/>
  <c r="B94" i="42"/>
  <c r="E94" i="42" s="1"/>
  <c r="C98" i="21"/>
  <c r="C98" i="41"/>
  <c r="S125" i="29"/>
  <c r="T125" i="29" s="1"/>
  <c r="W44" i="19"/>
  <c r="R44" i="19"/>
  <c r="Q44" i="19" s="1"/>
  <c r="Y44" i="19" s="1"/>
  <c r="T70" i="19"/>
  <c r="S70" i="19"/>
  <c r="B89" i="22"/>
  <c r="E89" i="22" s="1"/>
  <c r="E88" i="22" s="1"/>
  <c r="C93" i="41"/>
  <c r="E61" i="40"/>
  <c r="E45" i="40"/>
  <c r="E29" i="40"/>
  <c r="E52" i="40"/>
  <c r="E48" i="42"/>
  <c r="B276" i="44"/>
  <c r="E276" i="44" s="1"/>
  <c r="S34" i="19"/>
  <c r="Q34" i="19" s="1"/>
  <c r="Y34" i="19" s="1"/>
  <c r="D96" i="44"/>
  <c r="V88" i="19"/>
  <c r="I245" i="19"/>
  <c r="W245" i="19" s="1"/>
  <c r="O245" i="19"/>
  <c r="E245" i="19"/>
  <c r="S245" i="19" s="1"/>
  <c r="Q245" i="19" s="1"/>
  <c r="Y245" i="19" s="1"/>
  <c r="W41" i="19"/>
  <c r="T41" i="19"/>
  <c r="W45" i="19"/>
  <c r="T45" i="19"/>
  <c r="Q45" i="19" s="1"/>
  <c r="Y45" i="19" s="1"/>
  <c r="T48" i="19"/>
  <c r="W48" i="19"/>
  <c r="O9" i="19"/>
  <c r="C7" i="19"/>
  <c r="C3" i="19" s="1"/>
  <c r="O167" i="19"/>
  <c r="B175" i="42"/>
  <c r="E175" i="42" s="1"/>
  <c r="C179" i="21"/>
  <c r="Q295" i="19"/>
  <c r="Y295" i="19" s="1"/>
  <c r="D20" i="22"/>
  <c r="E20" i="22" s="1"/>
  <c r="U12" i="19"/>
  <c r="D74" i="22"/>
  <c r="E74" i="22" s="1"/>
  <c r="U66" i="19"/>
  <c r="D78" i="22"/>
  <c r="E78" i="22" s="1"/>
  <c r="V70" i="19"/>
  <c r="V195" i="19"/>
  <c r="V194" i="19" s="1"/>
  <c r="W195" i="19"/>
  <c r="W194" i="19" s="1"/>
  <c r="R195" i="19"/>
  <c r="S236" i="29"/>
  <c r="T236" i="29" s="1"/>
  <c r="S120" i="29"/>
  <c r="T120" i="29" s="1"/>
  <c r="S262" i="29"/>
  <c r="T262" i="29" s="1"/>
  <c r="S263" i="29"/>
  <c r="T263" i="29" s="1"/>
  <c r="T195" i="19"/>
  <c r="T194" i="19" s="1"/>
  <c r="D17" i="22"/>
  <c r="E17" i="22" s="1"/>
  <c r="U9" i="19"/>
  <c r="D58" i="22"/>
  <c r="E58" i="22" s="1"/>
  <c r="V50" i="19"/>
  <c r="Q50" i="19" s="1"/>
  <c r="Y50" i="19" s="1"/>
  <c r="R274" i="19"/>
  <c r="V274" i="19"/>
  <c r="W299" i="19"/>
  <c r="U299" i="19"/>
  <c r="V303" i="19"/>
  <c r="R303" i="19"/>
  <c r="S303" i="19"/>
  <c r="V307" i="19"/>
  <c r="R307" i="19"/>
  <c r="W307" i="19"/>
  <c r="U311" i="19"/>
  <c r="S311" i="19"/>
  <c r="U315" i="19"/>
  <c r="W315" i="19"/>
  <c r="R315" i="19"/>
  <c r="U321" i="19"/>
  <c r="W321" i="19"/>
  <c r="R321" i="19"/>
  <c r="B245" i="22"/>
  <c r="E245" i="22" s="1"/>
  <c r="C249" i="41"/>
  <c r="O235" i="19"/>
  <c r="C247" i="21"/>
  <c r="B243" i="42"/>
  <c r="E243" i="42" s="1"/>
  <c r="I238" i="19"/>
  <c r="W238" i="19" s="1"/>
  <c r="E237" i="19"/>
  <c r="S237" i="19" s="1"/>
  <c r="O240" i="19"/>
  <c r="S218" i="29"/>
  <c r="T218" i="29" s="1"/>
  <c r="S189" i="29"/>
  <c r="T189" i="29" s="1"/>
  <c r="S172" i="29"/>
  <c r="T172" i="29" s="1"/>
  <c r="S307" i="29"/>
  <c r="T307" i="29" s="1"/>
  <c r="S303" i="29"/>
  <c r="T303" i="29" s="1"/>
  <c r="S66" i="29"/>
  <c r="T66" i="29" s="1"/>
  <c r="S308" i="29"/>
  <c r="T308" i="29" s="1"/>
  <c r="O13" i="19"/>
  <c r="O57" i="19"/>
  <c r="U41" i="19"/>
  <c r="U57" i="19"/>
  <c r="U97" i="19"/>
  <c r="U102" i="19"/>
  <c r="U110" i="19"/>
  <c r="Q110" i="19" s="1"/>
  <c r="Y110" i="19" s="1"/>
  <c r="V130" i="19"/>
  <c r="Q130" i="19" s="1"/>
  <c r="Y130" i="19" s="1"/>
  <c r="V147" i="19"/>
  <c r="Q147" i="19" s="1"/>
  <c r="Y147" i="19" s="1"/>
  <c r="U195" i="19"/>
  <c r="U194" i="19" s="1"/>
  <c r="O66" i="19"/>
  <c r="V92" i="19"/>
  <c r="Q92" i="19" s="1"/>
  <c r="Y92" i="19" s="1"/>
  <c r="T280" i="19"/>
  <c r="T295" i="19"/>
  <c r="V299" i="19"/>
  <c r="U303" i="19"/>
  <c r="T307" i="19"/>
  <c r="R311" i="19"/>
  <c r="S315" i="19"/>
  <c r="U264" i="19"/>
  <c r="R268" i="19"/>
  <c r="R280" i="19"/>
  <c r="V67" i="19"/>
  <c r="V59" i="19" s="1"/>
  <c r="D44" i="22"/>
  <c r="E44" i="22" s="1"/>
  <c r="V36" i="19"/>
  <c r="O102" i="19"/>
  <c r="C249" i="39"/>
  <c r="B245" i="42"/>
  <c r="E245" i="42" s="1"/>
  <c r="O244" i="19"/>
  <c r="B250" i="22"/>
  <c r="E250" i="22" s="1"/>
  <c r="C254" i="41"/>
  <c r="C247" i="39"/>
  <c r="O85" i="19"/>
  <c r="C271" i="19"/>
  <c r="D240" i="19"/>
  <c r="R240" i="19" s="1"/>
  <c r="S265" i="19"/>
  <c r="W265" i="19"/>
  <c r="W255" i="19" s="1"/>
  <c r="Q282" i="19"/>
  <c r="Y282" i="19" s="1"/>
  <c r="V239" i="19"/>
  <c r="E240" i="19"/>
  <c r="S240" i="19" s="1"/>
  <c r="O170" i="19"/>
  <c r="D238" i="19"/>
  <c r="R238" i="19" s="1"/>
  <c r="O195" i="19"/>
  <c r="O194" i="19" s="1"/>
  <c r="V38" i="19"/>
  <c r="S253" i="19"/>
  <c r="V253" i="19"/>
  <c r="V251" i="19" s="1"/>
  <c r="V146" i="19"/>
  <c r="Q146" i="19" s="1"/>
  <c r="Y146" i="19" s="1"/>
  <c r="U150" i="19"/>
  <c r="Q150" i="19" s="1"/>
  <c r="Y150" i="19" s="1"/>
  <c r="U142" i="19"/>
  <c r="S239" i="19"/>
  <c r="H249" i="19"/>
  <c r="V249" i="19" s="1"/>
  <c r="R239" i="19"/>
  <c r="S122" i="29"/>
  <c r="T122" i="29" s="1"/>
  <c r="S104" i="29"/>
  <c r="T104" i="29" s="1"/>
  <c r="S73" i="29"/>
  <c r="T73" i="29" s="1"/>
  <c r="S22" i="29"/>
  <c r="T22" i="29" s="1"/>
  <c r="S302" i="29"/>
  <c r="T302" i="29" s="1"/>
  <c r="S283" i="29"/>
  <c r="T283" i="29" s="1"/>
  <c r="S271" i="29"/>
  <c r="T271" i="29" s="1"/>
  <c r="S268" i="29"/>
  <c r="T268" i="29" s="1"/>
  <c r="S264" i="29"/>
  <c r="T264" i="29" s="1"/>
  <c r="V16" i="19"/>
  <c r="U20" i="19"/>
  <c r="V26" i="19"/>
  <c r="Q26" i="19" s="1"/>
  <c r="Y26" i="19" s="1"/>
  <c r="V126" i="19"/>
  <c r="Q126" i="19" s="1"/>
  <c r="Y126" i="19" s="1"/>
  <c r="V143" i="19"/>
  <c r="O91" i="19"/>
  <c r="O299" i="19"/>
  <c r="O303" i="19"/>
  <c r="O307" i="19"/>
  <c r="O311" i="19"/>
  <c r="O315" i="19"/>
  <c r="R299" i="19"/>
  <c r="W303" i="19"/>
  <c r="U307" i="19"/>
  <c r="T311" i="19"/>
  <c r="T315" i="19"/>
  <c r="S321" i="19"/>
  <c r="U67" i="19"/>
  <c r="Q67" i="19" s="1"/>
  <c r="Y67" i="19" s="1"/>
  <c r="D56" i="22"/>
  <c r="E56" i="22" s="1"/>
  <c r="U48" i="19"/>
  <c r="U276" i="19"/>
  <c r="V276" i="19"/>
  <c r="W286" i="19"/>
  <c r="W285" i="19" s="1"/>
  <c r="S286" i="19"/>
  <c r="T286" i="19"/>
  <c r="T285" i="19" s="1"/>
  <c r="W292" i="19"/>
  <c r="S292" i="19"/>
  <c r="D257" i="44"/>
  <c r="E257" i="44" s="1"/>
  <c r="D257" i="42"/>
  <c r="E257" i="42" s="1"/>
  <c r="D257" i="40"/>
  <c r="E257" i="40" s="1"/>
  <c r="W328" i="19"/>
  <c r="S328" i="19"/>
  <c r="W332" i="19"/>
  <c r="S332" i="19"/>
  <c r="R4" i="19"/>
  <c r="Q5" i="19"/>
  <c r="Y5" i="19" s="1"/>
  <c r="R180" i="19"/>
  <c r="U180" i="19"/>
  <c r="D188" i="44"/>
  <c r="E188" i="44" s="1"/>
  <c r="D188" i="42"/>
  <c r="E188" i="42" s="1"/>
  <c r="D188" i="40"/>
  <c r="E188" i="40" s="1"/>
  <c r="D326" i="40"/>
  <c r="E326" i="40" s="1"/>
  <c r="D336" i="40"/>
  <c r="E336" i="40" s="1"/>
  <c r="D340" i="40"/>
  <c r="E340" i="40" s="1"/>
  <c r="D326" i="44"/>
  <c r="E326" i="44" s="1"/>
  <c r="E297" i="44" s="1"/>
  <c r="D336" i="44"/>
  <c r="E336" i="44" s="1"/>
  <c r="D340" i="44"/>
  <c r="E340" i="44" s="1"/>
  <c r="R173" i="19"/>
  <c r="V173" i="19"/>
  <c r="S174" i="29"/>
  <c r="T174" i="29" s="1"/>
  <c r="S138" i="29"/>
  <c r="T138" i="29" s="1"/>
  <c r="S108" i="29"/>
  <c r="T108" i="29" s="1"/>
  <c r="S105" i="29"/>
  <c r="T105" i="29" s="1"/>
  <c r="S102" i="29"/>
  <c r="T102" i="29" s="1"/>
  <c r="S70" i="29"/>
  <c r="T70" i="29" s="1"/>
  <c r="S44" i="29"/>
  <c r="T44" i="29" s="1"/>
  <c r="S282" i="29"/>
  <c r="T282" i="29" s="1"/>
  <c r="S275" i="29"/>
  <c r="T275" i="29" s="1"/>
  <c r="S270" i="29"/>
  <c r="T270" i="29" s="1"/>
  <c r="S267" i="29"/>
  <c r="T267" i="29" s="1"/>
  <c r="O12" i="19"/>
  <c r="O16" i="19"/>
  <c r="O20" i="19"/>
  <c r="O32" i="19"/>
  <c r="O36" i="19"/>
  <c r="O52" i="19"/>
  <c r="V116" i="19"/>
  <c r="V95" i="19" s="1"/>
  <c r="O174" i="19"/>
  <c r="T260" i="19"/>
  <c r="Q260" i="19" s="1"/>
  <c r="Y260" i="19" s="1"/>
  <c r="T264" i="19"/>
  <c r="Q264" i="19" s="1"/>
  <c r="Y264" i="19" s="1"/>
  <c r="T268" i="19"/>
  <c r="T272" i="19"/>
  <c r="Q272" i="19" s="1"/>
  <c r="Y272" i="19" s="1"/>
  <c r="T276" i="19"/>
  <c r="Q276" i="19" s="1"/>
  <c r="Y276" i="19" s="1"/>
  <c r="V318" i="19"/>
  <c r="Q318" i="19" s="1"/>
  <c r="Y318" i="19" s="1"/>
  <c r="R328" i="19"/>
  <c r="Q328" i="19" s="1"/>
  <c r="Y328" i="19" s="1"/>
  <c r="V332" i="19"/>
  <c r="W180" i="19"/>
  <c r="R18" i="36"/>
  <c r="N18" i="36" s="1"/>
  <c r="W312" i="19"/>
  <c r="S312" i="19"/>
  <c r="W316" i="19"/>
  <c r="S316" i="19"/>
  <c r="Q316" i="19" s="1"/>
  <c r="Y316" i="19" s="1"/>
  <c r="W322" i="19"/>
  <c r="S322" i="19"/>
  <c r="D334" i="22"/>
  <c r="E334" i="22" s="1"/>
  <c r="E297" i="22" s="1"/>
  <c r="W326" i="19"/>
  <c r="S326" i="19"/>
  <c r="Q326" i="19" s="1"/>
  <c r="Y326" i="19" s="1"/>
  <c r="D124" i="40"/>
  <c r="E124" i="40" s="1"/>
  <c r="E103" i="40" s="1"/>
  <c r="D213" i="44"/>
  <c r="D213" i="42"/>
  <c r="E213" i="42" s="1"/>
  <c r="O205" i="19"/>
  <c r="O204" i="19" s="1"/>
  <c r="D213" i="22"/>
  <c r="T353" i="19"/>
  <c r="R230" i="19"/>
  <c r="Q230" i="19" s="1"/>
  <c r="Y230" i="19" s="1"/>
  <c r="V230" i="19"/>
  <c r="R226" i="19"/>
  <c r="W226" i="19"/>
  <c r="S226" i="19"/>
  <c r="D234" i="44"/>
  <c r="E234" i="44" s="1"/>
  <c r="D234" i="42"/>
  <c r="E234" i="42" s="1"/>
  <c r="D234" i="40"/>
  <c r="E234" i="40" s="1"/>
  <c r="R221" i="19"/>
  <c r="Q221" i="19" s="1"/>
  <c r="Y221" i="19" s="1"/>
  <c r="U221" i="19"/>
  <c r="R190" i="19"/>
  <c r="V190" i="19"/>
  <c r="D188" i="22"/>
  <c r="E188" i="22" s="1"/>
  <c r="D326" i="22"/>
  <c r="E326" i="22" s="1"/>
  <c r="D336" i="22"/>
  <c r="E336" i="22" s="1"/>
  <c r="D340" i="22"/>
  <c r="E340" i="22" s="1"/>
  <c r="D326" i="42"/>
  <c r="E326" i="42" s="1"/>
  <c r="E297" i="42" s="1"/>
  <c r="D336" i="42"/>
  <c r="E336" i="42" s="1"/>
  <c r="D340" i="42"/>
  <c r="E340" i="42" s="1"/>
  <c r="D68" i="44"/>
  <c r="E68" i="44" s="1"/>
  <c r="E67" i="44" s="1"/>
  <c r="D68" i="42"/>
  <c r="E68" i="42" s="1"/>
  <c r="E67" i="42" s="1"/>
  <c r="D68" i="40"/>
  <c r="E68" i="40" s="1"/>
  <c r="E67" i="40" s="1"/>
  <c r="D68" i="22"/>
  <c r="E68" i="22" s="1"/>
  <c r="E67" i="22" s="1"/>
  <c r="D256" i="44"/>
  <c r="D256" i="42"/>
  <c r="E256" i="42" s="1"/>
  <c r="E240" i="42" s="1"/>
  <c r="D256" i="40"/>
  <c r="D256" i="22"/>
  <c r="E213" i="40"/>
  <c r="B13" i="22"/>
  <c r="E13" i="22" s="1"/>
  <c r="E12" i="22" s="1"/>
  <c r="E16" i="16" s="1"/>
  <c r="B13" i="40"/>
  <c r="E13" i="40" s="1"/>
  <c r="E12" i="40" s="1"/>
  <c r="E17" i="16" s="1"/>
  <c r="B13" i="42"/>
  <c r="W353" i="19"/>
  <c r="R225" i="19"/>
  <c r="Q225" i="19" s="1"/>
  <c r="Y225" i="19" s="1"/>
  <c r="D233" i="44"/>
  <c r="E233" i="44" s="1"/>
  <c r="D233" i="42"/>
  <c r="E233" i="42" s="1"/>
  <c r="D233" i="40"/>
  <c r="E233" i="40" s="1"/>
  <c r="D233" i="22"/>
  <c r="E233" i="22" s="1"/>
  <c r="T225" i="19"/>
  <c r="R220" i="19"/>
  <c r="V220" i="19"/>
  <c r="R216" i="19"/>
  <c r="Q216" i="19" s="1"/>
  <c r="Y216" i="19" s="1"/>
  <c r="T216" i="19"/>
  <c r="R212" i="19"/>
  <c r="V212" i="19"/>
  <c r="R189" i="19"/>
  <c r="Q189" i="19" s="1"/>
  <c r="Y189" i="19" s="1"/>
  <c r="W189" i="19"/>
  <c r="S189" i="19"/>
  <c r="E213" i="22"/>
  <c r="E259" i="42"/>
  <c r="E163" i="44"/>
  <c r="E259" i="40"/>
  <c r="E163" i="42"/>
  <c r="G18" i="16" s="1"/>
  <c r="T9" i="19"/>
  <c r="R9" i="19"/>
  <c r="W9" i="19"/>
  <c r="S9" i="19"/>
  <c r="E163" i="40"/>
  <c r="E95" i="40"/>
  <c r="E95" i="22"/>
  <c r="E91" i="42"/>
  <c r="Q244" i="19"/>
  <c r="Y244" i="19" s="1"/>
  <c r="W10" i="19"/>
  <c r="S10" i="19"/>
  <c r="T10" i="19"/>
  <c r="R10" i="19"/>
  <c r="Q10" i="19" s="1"/>
  <c r="Y10" i="19" s="1"/>
  <c r="Q239" i="19"/>
  <c r="Y239" i="19" s="1"/>
  <c r="E96" i="44"/>
  <c r="E95" i="44" s="1"/>
  <c r="Q38" i="19"/>
  <c r="Y38" i="19" s="1"/>
  <c r="D249" i="19"/>
  <c r="R249" i="19" s="1"/>
  <c r="Q249" i="19" s="1"/>
  <c r="Y249" i="19" s="1"/>
  <c r="O237" i="19"/>
  <c r="D241" i="19"/>
  <c r="R241" i="19" s="1"/>
  <c r="R232" i="19" s="1"/>
  <c r="E247" i="19"/>
  <c r="S247" i="19" s="1"/>
  <c r="O249" i="19"/>
  <c r="O247" i="19"/>
  <c r="G241" i="19"/>
  <c r="U241" i="19" s="1"/>
  <c r="U232" i="19" s="1"/>
  <c r="G247" i="19"/>
  <c r="U247" i="19" s="1"/>
  <c r="Q250" i="19"/>
  <c r="Y250" i="19" s="1"/>
  <c r="S174" i="19"/>
  <c r="U175" i="19"/>
  <c r="R177" i="19"/>
  <c r="U177" i="19"/>
  <c r="E289" i="44"/>
  <c r="Q240" i="19"/>
  <c r="Y240" i="19" s="1"/>
  <c r="Q65" i="19"/>
  <c r="Y65" i="19" s="1"/>
  <c r="Q61" i="19"/>
  <c r="Y61" i="19" s="1"/>
  <c r="Q72" i="19"/>
  <c r="Y72" i="19" s="1"/>
  <c r="S27" i="29"/>
  <c r="T27" i="29" s="1"/>
  <c r="S55" i="29"/>
  <c r="T55" i="29" s="1"/>
  <c r="S79" i="29"/>
  <c r="T79" i="29" s="1"/>
  <c r="S281" i="29"/>
  <c r="T281" i="29" s="1"/>
  <c r="S301" i="29"/>
  <c r="T301" i="29" s="1"/>
  <c r="R178" i="19"/>
  <c r="W178" i="19"/>
  <c r="E18" i="38"/>
  <c r="E17" i="38" s="1"/>
  <c r="E11" i="38" s="1"/>
  <c r="O179" i="19"/>
  <c r="N37" i="36"/>
  <c r="K183" i="19"/>
  <c r="K224" i="19"/>
  <c r="O5" i="19"/>
  <c r="O4" i="19" s="1"/>
  <c r="B213" i="44"/>
  <c r="E213" i="44" s="1"/>
  <c r="B13" i="44"/>
  <c r="E13" i="42"/>
  <c r="E12" i="42" s="1"/>
  <c r="E18" i="16" s="1"/>
  <c r="L11" i="36"/>
  <c r="L10" i="36" s="1"/>
  <c r="G17" i="16"/>
  <c r="Q234" i="19"/>
  <c r="Y234" i="19" s="1"/>
  <c r="Q80" i="19"/>
  <c r="Y80" i="19" s="1"/>
  <c r="Q246" i="19"/>
  <c r="Y246" i="19" s="1"/>
  <c r="E91" i="22"/>
  <c r="E16" i="40"/>
  <c r="Q235" i="19"/>
  <c r="Y235" i="19" s="1"/>
  <c r="E16" i="42"/>
  <c r="E103" i="42"/>
  <c r="E87" i="42" s="1"/>
  <c r="W232" i="19"/>
  <c r="Q243" i="19"/>
  <c r="Y243" i="19" s="1"/>
  <c r="G19" i="16"/>
  <c r="Q233" i="19"/>
  <c r="Y233" i="19" s="1"/>
  <c r="V232" i="19"/>
  <c r="J17" i="44"/>
  <c r="G17" i="44"/>
  <c r="E16" i="44"/>
  <c r="E103" i="22"/>
  <c r="E297" i="40"/>
  <c r="Q248" i="19"/>
  <c r="Y248" i="19" s="1"/>
  <c r="Q242" i="19"/>
  <c r="Y242" i="19" s="1"/>
  <c r="S232" i="19"/>
  <c r="Q238" i="19"/>
  <c r="Y238" i="19" s="1"/>
  <c r="Q237" i="19"/>
  <c r="Y237" i="19" s="1"/>
  <c r="R354" i="19"/>
  <c r="T346" i="19"/>
  <c r="T354" i="19"/>
  <c r="V354" i="19"/>
  <c r="V346" i="19"/>
  <c r="O11" i="36"/>
  <c r="P11" i="36"/>
  <c r="P10" i="36" s="1"/>
  <c r="P3" i="36" s="1"/>
  <c r="P45" i="36" s="1"/>
  <c r="P48" i="36" s="1"/>
  <c r="V353" i="19"/>
  <c r="V344" i="19"/>
  <c r="S353" i="19"/>
  <c r="S344" i="19"/>
  <c r="S354" i="19"/>
  <c r="S346" i="19"/>
  <c r="U354" i="19"/>
  <c r="U356" i="19" s="1"/>
  <c r="U346" i="19"/>
  <c r="W354" i="19"/>
  <c r="W356" i="19" s="1"/>
  <c r="W346" i="19"/>
  <c r="T356" i="19"/>
  <c r="D13" i="44"/>
  <c r="E13" i="44" s="1"/>
  <c r="E12" i="44" s="1"/>
  <c r="L7" i="36"/>
  <c r="T7" i="36" s="1"/>
  <c r="N7" i="36" s="1"/>
  <c r="L8" i="36"/>
  <c r="T8" i="36" s="1"/>
  <c r="N8" i="36" s="1"/>
  <c r="L5" i="36"/>
  <c r="R170" i="19"/>
  <c r="C260" i="19"/>
  <c r="L6" i="36"/>
  <c r="T6" i="36" s="1"/>
  <c r="N6" i="36" s="1"/>
  <c r="E87" i="40" l="1"/>
  <c r="J17" i="22"/>
  <c r="E16" i="22"/>
  <c r="E15" i="22" s="1"/>
  <c r="G17" i="22"/>
  <c r="R20" i="19"/>
  <c r="W20" i="19"/>
  <c r="T20" i="19"/>
  <c r="S20" i="19"/>
  <c r="R353" i="19"/>
  <c r="R356" i="19" s="1"/>
  <c r="R344" i="19"/>
  <c r="Q4" i="19"/>
  <c r="Q292" i="19"/>
  <c r="Y292" i="19" s="1"/>
  <c r="S289" i="19"/>
  <c r="O289" i="19"/>
  <c r="S85" i="19"/>
  <c r="O83" i="19"/>
  <c r="R85" i="19"/>
  <c r="W85" i="19"/>
  <c r="T85" i="19"/>
  <c r="Q268" i="19"/>
  <c r="Y268" i="19" s="1"/>
  <c r="R255" i="19"/>
  <c r="Q97" i="19"/>
  <c r="Y97" i="19" s="1"/>
  <c r="U95" i="19"/>
  <c r="T13" i="19"/>
  <c r="S13" i="19"/>
  <c r="R13" i="19"/>
  <c r="Q13" i="19" s="1"/>
  <c r="Y13" i="19" s="1"/>
  <c r="W13" i="19"/>
  <c r="Q321" i="19"/>
  <c r="Y321" i="19" s="1"/>
  <c r="Q303" i="19"/>
  <c r="Y303" i="19" s="1"/>
  <c r="V255" i="19"/>
  <c r="U8" i="19"/>
  <c r="U7" i="19" s="1"/>
  <c r="U59" i="19"/>
  <c r="Q116" i="19"/>
  <c r="Y116" i="19" s="1"/>
  <c r="Q11" i="36"/>
  <c r="Q10" i="36" s="1"/>
  <c r="Q3" i="36" s="1"/>
  <c r="Q45" i="36" s="1"/>
  <c r="Q48" i="36" s="1"/>
  <c r="R11" i="36"/>
  <c r="R10" i="36" s="1"/>
  <c r="R3" i="36" s="1"/>
  <c r="R45" i="36" s="1"/>
  <c r="R48" i="36" s="1"/>
  <c r="R52" i="19"/>
  <c r="W52" i="19"/>
  <c r="T52" i="19"/>
  <c r="S52" i="19"/>
  <c r="W16" i="19"/>
  <c r="S16" i="19"/>
  <c r="T16" i="19"/>
  <c r="R16" i="19"/>
  <c r="Q332" i="19"/>
  <c r="Y332" i="19" s="1"/>
  <c r="W289" i="19"/>
  <c r="W91" i="19"/>
  <c r="S91" i="19"/>
  <c r="R91" i="19"/>
  <c r="T91" i="19"/>
  <c r="O87" i="19"/>
  <c r="Q265" i="19"/>
  <c r="Y265" i="19" s="1"/>
  <c r="S255" i="19"/>
  <c r="S102" i="19"/>
  <c r="T102" i="19"/>
  <c r="W102" i="19"/>
  <c r="O95" i="19"/>
  <c r="R102" i="19"/>
  <c r="Q102" i="19" s="1"/>
  <c r="Y102" i="19" s="1"/>
  <c r="U255" i="19"/>
  <c r="Q307" i="19"/>
  <c r="Y307" i="19" s="1"/>
  <c r="Q274" i="19"/>
  <c r="Y274" i="19" s="1"/>
  <c r="O8" i="19"/>
  <c r="S11" i="19"/>
  <c r="W11" i="19"/>
  <c r="T11" i="19"/>
  <c r="R11" i="19"/>
  <c r="Q11" i="19" s="1"/>
  <c r="Y11" i="19" s="1"/>
  <c r="E256" i="40"/>
  <c r="E240" i="40" s="1"/>
  <c r="E256" i="44"/>
  <c r="E240" i="44" s="1"/>
  <c r="E87" i="44"/>
  <c r="S11" i="36"/>
  <c r="S10" i="36" s="1"/>
  <c r="S3" i="36" s="1"/>
  <c r="S45" i="36" s="1"/>
  <c r="S48" i="36" s="1"/>
  <c r="E15" i="42"/>
  <c r="Q212" i="19"/>
  <c r="Y212" i="19" s="1"/>
  <c r="Q220" i="19"/>
  <c r="Y220" i="19" s="1"/>
  <c r="Q190" i="19"/>
  <c r="Y190" i="19" s="1"/>
  <c r="Q226" i="19"/>
  <c r="Y226" i="19" s="1"/>
  <c r="T255" i="19"/>
  <c r="W36" i="19"/>
  <c r="R36" i="19"/>
  <c r="Q36" i="19" s="1"/>
  <c r="Y36" i="19" s="1"/>
  <c r="S36" i="19"/>
  <c r="T36" i="19"/>
  <c r="R12" i="19"/>
  <c r="S12" i="19"/>
  <c r="W12" i="19"/>
  <c r="T12" i="19"/>
  <c r="Q180" i="19"/>
  <c r="Y180" i="19" s="1"/>
  <c r="V135" i="19"/>
  <c r="Q143" i="19"/>
  <c r="Y143" i="19" s="1"/>
  <c r="V8" i="19"/>
  <c r="V7" i="19" s="1"/>
  <c r="V289" i="19"/>
  <c r="T66" i="19"/>
  <c r="S66" i="19"/>
  <c r="W66" i="19"/>
  <c r="R66" i="19"/>
  <c r="O59" i="19"/>
  <c r="U289" i="19"/>
  <c r="Q41" i="19"/>
  <c r="Y41" i="19" s="1"/>
  <c r="Q70" i="19"/>
  <c r="Y70" i="19" s="1"/>
  <c r="S86" i="19"/>
  <c r="R86" i="19"/>
  <c r="T86" i="19"/>
  <c r="W86" i="19"/>
  <c r="Q88" i="19"/>
  <c r="Y88" i="19" s="1"/>
  <c r="T93" i="19"/>
  <c r="S93" i="19"/>
  <c r="W93" i="19"/>
  <c r="R93" i="19"/>
  <c r="Q93" i="19" s="1"/>
  <c r="Y93" i="19" s="1"/>
  <c r="T11" i="36"/>
  <c r="T10" i="36" s="1"/>
  <c r="V356" i="19"/>
  <c r="E87" i="22"/>
  <c r="E15" i="44"/>
  <c r="Q322" i="19"/>
  <c r="Y322" i="19" s="1"/>
  <c r="Q312" i="19"/>
  <c r="Y312" i="19" s="1"/>
  <c r="T32" i="19"/>
  <c r="R32" i="19"/>
  <c r="S32" i="19"/>
  <c r="W32" i="19"/>
  <c r="Q173" i="19"/>
  <c r="Y173" i="19" s="1"/>
  <c r="Q286" i="19"/>
  <c r="Y286" i="19" s="1"/>
  <c r="S285" i="19"/>
  <c r="Q285" i="19" s="1"/>
  <c r="Y285" i="19" s="1"/>
  <c r="Q299" i="19"/>
  <c r="Y299" i="19" s="1"/>
  <c r="R289" i="19"/>
  <c r="U135" i="19"/>
  <c r="Q135" i="19" s="1"/>
  <c r="Y135" i="19" s="1"/>
  <c r="Q142" i="19"/>
  <c r="Y142" i="19" s="1"/>
  <c r="S251" i="19"/>
  <c r="Q251" i="19" s="1"/>
  <c r="Y251" i="19" s="1"/>
  <c r="Q253" i="19"/>
  <c r="Y253" i="19" s="1"/>
  <c r="B279" i="42"/>
  <c r="E279" i="42" s="1"/>
  <c r="C283" i="21"/>
  <c r="B279" i="44"/>
  <c r="E279" i="44" s="1"/>
  <c r="B279" i="22"/>
  <c r="E279" i="22" s="1"/>
  <c r="O271" i="19"/>
  <c r="B279" i="40"/>
  <c r="E279" i="40" s="1"/>
  <c r="C283" i="41"/>
  <c r="C283" i="39"/>
  <c r="C283" i="43"/>
  <c r="Q280" i="19"/>
  <c r="Y280" i="19" s="1"/>
  <c r="Q311" i="19"/>
  <c r="Y311" i="19" s="1"/>
  <c r="T289" i="19"/>
  <c r="S57" i="19"/>
  <c r="R57" i="19"/>
  <c r="W57" i="19"/>
  <c r="T57" i="19"/>
  <c r="Q315" i="19"/>
  <c r="Y315" i="19" s="1"/>
  <c r="R194" i="19"/>
  <c r="Q194" i="19" s="1"/>
  <c r="Y194" i="19" s="1"/>
  <c r="Q195" i="19"/>
  <c r="Y195" i="19" s="1"/>
  <c r="Q48" i="19"/>
  <c r="Y48" i="19" s="1"/>
  <c r="V87" i="19"/>
  <c r="V79" i="19" s="1"/>
  <c r="V3" i="19" s="1"/>
  <c r="Q63" i="19"/>
  <c r="Y63" i="19" s="1"/>
  <c r="Q30" i="19"/>
  <c r="Y30" i="19" s="1"/>
  <c r="R42" i="19"/>
  <c r="Q42" i="19" s="1"/>
  <c r="Y42" i="19" s="1"/>
  <c r="T42" i="19"/>
  <c r="W42" i="19"/>
  <c r="S42" i="19"/>
  <c r="E256" i="22"/>
  <c r="E240" i="22" s="1"/>
  <c r="Q81" i="19"/>
  <c r="Y81" i="19" s="1"/>
  <c r="R183" i="19"/>
  <c r="D191" i="42"/>
  <c r="E191" i="42" s="1"/>
  <c r="E172" i="42" s="1"/>
  <c r="H18" i="16" s="1"/>
  <c r="V183" i="19"/>
  <c r="V164" i="19" s="1"/>
  <c r="D191" i="44"/>
  <c r="E191" i="44" s="1"/>
  <c r="E172" i="44" s="1"/>
  <c r="H19" i="16" s="1"/>
  <c r="S183" i="19"/>
  <c r="O183" i="19"/>
  <c r="O164" i="19" s="1"/>
  <c r="D191" i="40"/>
  <c r="E191" i="40" s="1"/>
  <c r="E172" i="40" s="1"/>
  <c r="H17" i="16" s="1"/>
  <c r="W183" i="19"/>
  <c r="U183" i="19"/>
  <c r="D191" i="22"/>
  <c r="E191" i="22" s="1"/>
  <c r="E172" i="22" s="1"/>
  <c r="H16" i="16" s="1"/>
  <c r="T183" i="19"/>
  <c r="T164" i="19" s="1"/>
  <c r="W164" i="19"/>
  <c r="Q175" i="19"/>
  <c r="Y175" i="19" s="1"/>
  <c r="U164" i="19"/>
  <c r="Q241" i="19"/>
  <c r="Y241" i="19" s="1"/>
  <c r="G17" i="42"/>
  <c r="G17" i="40"/>
  <c r="R224" i="19"/>
  <c r="D232" i="42"/>
  <c r="E232" i="42" s="1"/>
  <c r="D232" i="44"/>
  <c r="E232" i="44" s="1"/>
  <c r="T224" i="19"/>
  <c r="T208" i="19" s="1"/>
  <c r="V224" i="19"/>
  <c r="V208" i="19" s="1"/>
  <c r="V154" i="19" s="1"/>
  <c r="S224" i="19"/>
  <c r="S208" i="19" s="1"/>
  <c r="W224" i="19"/>
  <c r="W208" i="19" s="1"/>
  <c r="W154" i="19" s="1"/>
  <c r="D232" i="40"/>
  <c r="E232" i="40" s="1"/>
  <c r="O224" i="19"/>
  <c r="D232" i="22"/>
  <c r="E232" i="22" s="1"/>
  <c r="U224" i="19"/>
  <c r="U208" i="19" s="1"/>
  <c r="U154" i="19" s="1"/>
  <c r="U347" i="19" s="1"/>
  <c r="E67" i="38"/>
  <c r="D20" i="16"/>
  <c r="C20" i="16" s="1"/>
  <c r="Q178" i="19"/>
  <c r="Y178" i="19" s="1"/>
  <c r="Q177" i="19"/>
  <c r="Y177" i="19" s="1"/>
  <c r="S164" i="19"/>
  <c r="Q174" i="19"/>
  <c r="Y174" i="19" s="1"/>
  <c r="Q247" i="19"/>
  <c r="Y247" i="19" s="1"/>
  <c r="O232" i="19"/>
  <c r="Q9" i="19"/>
  <c r="Y9" i="19" s="1"/>
  <c r="B268" i="44"/>
  <c r="E268" i="44" s="1"/>
  <c r="E263" i="44" s="1"/>
  <c r="E216" i="44" s="1"/>
  <c r="E162" i="44" s="1"/>
  <c r="F19" i="16" s="1"/>
  <c r="B268" i="42"/>
  <c r="E268" i="42" s="1"/>
  <c r="E263" i="42" s="1"/>
  <c r="E216" i="42" s="1"/>
  <c r="B268" i="40"/>
  <c r="E268" i="40" s="1"/>
  <c r="E263" i="40" s="1"/>
  <c r="E216" i="40" s="1"/>
  <c r="E162" i="40" s="1"/>
  <c r="F17" i="16" s="1"/>
  <c r="J17" i="16" s="1"/>
  <c r="C272" i="39"/>
  <c r="O260" i="19"/>
  <c r="O255" i="19" s="1"/>
  <c r="O208" i="19" s="1"/>
  <c r="C272" i="43"/>
  <c r="C272" i="41"/>
  <c r="C272" i="21"/>
  <c r="B268" i="22"/>
  <c r="E268" i="22" s="1"/>
  <c r="E263" i="22" s="1"/>
  <c r="E216" i="22" s="1"/>
  <c r="E162" i="22" s="1"/>
  <c r="F16" i="16" s="1"/>
  <c r="C208" i="19"/>
  <c r="C154" i="19" s="1"/>
  <c r="C334" i="19" s="1"/>
  <c r="T5" i="36"/>
  <c r="L4" i="36"/>
  <c r="L3" i="36" s="1"/>
  <c r="L45" i="36" s="1"/>
  <c r="S356" i="19"/>
  <c r="E162" i="42"/>
  <c r="F18" i="16" s="1"/>
  <c r="E15" i="40"/>
  <c r="E11" i="40" s="1"/>
  <c r="V345" i="19"/>
  <c r="R164" i="19"/>
  <c r="Q170" i="19"/>
  <c r="Y170" i="19" s="1"/>
  <c r="E19" i="16"/>
  <c r="E11" i="44"/>
  <c r="O10" i="36"/>
  <c r="N11" i="36"/>
  <c r="R208" i="19"/>
  <c r="Q232" i="19"/>
  <c r="Y232" i="19" s="1"/>
  <c r="E11" i="22"/>
  <c r="E11" i="42"/>
  <c r="O154" i="19" l="1"/>
  <c r="Q32" i="19"/>
  <c r="Y32" i="19" s="1"/>
  <c r="Q86" i="19"/>
  <c r="Y86" i="19" s="1"/>
  <c r="W87" i="19"/>
  <c r="T87" i="19"/>
  <c r="S87" i="19"/>
  <c r="R87" i="19"/>
  <c r="Q87" i="19" s="1"/>
  <c r="Y87" i="19" s="1"/>
  <c r="U79" i="19"/>
  <c r="Q289" i="19"/>
  <c r="Y289" i="19" s="1"/>
  <c r="S59" i="19"/>
  <c r="W59" i="19"/>
  <c r="R59" i="19"/>
  <c r="T59" i="19"/>
  <c r="T8" i="19"/>
  <c r="T7" i="19" s="1"/>
  <c r="W8" i="19"/>
  <c r="W7" i="19" s="1"/>
  <c r="O7" i="19"/>
  <c r="S8" i="19"/>
  <c r="R8" i="19"/>
  <c r="Q66" i="19"/>
  <c r="Y66" i="19" s="1"/>
  <c r="Q12" i="19"/>
  <c r="Y12" i="19" s="1"/>
  <c r="T95" i="19"/>
  <c r="S95" i="19"/>
  <c r="W95" i="19"/>
  <c r="R95" i="19"/>
  <c r="Q91" i="19"/>
  <c r="Y91" i="19" s="1"/>
  <c r="Q52" i="19"/>
  <c r="Y52" i="19" s="1"/>
  <c r="Q255" i="19"/>
  <c r="Y255" i="19" s="1"/>
  <c r="Q85" i="19"/>
  <c r="Y85" i="19" s="1"/>
  <c r="S154" i="19"/>
  <c r="Q57" i="19"/>
  <c r="Y57" i="19" s="1"/>
  <c r="Q16" i="19"/>
  <c r="Y16" i="19" s="1"/>
  <c r="R83" i="19"/>
  <c r="T83" i="19"/>
  <c r="T79" i="19" s="1"/>
  <c r="O79" i="19"/>
  <c r="W83" i="19"/>
  <c r="W79" i="19" s="1"/>
  <c r="S83" i="19"/>
  <c r="S79" i="19" s="1"/>
  <c r="Q20" i="19"/>
  <c r="Y20" i="19" s="1"/>
  <c r="S347" i="19"/>
  <c r="W347" i="19"/>
  <c r="V347" i="19"/>
  <c r="V334" i="19"/>
  <c r="V336" i="19" s="1"/>
  <c r="Q208" i="19"/>
  <c r="Y208" i="19" s="1"/>
  <c r="D44" i="17"/>
  <c r="C44" i="17" s="1"/>
  <c r="H44" i="17" s="1"/>
  <c r="I44" i="17" s="1"/>
  <c r="D41" i="17"/>
  <c r="C41" i="17" s="1"/>
  <c r="H41" i="17" s="1"/>
  <c r="D42" i="17"/>
  <c r="C42" i="17" s="1"/>
  <c r="H42" i="17" s="1"/>
  <c r="I42" i="17" s="1"/>
  <c r="D43" i="17"/>
  <c r="C43" i="17" s="1"/>
  <c r="H43" i="17" s="1"/>
  <c r="I43" i="17" s="1"/>
  <c r="D45" i="17"/>
  <c r="C45" i="17" s="1"/>
  <c r="H45" i="17" s="1"/>
  <c r="I45" i="17" s="1"/>
  <c r="D46" i="17"/>
  <c r="C46" i="17" s="1"/>
  <c r="H46" i="17" s="1"/>
  <c r="I46" i="17" s="1"/>
  <c r="Q224" i="19"/>
  <c r="Y224" i="19" s="1"/>
  <c r="T154" i="19"/>
  <c r="Q183" i="19"/>
  <c r="Y183" i="19" s="1"/>
  <c r="E342" i="44"/>
  <c r="D19" i="16"/>
  <c r="C19" i="16" s="1"/>
  <c r="E342" i="40"/>
  <c r="D17" i="16"/>
  <c r="C17" i="16" s="1"/>
  <c r="E342" i="22"/>
  <c r="D16" i="16"/>
  <c r="C16" i="16" s="1"/>
  <c r="E342" i="42"/>
  <c r="D18" i="16"/>
  <c r="C18" i="16" s="1"/>
  <c r="O3" i="36"/>
  <c r="N10" i="36"/>
  <c r="Q164" i="19"/>
  <c r="R154" i="19"/>
  <c r="N5" i="36"/>
  <c r="T4" i="36"/>
  <c r="Q83" i="19" l="1"/>
  <c r="Y83" i="19" s="1"/>
  <c r="R79" i="19"/>
  <c r="Q79" i="19" s="1"/>
  <c r="Y79" i="19" s="1"/>
  <c r="Q95" i="19"/>
  <c r="Y95" i="19" s="1"/>
  <c r="O3" i="19"/>
  <c r="Q59" i="19"/>
  <c r="Y59" i="19" s="1"/>
  <c r="U345" i="19"/>
  <c r="U3" i="19"/>
  <c r="U334" i="19" s="1"/>
  <c r="U336" i="19" s="1"/>
  <c r="W3" i="19"/>
  <c r="W334" i="19" s="1"/>
  <c r="W345" i="19"/>
  <c r="R7" i="19"/>
  <c r="Q8" i="19"/>
  <c r="Y8" i="19" s="1"/>
  <c r="T3" i="19"/>
  <c r="T334" i="19" s="1"/>
  <c r="T345" i="19"/>
  <c r="S7" i="19"/>
  <c r="O334" i="19"/>
  <c r="T347" i="19"/>
  <c r="I41" i="17"/>
  <c r="H40" i="17"/>
  <c r="V337" i="19"/>
  <c r="V341" i="19"/>
  <c r="Y164" i="19"/>
  <c r="Q154" i="19"/>
  <c r="Y154" i="19" s="1"/>
  <c r="O45" i="36"/>
  <c r="T3" i="36"/>
  <c r="T45" i="36" s="1"/>
  <c r="T48" i="36" s="1"/>
  <c r="N4" i="36"/>
  <c r="R336" i="19"/>
  <c r="R347" i="19"/>
  <c r="D29" i="17"/>
  <c r="C29" i="17" s="1"/>
  <c r="H29" i="17" s="1"/>
  <c r="D27" i="17"/>
  <c r="C27" i="17" s="1"/>
  <c r="H27" i="17" s="1"/>
  <c r="D31" i="17"/>
  <c r="C31" i="17" s="1"/>
  <c r="H31" i="17" s="1"/>
  <c r="D32" i="17"/>
  <c r="C32" i="17" s="1"/>
  <c r="H32" i="17" s="1"/>
  <c r="D30" i="17"/>
  <c r="C30" i="17" s="1"/>
  <c r="H30" i="17" s="1"/>
  <c r="D28" i="17"/>
  <c r="C28" i="17" s="1"/>
  <c r="H28" i="17" s="1"/>
  <c r="D14" i="17"/>
  <c r="C14" i="17" s="1"/>
  <c r="H14" i="17" s="1"/>
  <c r="D13" i="17"/>
  <c r="C13" i="17" s="1"/>
  <c r="H13" i="17" s="1"/>
  <c r="D16" i="17"/>
  <c r="C16" i="17" s="1"/>
  <c r="H16" i="17" s="1"/>
  <c r="D15" i="17"/>
  <c r="C15" i="17" s="1"/>
  <c r="H15" i="17" s="1"/>
  <c r="D17" i="17"/>
  <c r="C17" i="17" s="1"/>
  <c r="H17" i="17" s="1"/>
  <c r="D18" i="17"/>
  <c r="C18" i="17" s="1"/>
  <c r="H18" i="17" s="1"/>
  <c r="D20" i="17"/>
  <c r="C20" i="17" s="1"/>
  <c r="H20" i="17" s="1"/>
  <c r="D25" i="17"/>
  <c r="C25" i="17" s="1"/>
  <c r="H25" i="17" s="1"/>
  <c r="D22" i="17"/>
  <c r="C22" i="17" s="1"/>
  <c r="H22" i="17" s="1"/>
  <c r="D23" i="17"/>
  <c r="C23" i="17" s="1"/>
  <c r="H23" i="17" s="1"/>
  <c r="D24" i="17"/>
  <c r="C24" i="17" s="1"/>
  <c r="H24" i="17" s="1"/>
  <c r="D21" i="17"/>
  <c r="C21" i="17" s="1"/>
  <c r="H21" i="17" s="1"/>
  <c r="D35" i="17"/>
  <c r="C35" i="17" s="1"/>
  <c r="H35" i="17" s="1"/>
  <c r="D37" i="17"/>
  <c r="C37" i="17" s="1"/>
  <c r="H37" i="17" s="1"/>
  <c r="D34" i="17"/>
  <c r="C34" i="17" s="1"/>
  <c r="H34" i="17" s="1"/>
  <c r="D36" i="17"/>
  <c r="C36" i="17" s="1"/>
  <c r="H36" i="17" s="1"/>
  <c r="D39" i="17"/>
  <c r="C39" i="17" s="1"/>
  <c r="H39" i="17" s="1"/>
  <c r="D38" i="17"/>
  <c r="C38" i="17" s="1"/>
  <c r="H38" i="17" s="1"/>
  <c r="W336" i="19" l="1"/>
  <c r="S336" i="19"/>
  <c r="U341" i="19"/>
  <c r="U337" i="19"/>
  <c r="S345" i="19"/>
  <c r="S3" i="19"/>
  <c r="S334" i="19" s="1"/>
  <c r="R345" i="19"/>
  <c r="Q7" i="19"/>
  <c r="R3" i="19"/>
  <c r="T336" i="19"/>
  <c r="T341" i="19" s="1"/>
  <c r="B16" i="20"/>
  <c r="F16" i="20" s="1"/>
  <c r="C25" i="20" s="1"/>
  <c r="I18" i="17"/>
  <c r="B13" i="20"/>
  <c r="F13" i="20" s="1"/>
  <c r="C22" i="20" s="1"/>
  <c r="I15" i="17"/>
  <c r="B11" i="20"/>
  <c r="H12" i="17"/>
  <c r="I13" i="17"/>
  <c r="R341" i="19"/>
  <c r="Q336" i="19"/>
  <c r="R337" i="19"/>
  <c r="O48" i="36"/>
  <c r="N48" i="36" s="1"/>
  <c r="N45" i="36"/>
  <c r="H26" i="17"/>
  <c r="B15" i="20"/>
  <c r="F15" i="20" s="1"/>
  <c r="C24" i="20" s="1"/>
  <c r="I17" i="17"/>
  <c r="B14" i="20"/>
  <c r="F14" i="20" s="1"/>
  <c r="C23" i="20" s="1"/>
  <c r="I16" i="17"/>
  <c r="B12" i="20"/>
  <c r="F12" i="20" s="1"/>
  <c r="C21" i="20" s="1"/>
  <c r="I14" i="17"/>
  <c r="H33" i="17"/>
  <c r="H19" i="17"/>
  <c r="N3" i="36"/>
  <c r="T337" i="19" l="1"/>
  <c r="S341" i="19"/>
  <c r="Q341" i="19" s="1"/>
  <c r="S337" i="19"/>
  <c r="Q3" i="19"/>
  <c r="R334" i="19"/>
  <c r="Q334" i="19" s="1"/>
  <c r="Y334" i="19" s="1"/>
  <c r="W337" i="19"/>
  <c r="Q337" i="19" s="1"/>
  <c r="W341" i="19"/>
  <c r="F11" i="20"/>
  <c r="B17" i="20"/>
  <c r="H47" i="17"/>
  <c r="C20" i="20" l="1"/>
  <c r="C26" i="20" s="1"/>
  <c r="F17" i="20"/>
</calcChain>
</file>

<file path=xl/sharedStrings.xml><?xml version="1.0" encoding="utf-8"?>
<sst xmlns="http://schemas.openxmlformats.org/spreadsheetml/2006/main" count="2619" uniqueCount="564">
  <si>
    <t>Наименование ресурса</t>
  </si>
  <si>
    <t>Ед. изм.</t>
  </si>
  <si>
    <t>ИТОГО</t>
  </si>
  <si>
    <t>х</t>
  </si>
  <si>
    <t>1. Базовый норматив затрат, непосредственно связанных с оказанием муниципальной услуги, в том числе:</t>
  </si>
  <si>
    <t>1.1. Затраты на оплату труда с начислениями на выплаты по оплате труда работников, непосредственно связанных с оказанием муниципальной услуги, в том числе:</t>
  </si>
  <si>
    <t>1.2.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 с учетом срока полезного использования (в том числе затраты на арендные платежи, в том числе:</t>
  </si>
  <si>
    <t>1.3. Иные затраты, непосредственно связанные с оказанием муниципальной услуги</t>
  </si>
  <si>
    <t>чел.</t>
  </si>
  <si>
    <t>усл.</t>
  </si>
  <si>
    <t>шт.</t>
  </si>
  <si>
    <t>2. Базовый норматив затрат на общехозяйственные нужды, в том числе:</t>
  </si>
  <si>
    <t>2.1. Затраты на коммунальные услуги</t>
  </si>
  <si>
    <t>Стул офисный</t>
  </si>
  <si>
    <t>2.2. Затраты на содержание объектов недвижимого имущества, необходимого для выполнения муниципального задания (в том числе затраты на арендные платежи)</t>
  </si>
  <si>
    <t>2.3. Затраты на содержание объектов особо ценного движимого имущества, необходимого для выполнения муниципального задания (в том числе затраты на арендные платежи)</t>
  </si>
  <si>
    <t>2.4. Затраты на приобретение услуг связи</t>
  </si>
  <si>
    <t>2.5. Затраты на приобретение транспортных услуг</t>
  </si>
  <si>
    <t>Тарелка глубокая</t>
  </si>
  <si>
    <t>Тарелка мелкая</t>
  </si>
  <si>
    <t>2.6.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</t>
  </si>
  <si>
    <t>Ложка столовая</t>
  </si>
  <si>
    <t>Вилка столовая</t>
  </si>
  <si>
    <t>2.7. Затраты на прочие общехозяйственные нужды на оказание муниципальной услуги</t>
  </si>
  <si>
    <t>Ерш унитазный</t>
  </si>
  <si>
    <t>Итого по муниципальной услуге</t>
  </si>
  <si>
    <t>упак.</t>
  </si>
  <si>
    <t>Мешки для мусора</t>
  </si>
  <si>
    <t>Бумага А4</t>
  </si>
  <si>
    <t>Степлер</t>
  </si>
  <si>
    <t>пар.</t>
  </si>
  <si>
    <t>Спецодежда</t>
  </si>
  <si>
    <t>Дератизация</t>
  </si>
  <si>
    <t>м2</t>
  </si>
  <si>
    <t>Дезинсекция</t>
  </si>
  <si>
    <t>ТО КТС</t>
  </si>
  <si>
    <t>Охрана КТС</t>
  </si>
  <si>
    <t>Пожарная охрана</t>
  </si>
  <si>
    <t>усл</t>
  </si>
  <si>
    <t>ТО автоматизированного теплового пункта</t>
  </si>
  <si>
    <t>Зарядка огнетушителей</t>
  </si>
  <si>
    <t>Вывоз ТБО</t>
  </si>
  <si>
    <t>м3</t>
  </si>
  <si>
    <t>ТО пожарной сигнализации</t>
  </si>
  <si>
    <t>Прочистка канализации</t>
  </si>
  <si>
    <t>Ремонт МФУ</t>
  </si>
  <si>
    <t>м</t>
  </si>
  <si>
    <t>Хостинг сайта</t>
  </si>
  <si>
    <t>Теплоэнергия (город)</t>
  </si>
  <si>
    <t>Гкал</t>
  </si>
  <si>
    <t>Теплоэнергия в горячей воде</t>
  </si>
  <si>
    <t>Теплоноситель</t>
  </si>
  <si>
    <t>Квт*ч</t>
  </si>
  <si>
    <t>Холодное водоснабжение</t>
  </si>
  <si>
    <t>Водоотведение</t>
  </si>
  <si>
    <t>Сбросы загрязнений</t>
  </si>
  <si>
    <t>Подписка</t>
  </si>
  <si>
    <t>усл. ед.</t>
  </si>
  <si>
    <t>Значение натуральной нормы</t>
  </si>
  <si>
    <t>Примечание</t>
  </si>
  <si>
    <t>Срок использования ресурса (год)</t>
  </si>
  <si>
    <t>Цена единицы ресурса, руб.</t>
  </si>
  <si>
    <t>Нормативные затраты, руб.</t>
  </si>
  <si>
    <t>Шкаф для документов</t>
  </si>
  <si>
    <t>Посуда</t>
  </si>
  <si>
    <t>Услуги сторонних организаций</t>
  </si>
  <si>
    <t>Канцелярские товары</t>
  </si>
  <si>
    <t>Медикаменты</t>
  </si>
  <si>
    <t>Чистящие, моющие, дезинфицирующие средства</t>
  </si>
  <si>
    <t>ЗНАЧЕНИЯ</t>
  </si>
  <si>
    <t>НОРМ, ВЫРАЖЕННЫХ В НАТУРАЛЬНЫХ ПОКАЗАТЕЛЯХ,</t>
  </si>
  <si>
    <t>НЕОБХОДИМЫХ ДЛЯ ОПРЕДЕЛЕНИЯ НОРМАТИВОВ ЗАТРАТ</t>
  </si>
  <si>
    <t>НА ОКАЗАНИЕ МУНИЦИПАЛЬНЫХ УСЛУГ</t>
  </si>
  <si>
    <t>Наименование натуральной нормы</t>
  </si>
  <si>
    <t>Единица измерения &lt;1&gt;</t>
  </si>
  <si>
    <t>Значение натуральной нормы &lt;2&gt;</t>
  </si>
  <si>
    <t>Примечание &lt;3&gt;</t>
  </si>
  <si>
    <t>Наименование муниципальной услуги &lt;4&gt;</t>
  </si>
  <si>
    <t>Уникальный номер реестровой записи &lt;5&gt;</t>
  </si>
  <si>
    <t>1. Натуральные нормы, непосредственно связанные с оказанием муниципальной услуги, в том числе:</t>
  </si>
  <si>
    <t>1.1. Работники, непосредственно связанные 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</si>
  <si>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</si>
  <si>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показатели, непосредственно используемые в процессе оказания муниципальной услуги</t>
  </si>
  <si>
    <t>2. Натуральные нормы на общехозяйственные нужды, в том числе:</t>
  </si>
  <si>
    <t>2.1. Коммунальные услуги</t>
  </si>
  <si>
    <t>2.2. Содержание объектов недвижимого имущества, необходимого для выполнения муниципального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</si>
  <si>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</si>
  <si>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</si>
  <si>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</si>
  <si>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</si>
  <si>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</si>
  <si>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--------------------------------</t>
  </si>
  <si>
    <t>&lt;1&gt; единица измерения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</si>
  <si>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оказания услуги в соответствующей сфере деятельности (в случае отсутствия указываются значения натуральных норм, определенные для муниципальной услуги, оказываемой муниципальным учреждением, по методу наиболее эффективного учреждения, по медианному или иному методу);</t>
  </si>
  <si>
    <t>&lt;4&gt; указывается наименование муниципальной услуги в соответствии с ведомственным перечнем муниципальных услуг и работ;</t>
  </si>
  <si>
    <t>&lt;5&gt; уникальный номер реестровой записи муниципальной услуги в соответствии с ведомственным перечнем муниципальных услуг и работ.</t>
  </si>
  <si>
    <t>Приложение № 5</t>
  </si>
  <si>
    <t xml:space="preserve">к Порядку 
</t>
  </si>
  <si>
    <t>1. Расчет базовых нормативных затрат на оказание</t>
  </si>
  <si>
    <t>муниципальных услуг</t>
  </si>
  <si>
    <t>Метод расчета</t>
  </si>
  <si>
    <t>Итого по муниципальной услуге:</t>
  </si>
  <si>
    <t xml:space="preserve">                                      </t>
  </si>
  <si>
    <t>1. Результаты расчетов базовых нормативных затрат</t>
  </si>
  <si>
    <t>руб.</t>
  </si>
  <si>
    <t>Наименование муниципальной услуги</t>
  </si>
  <si>
    <t>Уникальный номер реестровой записи из ведомственного перечня</t>
  </si>
  <si>
    <t>Базовый норматив затрат на оказание муниципальной услуги</t>
  </si>
  <si>
    <t>Всего</t>
  </si>
  <si>
    <t>в том числе</t>
  </si>
  <si>
    <t>Базовый норматив затрат, непосредственно связанных с оказанием муниципальной услуги</t>
  </si>
  <si>
    <t>Базовый норматив затрат на общехозяйственные нужды, на оказание муниципальных услуг</t>
  </si>
  <si>
    <t>Всего, в том числе:</t>
  </si>
  <si>
    <r>
      <t>N</t>
    </r>
    <r>
      <rPr>
        <vertAlign val="subscript"/>
        <sz val="11"/>
        <color indexed="8"/>
        <rFont val="Times New Roman"/>
        <family val="1"/>
        <charset val="204"/>
      </rPr>
      <t>отli</t>
    </r>
    <r>
      <rPr>
        <sz val="11"/>
        <color indexed="8"/>
        <rFont val="Times New Roman"/>
        <family val="1"/>
        <charset val="204"/>
      </rPr>
      <t xml:space="preserve"> &lt;1&gt;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</si>
  <si>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куi</t>
    </r>
    <r>
      <rPr>
        <sz val="11"/>
        <color indexed="8"/>
        <rFont val="Times New Roman"/>
        <family val="1"/>
        <charset val="204"/>
      </rPr>
      <t xml:space="preserve"> &lt;2&gt;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</si>
  <si>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сниi</t>
    </r>
    <r>
      <rPr>
        <sz val="11"/>
        <color indexed="8"/>
        <rFont val="Times New Roman"/>
        <family val="1"/>
        <charset val="204"/>
      </rPr>
      <t xml:space="preserve"> &lt;3&gt;</t>
    </r>
  </si>
  <si>
    <t>&lt;1&gt; затраты на оплату труда с начислениями на выплаты по оплате труда работников, непосредственно связанных с оказанием муниципальной услуги;</t>
  </si>
  <si>
    <t>&lt;2&gt; суммы затрат на коммунальные услуги;</t>
  </si>
  <si>
    <t>&lt;3&gt; суммы затрат на содержание объектов недвижимого имущества, необходимого для выполнения муниципального задания (в том числе затраты на арендные платежи).</t>
  </si>
  <si>
    <t>Приложение № 7</t>
  </si>
  <si>
    <t>1. Результаты расчетов объемов нормативных затрат</t>
  </si>
  <si>
    <t>Наименование муниципальной услуги (уникальный номер реестровой записи из ведомственного перечня)</t>
  </si>
  <si>
    <t>Показатель объема муниципальной услуги</t>
  </si>
  <si>
    <t>Расчет нормативных затрат на оказание муниципальной услуги</t>
  </si>
  <si>
    <t>Итого нормативных затрат (руб.)</t>
  </si>
  <si>
    <t>Нормативные затраты на оказание муниципальной услуги (руб.)</t>
  </si>
  <si>
    <t>В том числе</t>
  </si>
  <si>
    <t>Базовый норматив затрат на оказание муниципальной услуги (руб.)</t>
  </si>
  <si>
    <t>Отраслевой корректирующий коэффициент</t>
  </si>
  <si>
    <t>Территориальный корректирующий коэффициент</t>
  </si>
  <si>
    <t>Коэффициент выравнивания</t>
  </si>
  <si>
    <t>3 = 4 x 5 x 6 x 7</t>
  </si>
  <si>
    <t>8 = 2 x 3</t>
  </si>
  <si>
    <t>X</t>
  </si>
  <si>
    <t>Шкаф для одежды</t>
  </si>
  <si>
    <t>Метод наиболее эффективного учреждения</t>
  </si>
  <si>
    <t>ед.</t>
  </si>
  <si>
    <t>РЕЗУЛЬТАТЫ РАСЧЕТОВ</t>
  </si>
  <si>
    <t>ФИНАНСОВОГО ОБЕСПЕЧЕНИЯ ВЫПОЛНЕНИЯ</t>
  </si>
  <si>
    <t>Наименование муниципального учреждения</t>
  </si>
  <si>
    <t>Итого нормативных затрат на оказание муниципальных услуг, руб.</t>
  </si>
  <si>
    <t>Итого нормативных затрат на выполнение работ, руб.</t>
  </si>
  <si>
    <t>Объем платы за оказание муниципальных услуг (выполнения работ), установленных муниципальным заданием, руб.</t>
  </si>
  <si>
    <t>Затраты на уплату налогов, в качестве объекта налогообложения, руб.</t>
  </si>
  <si>
    <t>Итого объем финансового обеспечения выполнения муниципального задания, руб.</t>
  </si>
  <si>
    <t>6 = 2 + 3 - 4 + 5</t>
  </si>
  <si>
    <t xml:space="preserve">(подпись)    </t>
  </si>
  <si>
    <t xml:space="preserve"> (расшифровка подписи)</t>
  </si>
  <si>
    <t>Связь</t>
  </si>
  <si>
    <t>Интернет</t>
  </si>
  <si>
    <t>Краткое обозначение</t>
  </si>
  <si>
    <t>Наименование формы расчета</t>
  </si>
  <si>
    <t>Значения норм, выраженных в натуральных показателях, необходимых для определения нормативов затрат на оказание муниципальной услуги</t>
  </si>
  <si>
    <t>Наименование услуги</t>
  </si>
  <si>
    <t>Уникальный номер реестровой записи</t>
  </si>
  <si>
    <t>Справочная информация</t>
  </si>
  <si>
    <t>Расчет базовых нормативных затрат на оказание муниципальных услуг</t>
  </si>
  <si>
    <t>Услуга</t>
  </si>
  <si>
    <t>Результаты расчетов базовых нормативных затрат на оказание муниципальных услуг</t>
  </si>
  <si>
    <t>Результаты расчетов объемов нормативных затрат на оказание муниципальных услуг</t>
  </si>
  <si>
    <t>Результаты расчетов финансового обеспечения выполнения муниципального задания</t>
  </si>
  <si>
    <t>Сравнительный анализ расходов</t>
  </si>
  <si>
    <t>8.</t>
  </si>
  <si>
    <t>ХГ</t>
  </si>
  <si>
    <t>1. Расчет базовых нормативных затрат на оказание муниципальных услуг СОШ</t>
  </si>
  <si>
    <t>СОШ 2</t>
  </si>
  <si>
    <t>СОШ 5</t>
  </si>
  <si>
    <t>СОШ 7</t>
  </si>
  <si>
    <t>ООШ 8</t>
  </si>
  <si>
    <t>СОШ 10</t>
  </si>
  <si>
    <t>Хибинская гимназия</t>
  </si>
  <si>
    <t>Питьевая вода</t>
  </si>
  <si>
    <t>Одноразовые стаканы</t>
  </si>
  <si>
    <t>Медицинский осмотр</t>
  </si>
  <si>
    <t xml:space="preserve">Журнал: Воспитание школьников и духовно-нравственное воспитание </t>
  </si>
  <si>
    <t>комп.</t>
  </si>
  <si>
    <t>Инновационные проекты и программы в оьразовании</t>
  </si>
  <si>
    <t>Журнал: Льготный комплект "Эксперт"</t>
  </si>
  <si>
    <t>Журнал: Профильная школа</t>
  </si>
  <si>
    <t xml:space="preserve">Журнал: Путешествие на зеленый свет </t>
  </si>
  <si>
    <t>Журнал: Школа управления образовательным учреждением. опыт. практика. лучшие рещения (+CD)</t>
  </si>
  <si>
    <t>Журнал: Вестник образования</t>
  </si>
  <si>
    <t>Учительская газета</t>
  </si>
  <si>
    <t>Журнал: Управление современной школой. завуч.</t>
  </si>
  <si>
    <t>Журнал: Управление образовательным учреждением в вопросах и ответах</t>
  </si>
  <si>
    <t>Журнал: Лучик</t>
  </si>
  <si>
    <t>Журнал: Дефектология</t>
  </si>
  <si>
    <t>Журнал: Лена рукоделия</t>
  </si>
  <si>
    <t>Нормативные документы образовательного учреждения</t>
  </si>
  <si>
    <t>Журнал: Практика работы в школе</t>
  </si>
  <si>
    <t>Журнал: Профессиональная библиотека</t>
  </si>
  <si>
    <t>Справочник руководителя</t>
  </si>
  <si>
    <t>Юридический журнал директора школы</t>
  </si>
  <si>
    <t xml:space="preserve">Детская энциклопедия </t>
  </si>
  <si>
    <t>Журнал: Добрая дорога детства</t>
  </si>
  <si>
    <t>Справочник классного руководителя</t>
  </si>
  <si>
    <t>Справочник заместителя директора школы</t>
  </si>
  <si>
    <t>Журнал: Школьный психолог</t>
  </si>
  <si>
    <t>Журнал: Последний звонок</t>
  </si>
  <si>
    <t>Журнал: Шишкин лес</t>
  </si>
  <si>
    <t>Журнал: ГЕОленок</t>
  </si>
  <si>
    <t>Журнал: Добрята</t>
  </si>
  <si>
    <t>Журнал: Бумеранг</t>
  </si>
  <si>
    <t>Журнал :Веселые животные</t>
  </si>
  <si>
    <t>Журнал: Весёлый затейник</t>
  </si>
  <si>
    <t>Журнал: Все звёзды</t>
  </si>
  <si>
    <t>Журнал: Девчонки-мальчишки. Школа ремесел</t>
  </si>
  <si>
    <t>Журнал: Управление современной школой</t>
  </si>
  <si>
    <t>Журнал : Клёпа</t>
  </si>
  <si>
    <t>Журнал: Компьютер MOUSE</t>
  </si>
  <si>
    <t>Журнал: Спасайкин</t>
  </si>
  <si>
    <t>Журнал: Мир техники для детей</t>
  </si>
  <si>
    <t>Журнал: Читайка</t>
  </si>
  <si>
    <t>Журнал: Чудеса и приключения-детям-ЧИП</t>
  </si>
  <si>
    <t>Журнал: Юный краевед</t>
  </si>
  <si>
    <t>Журнал: Игровая библиотека</t>
  </si>
  <si>
    <t>Журнал: Школа и производство</t>
  </si>
  <si>
    <t>Журнал: Веселый урок</t>
  </si>
  <si>
    <t>Журнал: ОБЖ</t>
  </si>
  <si>
    <t>Журнал: Мурзилка</t>
  </si>
  <si>
    <t>Журнал: Юный эрудит</t>
  </si>
  <si>
    <t>Журнал: ПЕдсовет</t>
  </si>
  <si>
    <t>Журнал: Методист</t>
  </si>
  <si>
    <t>Журнал: Огонек</t>
  </si>
  <si>
    <t>Журнал: Отчего и почему</t>
  </si>
  <si>
    <t>Курсы</t>
  </si>
  <si>
    <t>Курсы по теплоустановкам</t>
  </si>
  <si>
    <t>Приобретение антивируса</t>
  </si>
  <si>
    <t>Замеры освещенности, микроклимата</t>
  </si>
  <si>
    <t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t>
  </si>
  <si>
    <t>Исследование воды после промывки</t>
  </si>
  <si>
    <t>Исследование воды</t>
  </si>
  <si>
    <t>Гигиеническая аттестация</t>
  </si>
  <si>
    <t>WebFiltre UserGate</t>
  </si>
  <si>
    <t>Сопровождение ПО Vipnet Client</t>
  </si>
  <si>
    <t>Оценка условий труда</t>
  </si>
  <si>
    <t>Аттестация рабочих мест</t>
  </si>
  <si>
    <t>Замеры ЭМП</t>
  </si>
  <si>
    <t>Приобритение картриджей</t>
  </si>
  <si>
    <t>Оказание консультативной помощи(СЭС)</t>
  </si>
  <si>
    <t>Доска разделочная</t>
  </si>
  <si>
    <t xml:space="preserve">Блюдце </t>
  </si>
  <si>
    <t>Тарелка маленькая</t>
  </si>
  <si>
    <t>Таз 12 л.</t>
  </si>
  <si>
    <t>Таз 5 л</t>
  </si>
  <si>
    <t>Противень</t>
  </si>
  <si>
    <t>Лоток для мяса</t>
  </si>
  <si>
    <t>Лоток глубокий</t>
  </si>
  <si>
    <t>Кастрюля 15 л.</t>
  </si>
  <si>
    <t>Кастрюля 20 л.</t>
  </si>
  <si>
    <t>Корзина для стаканов и чашек</t>
  </si>
  <si>
    <t>Стакан граненый</t>
  </si>
  <si>
    <t>Сито</t>
  </si>
  <si>
    <t>Посудомоечная машина</t>
  </si>
  <si>
    <t>Холодильная камера 2х дверная Полюс-R 1400"</t>
  </si>
  <si>
    <t>Холодильная камера 1 дверная, "Полюс-R700"</t>
  </si>
  <si>
    <t>Нож повара</t>
  </si>
  <si>
    <t>Полка для раз. досок</t>
  </si>
  <si>
    <t>Умывальник с пьедесталом</t>
  </si>
  <si>
    <t>Стеллаж для библиотеки</t>
  </si>
  <si>
    <t>пач.</t>
  </si>
  <si>
    <t>Бумага для пишущих машин</t>
  </si>
  <si>
    <t>Перфоратор аккумуляторный</t>
  </si>
  <si>
    <t>Бензиновый триммер</t>
  </si>
  <si>
    <t>Мыло хозяйственное</t>
  </si>
  <si>
    <t>Мыло детское</t>
  </si>
  <si>
    <t>Порошок стиральный 0,4 кг.</t>
  </si>
  <si>
    <t>Порошок стиральный 1,8 кг.</t>
  </si>
  <si>
    <t>Сода кальценированная 0,4 кг</t>
  </si>
  <si>
    <t>Паста чистящая</t>
  </si>
  <si>
    <t>Средство для мытья плит 0,75 л.</t>
  </si>
  <si>
    <t>бут.</t>
  </si>
  <si>
    <t xml:space="preserve">Средсто для мытья посуды </t>
  </si>
  <si>
    <t>л.</t>
  </si>
  <si>
    <t>Чистящий порошок Пемолюкс 0,45 кг</t>
  </si>
  <si>
    <t>Моющее средство для посудомоечной машины 2,5 кг.</t>
  </si>
  <si>
    <t>Чистящий псредство Доместос 1 л.</t>
  </si>
  <si>
    <t>Чистящее средство 0,6 л.</t>
  </si>
  <si>
    <t>Средство для мытья стекол 0,5 л.</t>
  </si>
  <si>
    <t>Кондиционер для белья Ленор 1 л.</t>
  </si>
  <si>
    <t>Отбеливатель 1 л.</t>
  </si>
  <si>
    <t>Чистящее средсво для ванн 1 л.</t>
  </si>
  <si>
    <t>Жидкое мыло детское</t>
  </si>
  <si>
    <t>Жидкое мыло детское 5 л.</t>
  </si>
  <si>
    <t>Освежитель воздуха</t>
  </si>
  <si>
    <t>Ди-хлор 300 шт.</t>
  </si>
  <si>
    <t>бан.</t>
  </si>
  <si>
    <t>Хлорамин</t>
  </si>
  <si>
    <t>Средство для мытья окон</t>
  </si>
  <si>
    <t>Оптимакс 1 л.</t>
  </si>
  <si>
    <t>Жавель солид</t>
  </si>
  <si>
    <t>Химический индикатор 50 шт.</t>
  </si>
  <si>
    <t>Швабра отжим. губ с ведром</t>
  </si>
  <si>
    <t>Веник пластик</t>
  </si>
  <si>
    <t>Бумага туалетная</t>
  </si>
  <si>
    <t>рулон</t>
  </si>
  <si>
    <t>Бумажные полотенца 2 шт.</t>
  </si>
  <si>
    <t>Салфетки</t>
  </si>
  <si>
    <t>Салфетки из микрофибры</t>
  </si>
  <si>
    <t>Платочки бумажные</t>
  </si>
  <si>
    <t>Синька</t>
  </si>
  <si>
    <t>Карандаш ч/гр</t>
  </si>
  <si>
    <t>Ручка гелевая черная</t>
  </si>
  <si>
    <t>Ручка шариковая</t>
  </si>
  <si>
    <t>Файл А4 прозрачный</t>
  </si>
  <si>
    <t/>
  </si>
  <si>
    <t xml:space="preserve">Папки файлы </t>
  </si>
  <si>
    <t>Разделители листов, картонные</t>
  </si>
  <si>
    <t>Медали "За особые успехи в учении", аттестаты, приложения к аттестату</t>
  </si>
  <si>
    <t xml:space="preserve">Клей-карандаш </t>
  </si>
  <si>
    <t>Клей ПВА</t>
  </si>
  <si>
    <t>Скоросшиватель пластик 150мкм</t>
  </si>
  <si>
    <t>Скоросшиватели пластиковые с перфорацией</t>
  </si>
  <si>
    <t>комплект 10 шт</t>
  </si>
  <si>
    <t xml:space="preserve">Скоросшиватель </t>
  </si>
  <si>
    <t>Стакана одноразовый 200мл</t>
  </si>
  <si>
    <t>Скотч 19*33</t>
  </si>
  <si>
    <t>Скотч 50*66</t>
  </si>
  <si>
    <t>Клейкая лента 48*100</t>
  </si>
  <si>
    <t>Клейкая лента 48*66</t>
  </si>
  <si>
    <t>Бумага цветная А4</t>
  </si>
  <si>
    <t>Бумага А3</t>
  </si>
  <si>
    <t>Бумага для ксерокса А4</t>
  </si>
  <si>
    <t>Блок для записей</t>
  </si>
  <si>
    <t>Блок липкий</t>
  </si>
  <si>
    <t>Грамоты</t>
  </si>
  <si>
    <t>Доска пробковая</t>
  </si>
  <si>
    <t>Доска аудиторная</t>
  </si>
  <si>
    <t>Мел школьный</t>
  </si>
  <si>
    <t>Знаки вспомогательные</t>
  </si>
  <si>
    <t>Знаки эвакуационные</t>
  </si>
  <si>
    <t>Наклейки для опечатывания документов</t>
  </si>
  <si>
    <t>Регистратор 75 мм</t>
  </si>
  <si>
    <t xml:space="preserve">  </t>
  </si>
  <si>
    <t>Накопитель документов Лоток-коробка 150мм</t>
  </si>
  <si>
    <t>Накопитель документов Лоток-коробка 75мм</t>
  </si>
  <si>
    <t>Текстовый маркер</t>
  </si>
  <si>
    <t>Тетрадь 48л.</t>
  </si>
  <si>
    <t>Скрепки 28 мм</t>
  </si>
  <si>
    <t>Скобы № 10</t>
  </si>
  <si>
    <t>Скобы №24</t>
  </si>
  <si>
    <t>Кнопки</t>
  </si>
  <si>
    <t>Ластик (резинка)</t>
  </si>
  <si>
    <t xml:space="preserve">Корректор </t>
  </si>
  <si>
    <t>Маркеры</t>
  </si>
  <si>
    <t>набор</t>
  </si>
  <si>
    <t>Скотч 48*100</t>
  </si>
  <si>
    <t>Папка с файлами</t>
  </si>
  <si>
    <t>Папка - регистратор</t>
  </si>
  <si>
    <t>Папка - уголок</t>
  </si>
  <si>
    <t>Папка с завязками карт</t>
  </si>
  <si>
    <t>Папка с мет. приж. 0,6 мм</t>
  </si>
  <si>
    <t>Папка с мет. приж 0,7мм</t>
  </si>
  <si>
    <t>Шкаф книжный</t>
  </si>
  <si>
    <t>Шкаф под ключи</t>
  </si>
  <si>
    <t>Спец одежда. Костюм мужской</t>
  </si>
  <si>
    <t>Спец одежда. Халат женскй</t>
  </si>
  <si>
    <t>Стеллаж библиотечный 2х сторон</t>
  </si>
  <si>
    <t>Стеллаж библиотечный односторонний</t>
  </si>
  <si>
    <t>Стол эргономичный</t>
  </si>
  <si>
    <t>Стол ученический</t>
  </si>
  <si>
    <t>Комплект столов демонстрационных корпусных:стол демонстрационый химический + стол приставной</t>
  </si>
  <si>
    <t>Стул ученический</t>
  </si>
  <si>
    <t>Тумба подкатная</t>
  </si>
  <si>
    <t>Скамейка 3- местная</t>
  </si>
  <si>
    <t>Скамья для раздевалок одностопрнняя</t>
  </si>
  <si>
    <t xml:space="preserve">Рубанок HAMMER </t>
  </si>
  <si>
    <t>Пила циркулярная HAMMER</t>
  </si>
  <si>
    <t>Точило HAMMER</t>
  </si>
  <si>
    <t>Набор сверл по металлу от 1 до 10(19шт)</t>
  </si>
  <si>
    <t>Нож канцелярский</t>
  </si>
  <si>
    <t>Ножницы канц.</t>
  </si>
  <si>
    <t>Ножовка по металлу 300мм(5 см,полотен)</t>
  </si>
  <si>
    <t>Ножовка по дереву 350мм</t>
  </si>
  <si>
    <t>Стамеска  16мм</t>
  </si>
  <si>
    <t>Молоток</t>
  </si>
  <si>
    <t>Набор напильников</t>
  </si>
  <si>
    <t>Ведро пластик 10л</t>
  </si>
  <si>
    <t>Ведро оцинкованное 15л</t>
  </si>
  <si>
    <t xml:space="preserve">Замок врезной </t>
  </si>
  <si>
    <t>Замок навесной</t>
  </si>
  <si>
    <t>Изолента</t>
  </si>
  <si>
    <t>Лопата снеговая с черенком</t>
  </si>
  <si>
    <t>Лопата совковая с черенком</t>
  </si>
  <si>
    <t>Лопата штыковая с черенком</t>
  </si>
  <si>
    <t>Мешок п/п зеленый</t>
  </si>
  <si>
    <t>Насадка на швабру</t>
  </si>
  <si>
    <t>Швабра для пола</t>
  </si>
  <si>
    <t>Пакеты для мусора 120 л черные</t>
  </si>
  <si>
    <t>Пакеты для мусора 30л.*50 шт.</t>
  </si>
  <si>
    <t>ролик</t>
  </si>
  <si>
    <t>Пакеты для мусора 120 л. *10 шт.</t>
  </si>
  <si>
    <t>Перчатки латексные</t>
  </si>
  <si>
    <t>Перчатки резиновые НЭП</t>
  </si>
  <si>
    <t>Перчатки ХБ ПВХ</t>
  </si>
  <si>
    <t>Полотно вафельное</t>
  </si>
  <si>
    <t>Полотенечная ткань</t>
  </si>
  <si>
    <t>Полотно для мытья пола</t>
  </si>
  <si>
    <t>Средство САНФОР 750 мл</t>
  </si>
  <si>
    <t>Средство для чистки туалетов (САНОКС)</t>
  </si>
  <si>
    <t>Средство дизенфицирующее Дихлор(300 таблеток)</t>
  </si>
  <si>
    <t>Средство для мытья пола 5 л</t>
  </si>
  <si>
    <t>Тряпкодержатель с салфеткой для пола усиленный</t>
  </si>
  <si>
    <t>Халат капроновый рабочий</t>
  </si>
  <si>
    <t>Замки навесные маленькие</t>
  </si>
  <si>
    <t>Замки навесные большие</t>
  </si>
  <si>
    <t>Йод р-р 5%-10 мл.</t>
  </si>
  <si>
    <t>Перекись водорода 3% 40 мл.</t>
  </si>
  <si>
    <t>Аммиака р-р-100 мл</t>
  </si>
  <si>
    <t>Уголь активированный 250мг №10</t>
  </si>
  <si>
    <t>Бинт стерильный 5*10 см</t>
  </si>
  <si>
    <t>Бинт стерильный 7-14 см</t>
  </si>
  <si>
    <t>Вата хирург. стерильн. 250г</t>
  </si>
  <si>
    <t>Салфетки стрерильные 16*14 №20</t>
  </si>
  <si>
    <t>Л/пласт. бактериц. 2,5*7,2 №1</t>
  </si>
  <si>
    <t>Л/пласт,3*500</t>
  </si>
  <si>
    <t>Маска трехсл.мед.№50</t>
  </si>
  <si>
    <t>Губка гемостатическая 5*5</t>
  </si>
  <si>
    <t>Левомеколь мазь 40г.</t>
  </si>
  <si>
    <t>Напальчник резиновый №5</t>
  </si>
  <si>
    <t>Пакет гипотермич. "Снежок"</t>
  </si>
  <si>
    <t>Сульфацил-натрия 20%-5мл</t>
  </si>
  <si>
    <t>Перчатки латексные хир.стер.</t>
  </si>
  <si>
    <t>Бриллиантовый зелен. 1%-10мл</t>
  </si>
  <si>
    <t>Заправка картриджей</t>
  </si>
  <si>
    <t>Приобретение огнетушителей</t>
  </si>
  <si>
    <t>Замеры сопротивлений изоляции проводки</t>
  </si>
  <si>
    <t>Испытание эл/защитных средств (перчатки)</t>
  </si>
  <si>
    <t>пар./ 2 раза в год</t>
  </si>
  <si>
    <t>Демеркуризация ламп</t>
  </si>
  <si>
    <t>Охрана объекта</t>
  </si>
  <si>
    <t>мес.</t>
  </si>
  <si>
    <t>Охрана объектов пожарной сигнализации</t>
  </si>
  <si>
    <t>час.</t>
  </si>
  <si>
    <t>GSM Контакт</t>
  </si>
  <si>
    <t>ТО приборов учета тепла</t>
  </si>
  <si>
    <t>ТО системы видеонаблюдения</t>
  </si>
  <si>
    <t>Испытание пожарных кранов</t>
  </si>
  <si>
    <t>Исследование воды после гидропромывки</t>
  </si>
  <si>
    <t>Обслуживание VipNet</t>
  </si>
  <si>
    <t>год</t>
  </si>
  <si>
    <t>м2/ 1 раз в год</t>
  </si>
  <si>
    <t>Поверка ростомеры металл.</t>
  </si>
  <si>
    <t>Поверка весы торговые</t>
  </si>
  <si>
    <t>Поверка весы медицинские</t>
  </si>
  <si>
    <t>Весы настольные циферблатные</t>
  </si>
  <si>
    <t>Поверка торговые гири 5 и 6 класса</t>
  </si>
  <si>
    <t>Поверка манометры</t>
  </si>
  <si>
    <t>ТО медицинской техники</t>
  </si>
  <si>
    <t>Поверка Гигрометры психрометрические</t>
  </si>
  <si>
    <t>Поверка тонометры</t>
  </si>
  <si>
    <t>Поверка весы электронные напольные</t>
  </si>
  <si>
    <t>Весы электронные настольные</t>
  </si>
  <si>
    <t>Поверка весы напольные</t>
  </si>
  <si>
    <t>Поверка секундомеры механические</t>
  </si>
  <si>
    <t>Поверка динамометры кистевые</t>
  </si>
  <si>
    <t>2 раза в год</t>
  </si>
  <si>
    <t>Проверка качества огнезащиты</t>
  </si>
  <si>
    <t>Огнезащитная обработка чердачных деревянных конструкций</t>
  </si>
  <si>
    <t>ТО грузового лифта</t>
  </si>
  <si>
    <t>Техническое обслуживание силового электрооборудования</t>
  </si>
  <si>
    <t>Уборка снега</t>
  </si>
  <si>
    <t>мин.</t>
  </si>
  <si>
    <t>Местная связь</t>
  </si>
  <si>
    <t>Внутризоновая связь</t>
  </si>
  <si>
    <t>Связь МН и МГ</t>
  </si>
  <si>
    <t>Количество</t>
  </si>
  <si>
    <t>Min</t>
  </si>
  <si>
    <t>Численность детей:</t>
  </si>
  <si>
    <t>Норматив</t>
  </si>
  <si>
    <t>Вода питьевая</t>
  </si>
  <si>
    <t>Антивирус</t>
  </si>
  <si>
    <t>Электроэнергия (от 150 до 670)</t>
  </si>
  <si>
    <t>Электроэнергия (до 150)</t>
  </si>
  <si>
    <t>Программное обеспечение</t>
  </si>
  <si>
    <t>Соблюдение питьевого режима</t>
  </si>
  <si>
    <t>Скобы № 24</t>
  </si>
  <si>
    <t>Маркеры для доски</t>
  </si>
  <si>
    <t>Мебель</t>
  </si>
  <si>
    <t>Хозяйственный инвентарь, инструменты, материалы и прочие хозяйственные товары</t>
  </si>
  <si>
    <t>Кухонное оборудование</t>
  </si>
  <si>
    <t>Поверка приборов учета тепловой энергии</t>
  </si>
  <si>
    <t>По данным СОШ 7 (усл. ед. / 943 дет.)</t>
  </si>
  <si>
    <t>антивирус</t>
  </si>
  <si>
    <t>Журнал: Педсовет</t>
  </si>
  <si>
    <t>Реализация основных общеобразовательных программ основного  общего образования</t>
  </si>
  <si>
    <t>Реализация основных общеобразовательных программ среднего общего образования</t>
  </si>
  <si>
    <t>МБОУ «СОШ № 2 г. Кировска»</t>
  </si>
  <si>
    <t>МБОУ  «СОШ  № 5 г. Кировска»</t>
  </si>
  <si>
    <t>МБОУ «СОШ  № 7 г. Кировска»</t>
  </si>
  <si>
    <t>МБОУ «ООШ № 8 г. Кировска»</t>
  </si>
  <si>
    <t>МБОУ  «СОШ № 10»</t>
  </si>
  <si>
    <t>МБОУ  «Хибинская  гимназия»</t>
  </si>
  <si>
    <t>Организация отдыха детей и молодежи</t>
  </si>
  <si>
    <t>Реализация адаптированных основных                          образовательных образовательных программ для детей с умственной отсталостью</t>
  </si>
  <si>
    <t>Реализация адаптированных основных образовательных образовательных программ для детей с умственной отсталостью</t>
  </si>
  <si>
    <t>1.1.</t>
  </si>
  <si>
    <t>1.2.</t>
  </si>
  <si>
    <t>2.1.</t>
  </si>
  <si>
    <t>2.2.</t>
  </si>
  <si>
    <t>3.1.</t>
  </si>
  <si>
    <t>3.2.</t>
  </si>
  <si>
    <t>4.1.</t>
  </si>
  <si>
    <t>4.2.</t>
  </si>
  <si>
    <t>5.1.</t>
  </si>
  <si>
    <t>5.2.</t>
  </si>
  <si>
    <t>6.</t>
  </si>
  <si>
    <t>7.</t>
  </si>
  <si>
    <t>9.</t>
  </si>
  <si>
    <t>Начальник лагеря</t>
  </si>
  <si>
    <t>Педагогический персонал</t>
  </si>
  <si>
    <t>Медицинский персонал</t>
  </si>
  <si>
    <t>Обслуживающий персонал</t>
  </si>
  <si>
    <t>шт. ед.</t>
  </si>
  <si>
    <t>Расходы, связанные с обеспечением предоставления услуги организации отдыха и оздоровления детей в оздоровительных учреждениях:
- на приобретение канцелярских принадлежностей, книжной, иной печатной продукции на бумажных и иных носителях;
- на приобретение медикаментов и перевязочных средств, хозяйственных материалов, моющих и дезинфицирующих средств;
- на приобретение товаров для проведения культурно-массовых мероприятий, призов и награждение участников мероприятий;
приобретение услуг по проведению культурно-досуговых мероприятий;
- на оплату услуг по медицинскому освидетельствованию персонала.</t>
  </si>
  <si>
    <t>Постановление администрации города Кировска от 14.05.2014 № 694</t>
  </si>
  <si>
    <t>10028000000000002005101</t>
  </si>
  <si>
    <t>Организация отдыха детей и молодёжи</t>
  </si>
  <si>
    <t>Наименование муниципальной услуги: Организация отдыха детей и молодёжи</t>
  </si>
  <si>
    <t>Организация отдыха детей и молодежи
(10028000000000002005101)</t>
  </si>
  <si>
    <t>Реализация адаптированных основных                          образовательных образовательных программ для детей с умственной отсталостью
(11Д39000400100001000100)</t>
  </si>
  <si>
    <t xml:space="preserve">Реализация основных общеобразовательных программ начального общего образования </t>
  </si>
  <si>
    <r>
      <t xml:space="preserve">Наименование муниципальной услуги: </t>
    </r>
    <r>
      <rPr>
        <b/>
        <sz val="10"/>
        <rFont val="Times New Roman"/>
        <family val="1"/>
        <charset val="204"/>
      </rPr>
      <t>Реализация основных общеобразовательных программ начального общего образования</t>
    </r>
  </si>
  <si>
    <t>Коммерческие предложения</t>
  </si>
  <si>
    <t>усл. Ед.</t>
  </si>
  <si>
    <t>Регистратор 50 мм</t>
  </si>
  <si>
    <r>
      <t xml:space="preserve">Наименование муниципальной услуги: </t>
    </r>
    <r>
      <rPr>
        <b/>
        <sz val="10"/>
        <rFont val="Times New Roman"/>
        <family val="1"/>
        <charset val="204"/>
      </rPr>
      <t>Реализация основных общеобразовательных программ основного  общего образования</t>
    </r>
  </si>
  <si>
    <r>
      <t xml:space="preserve">Наименование муниципальной услуги: </t>
    </r>
    <r>
      <rPr>
        <b/>
        <sz val="10"/>
        <rFont val="Times New Roman"/>
        <family val="1"/>
        <charset val="204"/>
      </rPr>
      <t>Реализация адаптированных основных образовательных образовательных программ для детей с умственной отсталостью</t>
    </r>
  </si>
  <si>
    <t>Согласовано начальником финансово-экономического управления администрации города Кировска</t>
  </si>
  <si>
    <t>Административно-управленческий персонал</t>
  </si>
  <si>
    <t>шт.ед.</t>
  </si>
  <si>
    <t>усл.ед.</t>
  </si>
  <si>
    <t>Заработная плата</t>
  </si>
  <si>
    <t>Коммунальные расходы</t>
  </si>
  <si>
    <t>Продукты питания</t>
  </si>
  <si>
    <t>Налоги за негативное воздействие</t>
  </si>
  <si>
    <t>Расходы к распределению</t>
  </si>
  <si>
    <t>Лагеря</t>
  </si>
  <si>
    <t>Итого</t>
  </si>
  <si>
    <t>11787000301000101000101;
11787000201000101001101;
11787000100400101005101;
11787000300500220006101</t>
  </si>
  <si>
    <t>11791000301000101004101;
11791000201000101005101;
11791000100400101009101;
11791000300500221009101</t>
  </si>
  <si>
    <t>11794000301000105007101;
11794000201000101002101;
11794000200500208004101</t>
  </si>
  <si>
    <t>11Д39000400100001000100;
11Д39004800200001006100</t>
  </si>
  <si>
    <t xml:space="preserve">11787000301000101000101;
11787000201000101001101;
11787000100400101005101;
11787000300500220006101
</t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</si>
  <si>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11787000301000101000101; 11787000201000101001101; 11787000100400101005101; 11787000300500220006101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</si>
  <si>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11791000301000101004101; 11791000201000101005101; 11791000100400101009101; 11791000300500221009101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</si>
  <si>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11794000301000105007101; 11794000201000101002101; 11794000200500208004101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</si>
  <si>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11Д39000400100001000100; 11Д39004800200001006100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</si>
  <si>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10028000000000002005101</t>
    </r>
  </si>
  <si>
    <t>Реализация основных общеобразовательных программ основного  общего образования
(11787000301000101000101;
11787000201000101001101;
11787000100400101005101;
11787000300500220006101)</t>
  </si>
  <si>
    <t>Реализация основных общеобразовательных программ основного  общего образования
(11791000301000101004101;
11791000201000101005101;
11791000100400101009101;
11791000300500221009101)</t>
  </si>
  <si>
    <t>Реализация основных общеобразовательных программ среднего общего образования
(11794000301000105007101;
11794000201000101002101;
11794000200500208004101)</t>
  </si>
  <si>
    <t>Реализация основных общеобразовательных программ основного общего образования</t>
  </si>
  <si>
    <t>Объем доходов, планируемых к поступлению от предпринимательской деятельности</t>
  </si>
  <si>
    <t>Примечание: объем финансового обеспечения выполнения муниципального задания уменьшен на объем доходов, планируемых к поступлению от предпринимательской деятельности (с применением коэффициента платной деятельности), в связи с чем итоговый объем финансового обеспечения выполнения муниципального задания составил:</t>
  </si>
  <si>
    <t>на оказание муниципальных услуг на плановый период 2018-2019 г.г.</t>
  </si>
  <si>
    <t>МУНИЦИПАЛЬНОГО ЗАДАНИЯ НА ПЛАНОВЫЙ ПЕРИОД 2018-2019 Г.Г.</t>
  </si>
  <si>
    <t xml:space="preserve">к приказу комитета образования, культуры и спорта                                                                от 22.12.2016 №  529 а
</t>
  </si>
  <si>
    <t>Приложение №7</t>
  </si>
  <si>
    <t>Приложение №1 6</t>
  </si>
  <si>
    <t>Приложение № 25</t>
  </si>
  <si>
    <t xml:space="preserve">к приказу комитета образования, культуры и спорта                                                                от 22.12.2016 №  529 а 
</t>
  </si>
  <si>
    <t>Приложение № 35</t>
  </si>
  <si>
    <t xml:space="preserve">к приказу комитета образования, культуры и спорта                                                                от 22.12.2016 №  529 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</si>
</sst>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"/>
  </numFmts>
  <fonts count="23" x14ac:knownFonts="1">
    <font>
      <sz val="11"/>
      <color rgb="FF000000"/>
      <name val="Calibri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vertAlign val="subscript"/>
      <sz val="11"/>
      <color indexed="8"/>
      <name val="Times New Roman"/>
      <family val="1"/>
      <charset val="204"/>
    </font>
    <font>
      <sz val="10"/>
      <color indexed="8"/>
      <name val="Courier New"/>
      <family val="3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3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31"/>
      </patternFill>
    </fill>
    <fill>
      <patternFill patternType="solid">
        <fgColor indexed="5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1" fillId="0" borderId="0"/>
    <xf numFmtId="0" fontId="22" fillId="0" borderId="0"/>
  </cellStyleXfs>
  <cellXfs count="210">
    <xf numFmtId="0" fontId="0" fillId="0" borderId="0" xfId="0" applyFont="1" applyAlignment="1"/>
    <xf numFmtId="0" fontId="8" fillId="0" borderId="0" xfId="1" applyFont="1"/>
    <xf numFmtId="0" fontId="8" fillId="0" borderId="0" xfId="1" applyFont="1" applyAlignment="1">
      <alignment horizontal="justify" vertical="center"/>
    </xf>
    <xf numFmtId="0" fontId="21" fillId="0" borderId="0" xfId="1" applyAlignment="1">
      <alignment horizontal="right" vertical="center"/>
    </xf>
    <xf numFmtId="0" fontId="21" fillId="0" borderId="0" xfId="1"/>
    <xf numFmtId="0" fontId="21" fillId="0" borderId="0" xfId="1" applyAlignment="1">
      <alignment horizontal="justify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vertical="top" wrapText="1"/>
    </xf>
    <xf numFmtId="0" fontId="10" fillId="0" borderId="0" xfId="1" applyFont="1" applyAlignment="1">
      <alignment horizontal="justify" vertical="center"/>
    </xf>
    <xf numFmtId="0" fontId="8" fillId="0" borderId="0" xfId="1" applyFont="1" applyAlignment="1">
      <alignment horizontal="right" vertical="center"/>
    </xf>
    <xf numFmtId="0" fontId="13" fillId="0" borderId="0" xfId="1" applyFont="1" applyAlignment="1">
      <alignment horizontal="justify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 wrapText="1"/>
    </xf>
    <xf numFmtId="0" fontId="8" fillId="0" borderId="2" xfId="1" applyFont="1" applyBorder="1" applyAlignment="1">
      <alignment vertical="top" wrapText="1"/>
    </xf>
    <xf numFmtId="0" fontId="2" fillId="0" borderId="2" xfId="2" applyFont="1" applyBorder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4" fillId="0" borderId="0" xfId="2" applyFont="1" applyAlignment="1">
      <alignment vertical="top" wrapText="1"/>
    </xf>
    <xf numFmtId="0" fontId="2" fillId="2" borderId="2" xfId="2" applyFont="1" applyFill="1" applyBorder="1" applyAlignment="1">
      <alignment horizontal="left" vertical="top" wrapText="1"/>
    </xf>
    <xf numFmtId="0" fontId="2" fillId="2" borderId="2" xfId="2" applyFont="1" applyFill="1" applyBorder="1" applyAlignment="1">
      <alignment horizontal="center" vertical="top" wrapText="1"/>
    </xf>
    <xf numFmtId="4" fontId="2" fillId="2" borderId="2" xfId="2" applyNumberFormat="1" applyFont="1" applyFill="1" applyBorder="1" applyAlignment="1">
      <alignment horizontal="right" vertical="top" wrapText="1"/>
    </xf>
    <xf numFmtId="4" fontId="2" fillId="2" borderId="2" xfId="2" applyNumberFormat="1" applyFont="1" applyFill="1" applyBorder="1" applyAlignment="1">
      <alignment horizontal="center" vertical="top" wrapText="1"/>
    </xf>
    <xf numFmtId="4" fontId="2" fillId="3" borderId="2" xfId="2" applyNumberFormat="1" applyFont="1" applyFill="1" applyBorder="1" applyAlignment="1">
      <alignment horizontal="right" vertical="top" wrapText="1"/>
    </xf>
    <xf numFmtId="0" fontId="4" fillId="2" borderId="2" xfId="2" applyFont="1" applyFill="1" applyBorder="1" applyAlignment="1">
      <alignment horizontal="left" vertical="top" wrapText="1"/>
    </xf>
    <xf numFmtId="0" fontId="4" fillId="2" borderId="2" xfId="2" applyFont="1" applyFill="1" applyBorder="1" applyAlignment="1">
      <alignment horizontal="center" vertical="top" wrapText="1"/>
    </xf>
    <xf numFmtId="4" fontId="4" fillId="2" borderId="2" xfId="2" applyNumberFormat="1" applyFont="1" applyFill="1" applyBorder="1" applyAlignment="1">
      <alignment horizontal="right" vertical="top" wrapText="1"/>
    </xf>
    <xf numFmtId="4" fontId="4" fillId="3" borderId="2" xfId="2" applyNumberFormat="1" applyFont="1" applyFill="1" applyBorder="1" applyAlignment="1">
      <alignment horizontal="right" vertical="top" wrapText="1"/>
    </xf>
    <xf numFmtId="0" fontId="4" fillId="0" borderId="2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center" vertical="top" wrapText="1"/>
    </xf>
    <xf numFmtId="4" fontId="2" fillId="0" borderId="2" xfId="2" applyNumberFormat="1" applyFont="1" applyFill="1" applyBorder="1" applyAlignment="1">
      <alignment horizontal="right" vertical="top" wrapText="1"/>
    </xf>
    <xf numFmtId="4" fontId="4" fillId="0" borderId="2" xfId="2" applyNumberFormat="1" applyFont="1" applyFill="1" applyBorder="1" applyAlignment="1">
      <alignment horizontal="right" vertical="top" wrapText="1"/>
    </xf>
    <xf numFmtId="4" fontId="2" fillId="4" borderId="2" xfId="2" applyNumberFormat="1" applyFont="1" applyFill="1" applyBorder="1" applyAlignment="1">
      <alignment horizontal="right" vertical="top" wrapText="1"/>
    </xf>
    <xf numFmtId="4" fontId="4" fillId="4" borderId="2" xfId="2" applyNumberFormat="1" applyFont="1" applyFill="1" applyBorder="1" applyAlignment="1">
      <alignment horizontal="right" vertical="top" wrapText="1"/>
    </xf>
    <xf numFmtId="0" fontId="4" fillId="0" borderId="0" xfId="2" applyFont="1" applyFill="1" applyAlignment="1">
      <alignment vertical="top" wrapText="1"/>
    </xf>
    <xf numFmtId="0" fontId="2" fillId="0" borderId="2" xfId="2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vertical="top" wrapText="1"/>
    </xf>
    <xf numFmtId="0" fontId="3" fillId="0" borderId="0" xfId="2" applyFont="1" applyFill="1" applyAlignment="1">
      <alignment vertical="top"/>
    </xf>
    <xf numFmtId="0" fontId="4" fillId="0" borderId="2" xfId="2" applyFont="1" applyBorder="1" applyAlignment="1">
      <alignment horizontal="left" vertical="top" wrapText="1"/>
    </xf>
    <xf numFmtId="0" fontId="4" fillId="0" borderId="2" xfId="2" applyFont="1" applyBorder="1" applyAlignment="1">
      <alignment horizontal="center" vertical="top" wrapText="1"/>
    </xf>
    <xf numFmtId="4" fontId="4" fillId="0" borderId="2" xfId="2" applyNumberFormat="1" applyFont="1" applyBorder="1" applyAlignment="1">
      <alignment horizontal="right" vertical="top" wrapText="1"/>
    </xf>
    <xf numFmtId="4" fontId="2" fillId="0" borderId="2" xfId="2" applyNumberFormat="1" applyFont="1" applyBorder="1" applyAlignment="1">
      <alignment horizontal="right" vertical="top" wrapText="1"/>
    </xf>
    <xf numFmtId="0" fontId="3" fillId="0" borderId="0" xfId="2" applyFont="1" applyAlignment="1">
      <alignment vertical="top"/>
    </xf>
    <xf numFmtId="0" fontId="4" fillId="5" borderId="2" xfId="2" applyFont="1" applyFill="1" applyBorder="1" applyAlignment="1">
      <alignment horizontal="left" vertical="top" wrapText="1"/>
    </xf>
    <xf numFmtId="0" fontId="14" fillId="0" borderId="2" xfId="2" applyFont="1" applyFill="1" applyBorder="1" applyAlignment="1">
      <alignment horizontal="left" vertical="top" wrapText="1"/>
    </xf>
    <xf numFmtId="0" fontId="14" fillId="0" borderId="2" xfId="2" applyFont="1" applyFill="1" applyBorder="1" applyAlignment="1">
      <alignment horizontal="center" vertical="top" wrapText="1"/>
    </xf>
    <xf numFmtId="4" fontId="14" fillId="0" borderId="2" xfId="2" applyNumberFormat="1" applyFont="1" applyFill="1" applyBorder="1" applyAlignment="1">
      <alignment horizontal="right" vertical="top" wrapText="1"/>
    </xf>
    <xf numFmtId="4" fontId="14" fillId="4" borderId="2" xfId="2" applyNumberFormat="1" applyFont="1" applyFill="1" applyBorder="1" applyAlignment="1">
      <alignment horizontal="right" vertical="top" wrapText="1"/>
    </xf>
    <xf numFmtId="4" fontId="4" fillId="0" borderId="3" xfId="2" applyNumberFormat="1" applyFont="1" applyFill="1" applyBorder="1" applyAlignment="1">
      <alignment horizontal="right" vertical="top" wrapText="1"/>
    </xf>
    <xf numFmtId="0" fontId="2" fillId="0" borderId="0" xfId="2" applyFont="1" applyAlignment="1">
      <alignment vertical="top" wrapText="1"/>
    </xf>
    <xf numFmtId="4" fontId="2" fillId="0" borderId="0" xfId="2" applyNumberFormat="1" applyFont="1" applyAlignment="1">
      <alignment vertical="top" wrapText="1"/>
    </xf>
    <xf numFmtId="4" fontId="2" fillId="0" borderId="2" xfId="2" applyNumberFormat="1" applyFont="1" applyFill="1" applyBorder="1" applyAlignment="1">
      <alignment horizontal="center" vertical="top" wrapText="1"/>
    </xf>
    <xf numFmtId="164" fontId="2" fillId="0" borderId="2" xfId="2" applyNumberFormat="1" applyFont="1" applyFill="1" applyBorder="1" applyAlignment="1">
      <alignment horizontal="center" vertical="top" wrapText="1"/>
    </xf>
    <xf numFmtId="164" fontId="4" fillId="0" borderId="2" xfId="2" applyNumberFormat="1" applyFont="1" applyFill="1" applyBorder="1" applyAlignment="1">
      <alignment horizontal="center" vertical="top" wrapText="1"/>
    </xf>
    <xf numFmtId="0" fontId="10" fillId="0" borderId="0" xfId="1" applyFont="1"/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  <xf numFmtId="0" fontId="10" fillId="0" borderId="2" xfId="1" applyFont="1" applyBorder="1" applyAlignment="1">
      <alignment vertical="top" wrapText="1"/>
    </xf>
    <xf numFmtId="0" fontId="10" fillId="0" borderId="0" xfId="1" applyFont="1" applyAlignment="1">
      <alignment horizontal="left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15" fillId="0" borderId="0" xfId="1" applyFont="1"/>
    <xf numFmtId="4" fontId="4" fillId="0" borderId="2" xfId="2" applyNumberFormat="1" applyFont="1" applyFill="1" applyBorder="1" applyAlignment="1">
      <alignment horizontal="center" vertical="top" wrapText="1"/>
    </xf>
    <xf numFmtId="0" fontId="9" fillId="0" borderId="2" xfId="1" applyFont="1" applyBorder="1" applyAlignment="1">
      <alignment vertical="center" wrapText="1"/>
    </xf>
    <xf numFmtId="0" fontId="7" fillId="0" borderId="0" xfId="1" applyFont="1"/>
    <xf numFmtId="164" fontId="10" fillId="0" borderId="2" xfId="1" applyNumberFormat="1" applyFont="1" applyBorder="1" applyAlignment="1">
      <alignment horizontal="center" vertical="top" wrapText="1"/>
    </xf>
    <xf numFmtId="0" fontId="8" fillId="0" borderId="4" xfId="1" applyFont="1" applyBorder="1"/>
    <xf numFmtId="0" fontId="11" fillId="0" borderId="0" xfId="1" applyFont="1" applyAlignment="1">
      <alignment horizontal="center" vertical="top"/>
    </xf>
    <xf numFmtId="4" fontId="21" fillId="0" borderId="0" xfId="1" applyNumberFormat="1"/>
    <xf numFmtId="4" fontId="10" fillId="0" borderId="2" xfId="1" applyNumberFormat="1" applyFont="1" applyBorder="1" applyAlignment="1">
      <alignment horizontal="center" vertical="top" wrapText="1"/>
    </xf>
    <xf numFmtId="0" fontId="4" fillId="0" borderId="6" xfId="2" applyFont="1" applyFill="1" applyBorder="1" applyAlignment="1">
      <alignment horizontal="left" vertical="top" wrapText="1"/>
    </xf>
    <xf numFmtId="0" fontId="4" fillId="0" borderId="6" xfId="2" applyFont="1" applyFill="1" applyBorder="1" applyAlignment="1">
      <alignment horizontal="center" vertical="top" wrapText="1"/>
    </xf>
    <xf numFmtId="164" fontId="4" fillId="0" borderId="6" xfId="2" applyNumberFormat="1" applyFont="1" applyFill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center" wrapText="1"/>
    </xf>
    <xf numFmtId="4" fontId="15" fillId="0" borderId="2" xfId="1" applyNumberFormat="1" applyFont="1" applyBorder="1" applyAlignment="1">
      <alignment horizontal="center" vertical="top" wrapText="1"/>
    </xf>
    <xf numFmtId="0" fontId="10" fillId="0" borderId="0" xfId="1" applyFont="1" applyAlignment="1">
      <alignment horizontal="right" vertical="center"/>
    </xf>
    <xf numFmtId="0" fontId="10" fillId="0" borderId="0" xfId="1" applyFont="1" applyFill="1"/>
    <xf numFmtId="0" fontId="15" fillId="0" borderId="0" xfId="1" applyFont="1" applyFill="1"/>
    <xf numFmtId="0" fontId="4" fillId="0" borderId="0" xfId="0" applyFont="1" applyAlignment="1">
      <alignment horizontal="justify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8" fillId="0" borderId="2" xfId="1" applyFont="1" applyBorder="1" applyAlignment="1">
      <alignment horizontal="left" vertical="top" wrapText="1"/>
    </xf>
    <xf numFmtId="4" fontId="8" fillId="0" borderId="2" xfId="1" applyNumberFormat="1" applyFont="1" applyBorder="1" applyAlignment="1">
      <alignment vertical="top" wrapText="1"/>
    </xf>
    <xf numFmtId="4" fontId="8" fillId="0" borderId="2" xfId="1" applyNumberFormat="1" applyFont="1" applyBorder="1" applyAlignment="1">
      <alignment horizontal="right" vertical="top" wrapText="1"/>
    </xf>
    <xf numFmtId="4" fontId="8" fillId="0" borderId="2" xfId="1" applyNumberFormat="1" applyFont="1" applyBorder="1" applyAlignment="1">
      <alignment vertical="center" wrapText="1"/>
    </xf>
    <xf numFmtId="0" fontId="9" fillId="0" borderId="2" xfId="1" applyFont="1" applyBorder="1" applyAlignment="1">
      <alignment horizontal="center" vertical="top" wrapText="1"/>
    </xf>
    <xf numFmtId="4" fontId="9" fillId="0" borderId="2" xfId="1" applyNumberFormat="1" applyFont="1" applyBorder="1" applyAlignment="1">
      <alignment horizontal="right" vertical="top" wrapText="1"/>
    </xf>
    <xf numFmtId="0" fontId="9" fillId="0" borderId="2" xfId="1" applyFont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right" wrapText="1"/>
    </xf>
    <xf numFmtId="4" fontId="7" fillId="0" borderId="0" xfId="1" applyNumberFormat="1" applyFont="1"/>
    <xf numFmtId="164" fontId="8" fillId="0" borderId="2" xfId="1" applyNumberFormat="1" applyFont="1" applyBorder="1" applyAlignment="1">
      <alignment vertical="top" wrapText="1"/>
    </xf>
    <xf numFmtId="164" fontId="21" fillId="0" borderId="0" xfId="1" applyNumberFormat="1"/>
    <xf numFmtId="4" fontId="4" fillId="0" borderId="2" xfId="2" applyNumberFormat="1" applyFont="1" applyBorder="1" applyAlignment="1">
      <alignment vertical="top" wrapText="1"/>
    </xf>
    <xf numFmtId="0" fontId="16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0" fontId="4" fillId="0" borderId="0" xfId="2" applyFont="1"/>
    <xf numFmtId="0" fontId="4" fillId="0" borderId="0" xfId="2" applyFont="1" applyAlignment="1">
      <alignment horizontal="left" vertical="center"/>
    </xf>
    <xf numFmtId="0" fontId="2" fillId="0" borderId="0" xfId="2" applyFont="1"/>
    <xf numFmtId="4" fontId="4" fillId="0" borderId="0" xfId="2" applyNumberFormat="1" applyFont="1"/>
    <xf numFmtId="4" fontId="4" fillId="6" borderId="2" xfId="2" applyNumberFormat="1" applyFont="1" applyFill="1" applyBorder="1" applyAlignment="1">
      <alignment horizontal="right" vertical="top" wrapText="1"/>
    </xf>
    <xf numFmtId="4" fontId="4" fillId="0" borderId="2" xfId="2" applyNumberFormat="1" applyFont="1" applyBorder="1" applyAlignment="1">
      <alignment vertical="top"/>
    </xf>
    <xf numFmtId="0" fontId="3" fillId="0" borderId="0" xfId="2" applyFont="1" applyAlignment="1"/>
    <xf numFmtId="0" fontId="4" fillId="0" borderId="0" xfId="2" applyFont="1" applyAlignment="1">
      <alignment vertical="top"/>
    </xf>
    <xf numFmtId="10" fontId="4" fillId="0" borderId="0" xfId="2" applyNumberFormat="1" applyFont="1"/>
    <xf numFmtId="0" fontId="6" fillId="7" borderId="2" xfId="2" applyFont="1" applyFill="1" applyBorder="1" applyAlignment="1">
      <alignment vertical="top"/>
    </xf>
    <xf numFmtId="0" fontId="6" fillId="7" borderId="2" xfId="2" applyFont="1" applyFill="1" applyBorder="1" applyAlignment="1">
      <alignment horizontal="center" vertical="top"/>
    </xf>
    <xf numFmtId="165" fontId="4" fillId="7" borderId="2" xfId="2" applyNumberFormat="1" applyFont="1" applyFill="1" applyBorder="1" applyAlignment="1">
      <alignment horizontal="center" vertical="top" wrapText="1"/>
    </xf>
    <xf numFmtId="165" fontId="6" fillId="7" borderId="2" xfId="2" applyNumberFormat="1" applyFont="1" applyFill="1" applyBorder="1" applyAlignment="1">
      <alignment horizontal="center" vertical="top"/>
    </xf>
    <xf numFmtId="0" fontId="4" fillId="7" borderId="0" xfId="2" applyFont="1" applyFill="1" applyAlignment="1">
      <alignment vertical="top"/>
    </xf>
    <xf numFmtId="4" fontId="4" fillId="5" borderId="2" xfId="2" applyNumberFormat="1" applyFont="1" applyFill="1" applyBorder="1" applyAlignment="1">
      <alignment horizontal="right" vertical="top" wrapText="1"/>
    </xf>
    <xf numFmtId="0" fontId="4" fillId="5" borderId="2" xfId="2" applyFont="1" applyFill="1" applyBorder="1" applyAlignment="1">
      <alignment horizontal="center" vertical="top" wrapText="1"/>
    </xf>
    <xf numFmtId="4" fontId="2" fillId="5" borderId="2" xfId="2" applyNumberFormat="1" applyFont="1" applyFill="1" applyBorder="1" applyAlignment="1">
      <alignment horizontal="right" vertical="top" wrapText="1"/>
    </xf>
    <xf numFmtId="4" fontId="4" fillId="5" borderId="2" xfId="2" applyNumberFormat="1" applyFont="1" applyFill="1" applyBorder="1" applyAlignment="1">
      <alignment vertical="top"/>
    </xf>
    <xf numFmtId="4" fontId="6" fillId="5" borderId="2" xfId="2" applyNumberFormat="1" applyFont="1" applyFill="1" applyBorder="1" applyAlignment="1">
      <alignment vertical="top" wrapText="1"/>
    </xf>
    <xf numFmtId="4" fontId="4" fillId="0" borderId="0" xfId="2" applyNumberFormat="1" applyFont="1" applyAlignment="1">
      <alignment vertical="top" wrapText="1"/>
    </xf>
    <xf numFmtId="4" fontId="4" fillId="0" borderId="0" xfId="2" applyNumberFormat="1" applyFont="1" applyFill="1" applyAlignment="1">
      <alignment vertical="top" wrapText="1"/>
    </xf>
    <xf numFmtId="4" fontId="3" fillId="0" borderId="0" xfId="2" applyNumberFormat="1" applyFont="1" applyFill="1" applyAlignment="1">
      <alignment vertical="top"/>
    </xf>
    <xf numFmtId="4" fontId="3" fillId="0" borderId="0" xfId="2" applyNumberFormat="1" applyFont="1" applyAlignment="1">
      <alignment vertical="top"/>
    </xf>
    <xf numFmtId="0" fontId="10" fillId="0" borderId="7" xfId="1" applyFont="1" applyBorder="1" applyAlignment="1">
      <alignment horizontal="justify" vertical="top" wrapText="1"/>
    </xf>
    <xf numFmtId="4" fontId="8" fillId="0" borderId="2" xfId="1" applyNumberFormat="1" applyFont="1" applyBorder="1" applyAlignment="1">
      <alignment horizontal="right" vertical="center" wrapText="1"/>
    </xf>
    <xf numFmtId="3" fontId="4" fillId="0" borderId="2" xfId="2" applyNumberFormat="1" applyFont="1" applyBorder="1" applyAlignment="1">
      <alignment horizontal="right" vertical="top" wrapText="1"/>
    </xf>
    <xf numFmtId="3" fontId="4" fillId="0" borderId="2" xfId="2" applyNumberFormat="1" applyFont="1" applyFill="1" applyBorder="1" applyAlignment="1">
      <alignment horizontal="right" vertical="top" wrapText="1"/>
    </xf>
    <xf numFmtId="4" fontId="10" fillId="0" borderId="2" xfId="1" applyNumberFormat="1" applyFont="1" applyFill="1" applyBorder="1" applyAlignment="1">
      <alignment horizontal="center" vertical="top" wrapText="1"/>
    </xf>
    <xf numFmtId="4" fontId="15" fillId="0" borderId="2" xfId="1" applyNumberFormat="1" applyFont="1" applyFill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4" fontId="6" fillId="0" borderId="2" xfId="1" applyNumberFormat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4" fontId="5" fillId="0" borderId="2" xfId="1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2" fillId="5" borderId="2" xfId="2" applyFont="1" applyFill="1" applyBorder="1" applyAlignment="1">
      <alignment horizontal="center" vertical="top" wrapText="1"/>
    </xf>
    <xf numFmtId="4" fontId="1" fillId="0" borderId="0" xfId="1" applyNumberFormat="1" applyFont="1"/>
    <xf numFmtId="164" fontId="10" fillId="0" borderId="2" xfId="1" applyNumberFormat="1" applyFont="1" applyBorder="1" applyAlignment="1">
      <alignment vertical="top" wrapText="1"/>
    </xf>
    <xf numFmtId="0" fontId="8" fillId="8" borderId="2" xfId="1" applyFont="1" applyFill="1" applyBorder="1" applyAlignment="1">
      <alignment horizontal="left" vertical="top" wrapText="1"/>
    </xf>
    <xf numFmtId="49" fontId="8" fillId="8" borderId="2" xfId="1" applyNumberFormat="1" applyFont="1" applyFill="1" applyBorder="1" applyAlignment="1">
      <alignment horizontal="left" vertical="top" wrapText="1"/>
    </xf>
    <xf numFmtId="0" fontId="9" fillId="8" borderId="2" xfId="1" applyFont="1" applyFill="1" applyBorder="1" applyAlignment="1">
      <alignment vertical="top" wrapText="1"/>
    </xf>
    <xf numFmtId="4" fontId="9" fillId="8" borderId="2" xfId="1" applyNumberFormat="1" applyFont="1" applyFill="1" applyBorder="1" applyAlignment="1">
      <alignment vertical="top" wrapText="1"/>
    </xf>
    <xf numFmtId="0" fontId="8" fillId="8" borderId="2" xfId="1" applyFont="1" applyFill="1" applyBorder="1" applyAlignment="1">
      <alignment vertical="top" wrapText="1"/>
    </xf>
    <xf numFmtId="4" fontId="8" fillId="8" borderId="2" xfId="1" applyNumberFormat="1" applyFont="1" applyFill="1" applyBorder="1" applyAlignment="1">
      <alignment vertical="top" wrapText="1"/>
    </xf>
    <xf numFmtId="2" fontId="4" fillId="0" borderId="0" xfId="2" applyNumberFormat="1" applyFont="1" applyAlignment="1">
      <alignment vertical="top" wrapText="1"/>
    </xf>
    <xf numFmtId="0" fontId="4" fillId="8" borderId="2" xfId="2" applyFont="1" applyFill="1" applyBorder="1" applyAlignment="1">
      <alignment horizontal="left" vertical="top" wrapText="1"/>
    </xf>
    <xf numFmtId="0" fontId="4" fillId="8" borderId="2" xfId="2" applyFont="1" applyFill="1" applyBorder="1" applyAlignment="1">
      <alignment horizontal="center" vertical="top" wrapText="1"/>
    </xf>
    <xf numFmtId="0" fontId="19" fillId="0" borderId="0" xfId="2" applyFont="1" applyAlignment="1">
      <alignment vertical="top" wrapText="1"/>
    </xf>
    <xf numFmtId="0" fontId="19" fillId="5" borderId="2" xfId="2" applyFont="1" applyFill="1" applyBorder="1" applyAlignment="1">
      <alignment vertical="top" wrapText="1"/>
    </xf>
    <xf numFmtId="0" fontId="19" fillId="0" borderId="2" xfId="2" applyFont="1" applyBorder="1" applyAlignment="1">
      <alignment vertical="top" wrapText="1"/>
    </xf>
    <xf numFmtId="0" fontId="4" fillId="5" borderId="2" xfId="2" applyFont="1" applyFill="1" applyBorder="1" applyAlignment="1">
      <alignment vertical="top" wrapText="1"/>
    </xf>
    <xf numFmtId="4" fontId="2" fillId="9" borderId="2" xfId="2" applyNumberFormat="1" applyFont="1" applyFill="1" applyBorder="1" applyAlignment="1">
      <alignment horizontal="right" vertical="top" wrapText="1"/>
    </xf>
    <xf numFmtId="4" fontId="3" fillId="5" borderId="0" xfId="2" applyNumberFormat="1" applyFont="1" applyFill="1" applyAlignment="1">
      <alignment vertical="top"/>
    </xf>
    <xf numFmtId="4" fontId="4" fillId="5" borderId="0" xfId="2" applyNumberFormat="1" applyFont="1" applyFill="1" applyAlignment="1">
      <alignment vertical="top" wrapText="1"/>
    </xf>
    <xf numFmtId="0" fontId="4" fillId="5" borderId="0" xfId="2" applyFont="1" applyFill="1" applyAlignment="1">
      <alignment vertical="top" wrapText="1"/>
    </xf>
    <xf numFmtId="164" fontId="21" fillId="0" borderId="2" xfId="1" applyNumberFormat="1" applyBorder="1"/>
    <xf numFmtId="4" fontId="8" fillId="0" borderId="0" xfId="1" applyNumberFormat="1" applyFont="1" applyBorder="1" applyAlignment="1">
      <alignment horizontal="right" vertical="center" wrapText="1"/>
    </xf>
    <xf numFmtId="0" fontId="8" fillId="0" borderId="0" xfId="1" applyFont="1" applyBorder="1" applyAlignment="1">
      <alignment horizontal="left" vertical="center" wrapText="1"/>
    </xf>
    <xf numFmtId="0" fontId="8" fillId="0" borderId="0" xfId="1" applyFont="1" applyBorder="1" applyAlignment="1">
      <alignment vertical="top" wrapText="1"/>
    </xf>
    <xf numFmtId="0" fontId="3" fillId="0" borderId="2" xfId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right" vertical="center"/>
    </xf>
    <xf numFmtId="4" fontId="9" fillId="0" borderId="2" xfId="1" applyNumberFormat="1" applyFont="1" applyBorder="1" applyAlignment="1">
      <alignment horizontal="right" vertical="center"/>
    </xf>
    <xf numFmtId="4" fontId="9" fillId="0" borderId="2" xfId="1" applyNumberFormat="1" applyFont="1" applyBorder="1" applyAlignment="1">
      <alignment horizontal="right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2" fillId="0" borderId="2" xfId="2" applyFont="1" applyBorder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16" fillId="0" borderId="0" xfId="2" applyFont="1" applyAlignment="1">
      <alignment horizontal="left" vertical="center"/>
    </xf>
    <xf numFmtId="0" fontId="3" fillId="0" borderId="0" xfId="2" applyFont="1" applyAlignment="1"/>
    <xf numFmtId="0" fontId="17" fillId="0" borderId="2" xfId="2" applyFont="1" applyBorder="1"/>
    <xf numFmtId="0" fontId="6" fillId="0" borderId="2" xfId="2" applyFont="1" applyBorder="1" applyAlignment="1">
      <alignment vertical="top" wrapText="1"/>
    </xf>
    <xf numFmtId="0" fontId="2" fillId="0" borderId="7" xfId="2" applyFont="1" applyBorder="1" applyAlignment="1">
      <alignment horizontal="center" vertical="top" wrapText="1"/>
    </xf>
    <xf numFmtId="0" fontId="2" fillId="0" borderId="6" xfId="2" applyFont="1" applyBorder="1" applyAlignment="1">
      <alignment horizontal="center" vertical="top" wrapText="1"/>
    </xf>
    <xf numFmtId="0" fontId="5" fillId="0" borderId="8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9" xfId="2" applyFont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0" fillId="0" borderId="2" xfId="1" applyFont="1" applyBorder="1" applyAlignment="1">
      <alignment horizontal="left" vertical="top" wrapText="1"/>
    </xf>
    <xf numFmtId="0" fontId="10" fillId="0" borderId="7" xfId="1" applyFont="1" applyBorder="1" applyAlignment="1">
      <alignment horizontal="justify" vertical="top" wrapText="1"/>
    </xf>
    <xf numFmtId="0" fontId="10" fillId="0" borderId="10" xfId="1" applyFont="1" applyBorder="1" applyAlignment="1">
      <alignment horizontal="justify" vertical="top" wrapText="1"/>
    </xf>
    <xf numFmtId="0" fontId="15" fillId="0" borderId="0" xfId="1" applyFont="1" applyAlignment="1">
      <alignment horizontal="center" vertical="center"/>
    </xf>
    <xf numFmtId="0" fontId="10" fillId="0" borderId="2" xfId="1" applyFont="1" applyBorder="1" applyAlignment="1">
      <alignment vertical="top" wrapText="1"/>
    </xf>
    <xf numFmtId="0" fontId="10" fillId="0" borderId="2" xfId="1" applyFont="1" applyBorder="1" applyAlignment="1">
      <alignment vertical="top"/>
    </xf>
    <xf numFmtId="0" fontId="5" fillId="10" borderId="2" xfId="1" applyFont="1" applyFill="1" applyBorder="1" applyAlignment="1">
      <alignment vertical="top" wrapText="1"/>
    </xf>
    <xf numFmtId="0" fontId="15" fillId="0" borderId="2" xfId="1" applyFont="1" applyFill="1" applyBorder="1" applyAlignment="1">
      <alignment vertical="top" wrapText="1"/>
    </xf>
    <xf numFmtId="0" fontId="10" fillId="0" borderId="6" xfId="1" applyFont="1" applyBorder="1" applyAlignment="1">
      <alignment horizontal="justify" vertical="top" wrapText="1"/>
    </xf>
    <xf numFmtId="0" fontId="10" fillId="0" borderId="0" xfId="1" applyFont="1" applyAlignment="1">
      <alignment horizontal="left" vertical="top" wrapText="1"/>
    </xf>
    <xf numFmtId="0" fontId="6" fillId="10" borderId="2" xfId="1" applyFont="1" applyFill="1" applyBorder="1" applyAlignment="1">
      <alignment vertical="center" wrapText="1"/>
    </xf>
    <xf numFmtId="0" fontId="10" fillId="8" borderId="2" xfId="1" applyFont="1" applyFill="1" applyBorder="1" applyAlignment="1">
      <alignment vertical="center" wrapText="1"/>
    </xf>
    <xf numFmtId="0" fontId="10" fillId="0" borderId="7" xfId="1" applyFont="1" applyBorder="1" applyAlignment="1">
      <alignment horizontal="center" vertical="top" wrapText="1"/>
    </xf>
    <xf numFmtId="0" fontId="10" fillId="0" borderId="10" xfId="1" applyFont="1" applyBorder="1" applyAlignment="1">
      <alignment horizontal="center" vertical="top" wrapText="1"/>
    </xf>
    <xf numFmtId="0" fontId="10" fillId="0" borderId="6" xfId="1" applyFont="1" applyBorder="1" applyAlignment="1">
      <alignment horizontal="center" vertical="top" wrapText="1"/>
    </xf>
    <xf numFmtId="0" fontId="15" fillId="0" borderId="2" xfId="1" applyFont="1" applyBorder="1" applyAlignment="1">
      <alignment vertical="top" wrapText="1"/>
    </xf>
    <xf numFmtId="0" fontId="2" fillId="0" borderId="2" xfId="1" applyFont="1" applyFill="1" applyBorder="1" applyAlignment="1">
      <alignment vertical="top" wrapText="1"/>
    </xf>
    <xf numFmtId="0" fontId="4" fillId="8" borderId="2" xfId="1" applyFont="1" applyFill="1" applyBorder="1" applyAlignment="1">
      <alignment vertical="center" wrapText="1"/>
    </xf>
    <xf numFmtId="49" fontId="15" fillId="8" borderId="8" xfId="1" applyNumberFormat="1" applyFont="1" applyFill="1" applyBorder="1" applyAlignment="1">
      <alignment horizontal="left" vertical="top" wrapText="1"/>
    </xf>
    <xf numFmtId="49" fontId="15" fillId="8" borderId="1" xfId="1" applyNumberFormat="1" applyFont="1" applyFill="1" applyBorder="1" applyAlignment="1">
      <alignment horizontal="left" vertical="top" wrapText="1"/>
    </xf>
    <xf numFmtId="49" fontId="15" fillId="8" borderId="9" xfId="1" applyNumberFormat="1" applyFont="1" applyFill="1" applyBorder="1" applyAlignment="1">
      <alignment horizontal="left" vertical="top" wrapText="1"/>
    </xf>
    <xf numFmtId="0" fontId="10" fillId="0" borderId="2" xfId="1" applyFont="1" applyBorder="1" applyAlignment="1">
      <alignment vertical="center" wrapText="1"/>
    </xf>
    <xf numFmtId="0" fontId="8" fillId="0" borderId="0" xfId="1" applyFont="1" applyAlignment="1">
      <alignment horizontal="left" wrapText="1"/>
    </xf>
    <xf numFmtId="0" fontId="9" fillId="0" borderId="0" xfId="1" applyFont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/>
    </xf>
    <xf numFmtId="0" fontId="11" fillId="0" borderId="5" xfId="1" applyFont="1" applyBorder="1" applyAlignment="1">
      <alignment horizontal="center" vertical="top"/>
    </xf>
    <xf numFmtId="4" fontId="8" fillId="0" borderId="2" xfId="1" applyNumberFormat="1" applyFont="1" applyBorder="1" applyAlignment="1">
      <alignment horizontal="right" vertical="center" wrapText="1"/>
    </xf>
    <xf numFmtId="0" fontId="8" fillId="0" borderId="5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9646"/>
    <outlinePr summaryBelow="0" summaryRight="0"/>
    <pageSetUpPr fitToPage="1"/>
  </sheetPr>
  <dimension ref="A1:V1125"/>
  <sheetViews>
    <sheetView view="pageBreakPreview" zoomScale="85" zoomScaleNormal="100" zoomScaleSheetLayoutView="85" workbookViewId="0">
      <pane xSplit="2" ySplit="5" topLeftCell="C58" activePane="bottomRight" state="frozen"/>
      <selection pane="topRight" activeCell="C1" sqref="C1"/>
      <selection pane="bottomLeft" activeCell="A6" sqref="A6"/>
      <selection pane="bottomRight" activeCell="F70" sqref="F70"/>
    </sheetView>
  </sheetViews>
  <sheetFormatPr defaultColWidth="15.1796875" defaultRowHeight="15" customHeight="1" outlineLevelCol="1" x14ac:dyDescent="0.3"/>
  <cols>
    <col min="1" max="1" width="27.453125" style="101" customWidth="1"/>
    <col min="2" max="2" width="8.7265625" style="101" customWidth="1" collapsed="1"/>
    <col min="3" max="3" width="12.1796875" style="101" hidden="1" customWidth="1" outlineLevel="1"/>
    <col min="4" max="10" width="11" style="101" hidden="1" customWidth="1" outlineLevel="1"/>
    <col min="11" max="17" width="11" style="101" customWidth="1"/>
    <col min="18" max="18" width="12.1796875" style="101" customWidth="1"/>
    <col min="19" max="19" width="11" style="101" customWidth="1"/>
    <col min="20" max="20" width="2.54296875" style="101" customWidth="1"/>
    <col min="21" max="16384" width="15.1796875" style="101"/>
  </cols>
  <sheetData>
    <row r="1" spans="1:20" ht="21.75" customHeight="1" x14ac:dyDescent="0.3">
      <c r="A1" s="163" t="s">
        <v>164</v>
      </c>
      <c r="B1" s="164"/>
      <c r="C1" s="164"/>
      <c r="D1" s="164"/>
      <c r="E1" s="164"/>
      <c r="F1" s="164"/>
      <c r="G1" s="94"/>
      <c r="H1" s="94"/>
      <c r="I1" s="94"/>
      <c r="J1" s="94"/>
      <c r="K1" s="95"/>
      <c r="L1" s="95"/>
      <c r="M1" s="95"/>
      <c r="N1" s="93"/>
      <c r="O1" s="94"/>
      <c r="P1" s="94"/>
      <c r="Q1" s="94"/>
      <c r="R1" s="95"/>
      <c r="S1" s="95"/>
      <c r="T1" s="95"/>
    </row>
    <row r="2" spans="1:20" ht="12.75" customHeight="1" x14ac:dyDescent="0.3">
      <c r="A2" s="96"/>
      <c r="B2" s="96"/>
      <c r="C2" s="97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</row>
    <row r="3" spans="1:20" ht="15" customHeight="1" x14ac:dyDescent="0.3">
      <c r="A3" s="161" t="s">
        <v>0</v>
      </c>
      <c r="B3" s="161" t="s">
        <v>1</v>
      </c>
      <c r="C3" s="161" t="s">
        <v>58</v>
      </c>
      <c r="D3" s="161" t="s">
        <v>466</v>
      </c>
      <c r="E3" s="161"/>
      <c r="F3" s="161"/>
      <c r="G3" s="161"/>
      <c r="H3" s="161"/>
      <c r="I3" s="161"/>
      <c r="J3" s="14"/>
      <c r="K3" s="162" t="s">
        <v>61</v>
      </c>
      <c r="L3" s="162"/>
      <c r="M3" s="162"/>
      <c r="N3" s="162"/>
      <c r="O3" s="162"/>
      <c r="P3" s="162"/>
      <c r="Q3" s="162"/>
      <c r="R3" s="95"/>
      <c r="S3" s="95"/>
      <c r="T3" s="95"/>
    </row>
    <row r="4" spans="1:20" ht="36" customHeight="1" x14ac:dyDescent="0.3">
      <c r="A4" s="165"/>
      <c r="B4" s="165"/>
      <c r="C4" s="161"/>
      <c r="D4" s="14" t="s">
        <v>165</v>
      </c>
      <c r="E4" s="14" t="s">
        <v>166</v>
      </c>
      <c r="F4" s="14" t="s">
        <v>167</v>
      </c>
      <c r="G4" s="14" t="s">
        <v>168</v>
      </c>
      <c r="H4" s="14" t="s">
        <v>169</v>
      </c>
      <c r="I4" s="14" t="s">
        <v>170</v>
      </c>
      <c r="J4" s="14"/>
      <c r="K4" s="15" t="s">
        <v>467</v>
      </c>
      <c r="L4" s="14" t="s">
        <v>165</v>
      </c>
      <c r="M4" s="14" t="s">
        <v>166</v>
      </c>
      <c r="N4" s="14" t="s">
        <v>167</v>
      </c>
      <c r="O4" s="14" t="s">
        <v>168</v>
      </c>
      <c r="P4" s="14" t="s">
        <v>169</v>
      </c>
      <c r="Q4" s="14" t="s">
        <v>170</v>
      </c>
      <c r="R4" s="95"/>
      <c r="S4" s="95"/>
      <c r="T4" s="95"/>
    </row>
    <row r="5" spans="1:20" s="102" customFormat="1" ht="13.5" customHeight="1" x14ac:dyDescent="0.35">
      <c r="A5" s="104" t="s">
        <v>468</v>
      </c>
      <c r="B5" s="105" t="s">
        <v>3</v>
      </c>
      <c r="C5" s="105" t="s">
        <v>3</v>
      </c>
      <c r="D5" s="106">
        <v>477.2</v>
      </c>
      <c r="E5" s="106">
        <v>719.1</v>
      </c>
      <c r="F5" s="106">
        <v>943</v>
      </c>
      <c r="G5" s="106">
        <v>109</v>
      </c>
      <c r="H5" s="106">
        <v>100.6</v>
      </c>
      <c r="I5" s="106">
        <v>833.1</v>
      </c>
      <c r="J5" s="106"/>
      <c r="K5" s="107" t="s">
        <v>3</v>
      </c>
      <c r="L5" s="106">
        <v>477.2</v>
      </c>
      <c r="M5" s="106">
        <v>719.1</v>
      </c>
      <c r="N5" s="106">
        <v>943</v>
      </c>
      <c r="O5" s="106">
        <v>109</v>
      </c>
      <c r="P5" s="106">
        <v>100.6</v>
      </c>
      <c r="Q5" s="106">
        <v>833.1</v>
      </c>
      <c r="R5" s="108"/>
      <c r="S5" s="108"/>
    </row>
    <row r="6" spans="1:20" ht="24.75" customHeight="1" x14ac:dyDescent="0.3">
      <c r="A6" s="42" t="s">
        <v>171</v>
      </c>
      <c r="B6" s="110" t="s">
        <v>273</v>
      </c>
      <c r="C6" s="111">
        <f t="shared" ref="C6:C67" si="0">D6+E6+F6+G6+H6+I6</f>
        <v>26220</v>
      </c>
      <c r="D6" s="109">
        <f>380*19</f>
        <v>7220</v>
      </c>
      <c r="E6" s="109">
        <f>400*19</f>
        <v>7600</v>
      </c>
      <c r="F6" s="109">
        <f>600*19</f>
        <v>11400</v>
      </c>
      <c r="G6" s="109"/>
      <c r="H6" s="109"/>
      <c r="I6" s="109"/>
      <c r="J6" s="109"/>
      <c r="K6" s="112">
        <f>MIN(L6:Q6)</f>
        <v>250</v>
      </c>
      <c r="L6" s="39">
        <v>265</v>
      </c>
      <c r="M6" s="39">
        <v>250</v>
      </c>
      <c r="N6" s="39">
        <v>263</v>
      </c>
      <c r="O6" s="39"/>
      <c r="P6" s="39"/>
      <c r="Q6" s="39"/>
      <c r="R6" s="98">
        <f>MAX(L6:Q6)</f>
        <v>265</v>
      </c>
      <c r="S6" s="103"/>
      <c r="T6" s="95">
        <f>IF(S6&gt;1,1,0)</f>
        <v>0</v>
      </c>
    </row>
    <row r="7" spans="1:20" ht="24.75" customHeight="1" x14ac:dyDescent="0.3">
      <c r="A7" s="42" t="s">
        <v>172</v>
      </c>
      <c r="B7" s="110" t="s">
        <v>10</v>
      </c>
      <c r="C7" s="111">
        <f t="shared" si="0"/>
        <v>54000</v>
      </c>
      <c r="D7" s="109"/>
      <c r="E7" s="109">
        <v>54000</v>
      </c>
      <c r="F7" s="109"/>
      <c r="G7" s="109"/>
      <c r="H7" s="109"/>
      <c r="I7" s="109"/>
      <c r="J7" s="109"/>
      <c r="K7" s="112">
        <f t="shared" ref="K7:K67" si="1">MIN(L7:Q7)</f>
        <v>1.27</v>
      </c>
      <c r="L7" s="39"/>
      <c r="M7" s="39">
        <v>1.27</v>
      </c>
      <c r="N7" s="39"/>
      <c r="O7" s="39"/>
      <c r="P7" s="39"/>
      <c r="Q7" s="39"/>
      <c r="R7" s="98">
        <f t="shared" ref="R7:R67" si="2">MAX(L7:Q7)</f>
        <v>1.27</v>
      </c>
      <c r="S7" s="103"/>
      <c r="T7" s="95">
        <f t="shared" ref="T7:T67" si="3">IF(S7&gt;1,1,0)</f>
        <v>0</v>
      </c>
    </row>
    <row r="8" spans="1:20" ht="24.75" customHeight="1" x14ac:dyDescent="0.3">
      <c r="A8" s="42" t="s">
        <v>173</v>
      </c>
      <c r="B8" s="110" t="s">
        <v>8</v>
      </c>
      <c r="C8" s="111">
        <f t="shared" si="0"/>
        <v>88</v>
      </c>
      <c r="D8" s="109">
        <v>20</v>
      </c>
      <c r="E8" s="109">
        <v>22</v>
      </c>
      <c r="F8" s="109">
        <v>29</v>
      </c>
      <c r="G8" s="109"/>
      <c r="H8" s="109"/>
      <c r="I8" s="109">
        <v>17</v>
      </c>
      <c r="J8" s="109"/>
      <c r="K8" s="112">
        <f t="shared" si="1"/>
        <v>3976.5</v>
      </c>
      <c r="L8" s="39">
        <v>4288.34</v>
      </c>
      <c r="M8" s="39">
        <v>4646.6000000000004</v>
      </c>
      <c r="N8" s="39">
        <v>4646.6000000000004</v>
      </c>
      <c r="O8" s="39"/>
      <c r="P8" s="39"/>
      <c r="Q8" s="39">
        <v>3976.5</v>
      </c>
      <c r="R8" s="98">
        <f t="shared" si="2"/>
        <v>4646.6000000000004</v>
      </c>
      <c r="S8" s="103">
        <f>R8/K8-1</f>
        <v>0.16851502577643673</v>
      </c>
      <c r="T8" s="95">
        <f t="shared" si="3"/>
        <v>0</v>
      </c>
    </row>
    <row r="9" spans="1:20" ht="24.75" customHeight="1" x14ac:dyDescent="0.3">
      <c r="A9" s="42" t="s">
        <v>174</v>
      </c>
      <c r="B9" s="110" t="s">
        <v>175</v>
      </c>
      <c r="C9" s="111">
        <f t="shared" si="0"/>
        <v>2</v>
      </c>
      <c r="D9" s="109"/>
      <c r="E9" s="109"/>
      <c r="F9" s="109"/>
      <c r="G9" s="109"/>
      <c r="H9" s="109"/>
      <c r="I9" s="109">
        <v>2</v>
      </c>
      <c r="J9" s="109"/>
      <c r="K9" s="112">
        <f t="shared" si="1"/>
        <v>9670</v>
      </c>
      <c r="L9" s="39"/>
      <c r="M9" s="39"/>
      <c r="N9" s="39"/>
      <c r="O9" s="39"/>
      <c r="P9" s="39"/>
      <c r="Q9" s="39">
        <v>9670</v>
      </c>
      <c r="R9" s="98">
        <f t="shared" si="2"/>
        <v>9670</v>
      </c>
      <c r="S9" s="103"/>
      <c r="T9" s="95">
        <f t="shared" si="3"/>
        <v>0</v>
      </c>
    </row>
    <row r="10" spans="1:20" ht="24.75" customHeight="1" x14ac:dyDescent="0.3">
      <c r="A10" s="42" t="s">
        <v>176</v>
      </c>
      <c r="B10" s="110" t="s">
        <v>175</v>
      </c>
      <c r="C10" s="111">
        <f t="shared" si="0"/>
        <v>2</v>
      </c>
      <c r="D10" s="109"/>
      <c r="E10" s="109"/>
      <c r="F10" s="109"/>
      <c r="G10" s="109"/>
      <c r="H10" s="109"/>
      <c r="I10" s="109">
        <v>2</v>
      </c>
      <c r="J10" s="109"/>
      <c r="K10" s="112">
        <f t="shared" si="1"/>
        <v>1732.6</v>
      </c>
      <c r="L10" s="39"/>
      <c r="M10" s="39"/>
      <c r="N10" s="39"/>
      <c r="O10" s="39"/>
      <c r="P10" s="39"/>
      <c r="Q10" s="39">
        <v>1732.6</v>
      </c>
      <c r="R10" s="98">
        <f t="shared" si="2"/>
        <v>1732.6</v>
      </c>
      <c r="S10" s="103"/>
      <c r="T10" s="95">
        <f t="shared" si="3"/>
        <v>0</v>
      </c>
    </row>
    <row r="11" spans="1:20" ht="24.75" customHeight="1" x14ac:dyDescent="0.3">
      <c r="A11" s="42" t="s">
        <v>177</v>
      </c>
      <c r="B11" s="110" t="s">
        <v>175</v>
      </c>
      <c r="C11" s="111">
        <f t="shared" si="0"/>
        <v>2</v>
      </c>
      <c r="D11" s="109"/>
      <c r="E11" s="109"/>
      <c r="F11" s="109"/>
      <c r="G11" s="109"/>
      <c r="H11" s="109"/>
      <c r="I11" s="109">
        <v>2</v>
      </c>
      <c r="J11" s="109"/>
      <c r="K11" s="112">
        <f t="shared" si="1"/>
        <v>12040.93</v>
      </c>
      <c r="L11" s="39"/>
      <c r="M11" s="39"/>
      <c r="N11" s="39"/>
      <c r="O11" s="39"/>
      <c r="P11" s="39"/>
      <c r="Q11" s="39">
        <v>12040.93</v>
      </c>
      <c r="R11" s="98">
        <f t="shared" si="2"/>
        <v>12040.93</v>
      </c>
      <c r="S11" s="103"/>
      <c r="T11" s="95">
        <f t="shared" si="3"/>
        <v>0</v>
      </c>
    </row>
    <row r="12" spans="1:20" ht="24.75" customHeight="1" x14ac:dyDescent="0.3">
      <c r="A12" s="42" t="s">
        <v>178</v>
      </c>
      <c r="B12" s="110" t="s">
        <v>175</v>
      </c>
      <c r="C12" s="111">
        <f t="shared" si="0"/>
        <v>2</v>
      </c>
      <c r="D12" s="109"/>
      <c r="E12" s="109"/>
      <c r="F12" s="109"/>
      <c r="G12" s="109"/>
      <c r="H12" s="109"/>
      <c r="I12" s="109">
        <v>2</v>
      </c>
      <c r="J12" s="109"/>
      <c r="K12" s="112">
        <f t="shared" si="1"/>
        <v>2385.6</v>
      </c>
      <c r="L12" s="39"/>
      <c r="M12" s="39"/>
      <c r="N12" s="39"/>
      <c r="O12" s="39"/>
      <c r="P12" s="39"/>
      <c r="Q12" s="39">
        <v>2385.6</v>
      </c>
      <c r="R12" s="98">
        <f t="shared" si="2"/>
        <v>2385.6</v>
      </c>
      <c r="S12" s="103"/>
      <c r="T12" s="95">
        <f t="shared" si="3"/>
        <v>0</v>
      </c>
    </row>
    <row r="13" spans="1:20" ht="24.75" customHeight="1" x14ac:dyDescent="0.3">
      <c r="A13" s="42" t="s">
        <v>179</v>
      </c>
      <c r="B13" s="110" t="s">
        <v>175</v>
      </c>
      <c r="C13" s="111">
        <f t="shared" si="0"/>
        <v>1</v>
      </c>
      <c r="D13" s="109"/>
      <c r="E13" s="109"/>
      <c r="F13" s="109"/>
      <c r="G13" s="109"/>
      <c r="H13" s="109"/>
      <c r="I13" s="109">
        <v>1</v>
      </c>
      <c r="J13" s="109"/>
      <c r="K13" s="112">
        <f t="shared" si="1"/>
        <v>2401.5</v>
      </c>
      <c r="L13" s="39"/>
      <c r="M13" s="39"/>
      <c r="N13" s="39"/>
      <c r="O13" s="39"/>
      <c r="P13" s="39"/>
      <c r="Q13" s="39">
        <v>2401.5</v>
      </c>
      <c r="R13" s="98">
        <f t="shared" si="2"/>
        <v>2401.5</v>
      </c>
      <c r="S13" s="103"/>
      <c r="T13" s="95">
        <f t="shared" si="3"/>
        <v>0</v>
      </c>
    </row>
    <row r="14" spans="1:20" ht="24.75" customHeight="1" x14ac:dyDescent="0.3">
      <c r="A14" s="42" t="s">
        <v>180</v>
      </c>
      <c r="B14" s="110" t="s">
        <v>175</v>
      </c>
      <c r="C14" s="111">
        <f t="shared" si="0"/>
        <v>2</v>
      </c>
      <c r="D14" s="109"/>
      <c r="E14" s="109"/>
      <c r="F14" s="109"/>
      <c r="G14" s="109"/>
      <c r="H14" s="109"/>
      <c r="I14" s="109">
        <v>2</v>
      </c>
      <c r="J14" s="109"/>
      <c r="K14" s="112">
        <f t="shared" si="1"/>
        <v>5662.5</v>
      </c>
      <c r="L14" s="39"/>
      <c r="M14" s="39"/>
      <c r="N14" s="39"/>
      <c r="O14" s="39"/>
      <c r="P14" s="39"/>
      <c r="Q14" s="39">
        <v>5662.5</v>
      </c>
      <c r="R14" s="98">
        <f t="shared" si="2"/>
        <v>5662.5</v>
      </c>
      <c r="S14" s="103"/>
      <c r="T14" s="95">
        <f t="shared" si="3"/>
        <v>0</v>
      </c>
    </row>
    <row r="15" spans="1:20" ht="24.75" customHeight="1" x14ac:dyDescent="0.3">
      <c r="A15" s="42" t="s">
        <v>181</v>
      </c>
      <c r="B15" s="110" t="s">
        <v>175</v>
      </c>
      <c r="C15" s="111">
        <f t="shared" si="0"/>
        <v>3</v>
      </c>
      <c r="D15" s="109"/>
      <c r="E15" s="109">
        <v>1</v>
      </c>
      <c r="F15" s="109"/>
      <c r="G15" s="109">
        <v>1</v>
      </c>
      <c r="H15" s="109"/>
      <c r="I15" s="109">
        <v>1</v>
      </c>
      <c r="J15" s="109"/>
      <c r="K15" s="112">
        <f t="shared" si="1"/>
        <v>1220.52</v>
      </c>
      <c r="L15" s="39"/>
      <c r="M15" s="39">
        <v>1220.5229999999999</v>
      </c>
      <c r="N15" s="39"/>
      <c r="O15" s="39">
        <v>1220.52</v>
      </c>
      <c r="P15" s="39"/>
      <c r="Q15" s="39">
        <v>2370</v>
      </c>
      <c r="R15" s="98">
        <f t="shared" si="2"/>
        <v>2370</v>
      </c>
      <c r="S15" s="103">
        <f>R15/K15-1</f>
        <v>0.94179530036377934</v>
      </c>
      <c r="T15" s="95">
        <f t="shared" si="3"/>
        <v>0</v>
      </c>
    </row>
    <row r="16" spans="1:20" ht="24.75" customHeight="1" x14ac:dyDescent="0.3">
      <c r="A16" s="42" t="s">
        <v>182</v>
      </c>
      <c r="B16" s="110" t="s">
        <v>175</v>
      </c>
      <c r="C16" s="111">
        <f t="shared" si="0"/>
        <v>1</v>
      </c>
      <c r="D16" s="109"/>
      <c r="E16" s="109"/>
      <c r="F16" s="109"/>
      <c r="G16" s="109"/>
      <c r="H16" s="109"/>
      <c r="I16" s="109">
        <v>1</v>
      </c>
      <c r="J16" s="109"/>
      <c r="K16" s="112">
        <f t="shared" si="1"/>
        <v>2217.9</v>
      </c>
      <c r="L16" s="39"/>
      <c r="M16" s="39"/>
      <c r="N16" s="39"/>
      <c r="O16" s="39"/>
      <c r="P16" s="39"/>
      <c r="Q16" s="39">
        <v>2217.9</v>
      </c>
      <c r="R16" s="98">
        <f t="shared" si="2"/>
        <v>2217.9</v>
      </c>
      <c r="S16" s="103"/>
      <c r="T16" s="95">
        <f t="shared" si="3"/>
        <v>0</v>
      </c>
    </row>
    <row r="17" spans="1:20" ht="24.75" customHeight="1" x14ac:dyDescent="0.3">
      <c r="A17" s="42" t="s">
        <v>183</v>
      </c>
      <c r="B17" s="110" t="s">
        <v>175</v>
      </c>
      <c r="C17" s="111">
        <f t="shared" si="0"/>
        <v>1</v>
      </c>
      <c r="D17" s="109"/>
      <c r="E17" s="109"/>
      <c r="F17" s="109"/>
      <c r="G17" s="109"/>
      <c r="H17" s="109"/>
      <c r="I17" s="109">
        <v>1</v>
      </c>
      <c r="J17" s="109"/>
      <c r="K17" s="112">
        <f t="shared" si="1"/>
        <v>2955.3</v>
      </c>
      <c r="L17" s="39"/>
      <c r="M17" s="39"/>
      <c r="N17" s="39"/>
      <c r="O17" s="39"/>
      <c r="P17" s="39"/>
      <c r="Q17" s="39">
        <v>2955.3</v>
      </c>
      <c r="R17" s="98">
        <f t="shared" si="2"/>
        <v>2955.3</v>
      </c>
      <c r="S17" s="103"/>
      <c r="T17" s="95">
        <f t="shared" si="3"/>
        <v>0</v>
      </c>
    </row>
    <row r="18" spans="1:20" ht="24.75" customHeight="1" x14ac:dyDescent="0.3">
      <c r="A18" s="42" t="s">
        <v>184</v>
      </c>
      <c r="B18" s="110" t="s">
        <v>175</v>
      </c>
      <c r="C18" s="111">
        <f t="shared" si="0"/>
        <v>1</v>
      </c>
      <c r="D18" s="109"/>
      <c r="E18" s="109"/>
      <c r="F18" s="109"/>
      <c r="G18" s="109"/>
      <c r="H18" s="109"/>
      <c r="I18" s="109">
        <v>1</v>
      </c>
      <c r="J18" s="109"/>
      <c r="K18" s="112">
        <f t="shared" si="1"/>
        <v>5111.8999999999996</v>
      </c>
      <c r="L18" s="39"/>
      <c r="M18" s="39"/>
      <c r="N18" s="39"/>
      <c r="O18" s="39"/>
      <c r="P18" s="39"/>
      <c r="Q18" s="39">
        <v>5111.8999999999996</v>
      </c>
      <c r="R18" s="98">
        <f t="shared" si="2"/>
        <v>5111.8999999999996</v>
      </c>
      <c r="S18" s="103"/>
      <c r="T18" s="95">
        <f t="shared" si="3"/>
        <v>0</v>
      </c>
    </row>
    <row r="19" spans="1:20" ht="24.75" customHeight="1" x14ac:dyDescent="0.3">
      <c r="A19" s="42" t="s">
        <v>185</v>
      </c>
      <c r="B19" s="110" t="s">
        <v>175</v>
      </c>
      <c r="C19" s="111">
        <f t="shared" si="0"/>
        <v>1</v>
      </c>
      <c r="D19" s="109"/>
      <c r="E19" s="109"/>
      <c r="F19" s="109"/>
      <c r="G19" s="109"/>
      <c r="H19" s="109"/>
      <c r="I19" s="109">
        <v>1</v>
      </c>
      <c r="J19" s="109"/>
      <c r="K19" s="112">
        <f t="shared" si="1"/>
        <v>2481.1</v>
      </c>
      <c r="L19" s="39"/>
      <c r="M19" s="39"/>
      <c r="N19" s="39"/>
      <c r="O19" s="39"/>
      <c r="P19" s="39"/>
      <c r="Q19" s="39">
        <v>2481.1</v>
      </c>
      <c r="R19" s="98">
        <f t="shared" si="2"/>
        <v>2481.1</v>
      </c>
      <c r="S19" s="103"/>
      <c r="T19" s="95">
        <f t="shared" si="3"/>
        <v>0</v>
      </c>
    </row>
    <row r="20" spans="1:20" ht="24.75" customHeight="1" x14ac:dyDescent="0.3">
      <c r="A20" s="42" t="s">
        <v>186</v>
      </c>
      <c r="B20" s="110" t="s">
        <v>175</v>
      </c>
      <c r="C20" s="111">
        <f t="shared" si="0"/>
        <v>1</v>
      </c>
      <c r="D20" s="109"/>
      <c r="E20" s="109">
        <v>1</v>
      </c>
      <c r="F20" s="109"/>
      <c r="G20" s="109"/>
      <c r="H20" s="109"/>
      <c r="I20" s="109"/>
      <c r="J20" s="109"/>
      <c r="K20" s="112">
        <f t="shared" si="1"/>
        <v>4152.8599999999997</v>
      </c>
      <c r="L20" s="39"/>
      <c r="M20" s="39">
        <v>4152.8599999999997</v>
      </c>
      <c r="N20" s="39"/>
      <c r="O20" s="39"/>
      <c r="P20" s="39"/>
      <c r="Q20" s="39"/>
      <c r="R20" s="98">
        <f t="shared" si="2"/>
        <v>4152.8599999999997</v>
      </c>
      <c r="S20" s="103"/>
      <c r="T20" s="95">
        <f t="shared" si="3"/>
        <v>0</v>
      </c>
    </row>
    <row r="21" spans="1:20" ht="24.75" customHeight="1" x14ac:dyDescent="0.3">
      <c r="A21" s="42" t="s">
        <v>187</v>
      </c>
      <c r="B21" s="110" t="s">
        <v>175</v>
      </c>
      <c r="C21" s="111">
        <f t="shared" si="0"/>
        <v>1</v>
      </c>
      <c r="D21" s="109"/>
      <c r="E21" s="109">
        <v>1</v>
      </c>
      <c r="F21" s="109"/>
      <c r="G21" s="109"/>
      <c r="H21" s="109"/>
      <c r="I21" s="109"/>
      <c r="J21" s="109"/>
      <c r="K21" s="112">
        <f t="shared" si="1"/>
        <v>650.57000000000005</v>
      </c>
      <c r="L21" s="39"/>
      <c r="M21" s="39">
        <v>650.57000000000005</v>
      </c>
      <c r="N21" s="39"/>
      <c r="O21" s="39"/>
      <c r="P21" s="39"/>
      <c r="Q21" s="39"/>
      <c r="R21" s="98">
        <f t="shared" si="2"/>
        <v>650.57000000000005</v>
      </c>
      <c r="S21" s="103"/>
      <c r="T21" s="95">
        <f t="shared" si="3"/>
        <v>0</v>
      </c>
    </row>
    <row r="22" spans="1:20" ht="24.75" customHeight="1" x14ac:dyDescent="0.3">
      <c r="A22" s="42" t="s">
        <v>188</v>
      </c>
      <c r="B22" s="110" t="s">
        <v>175</v>
      </c>
      <c r="C22" s="111">
        <f t="shared" si="0"/>
        <v>2</v>
      </c>
      <c r="D22" s="109"/>
      <c r="E22" s="109">
        <v>1</v>
      </c>
      <c r="F22" s="109"/>
      <c r="G22" s="109"/>
      <c r="H22" s="109"/>
      <c r="I22" s="109">
        <v>1</v>
      </c>
      <c r="J22" s="109"/>
      <c r="K22" s="112">
        <f t="shared" si="1"/>
        <v>3898.5529999999999</v>
      </c>
      <c r="L22" s="39"/>
      <c r="M22" s="39">
        <v>3898.5529999999999</v>
      </c>
      <c r="N22" s="39"/>
      <c r="O22" s="39"/>
      <c r="P22" s="39"/>
      <c r="Q22" s="39">
        <v>7825</v>
      </c>
      <c r="R22" s="98">
        <f t="shared" si="2"/>
        <v>7825</v>
      </c>
      <c r="S22" s="103">
        <f>R22/K22-1</f>
        <v>1.0071549623668066</v>
      </c>
      <c r="T22" s="95">
        <f t="shared" si="3"/>
        <v>1</v>
      </c>
    </row>
    <row r="23" spans="1:20" ht="24.75" customHeight="1" x14ac:dyDescent="0.3">
      <c r="A23" s="42" t="s">
        <v>189</v>
      </c>
      <c r="B23" s="110" t="s">
        <v>175</v>
      </c>
      <c r="C23" s="111">
        <f t="shared" si="0"/>
        <v>1</v>
      </c>
      <c r="D23" s="109"/>
      <c r="E23" s="109">
        <v>1</v>
      </c>
      <c r="F23" s="109"/>
      <c r="G23" s="109"/>
      <c r="H23" s="109"/>
      <c r="I23" s="109"/>
      <c r="J23" s="109"/>
      <c r="K23" s="112">
        <f t="shared" si="1"/>
        <v>2880.096</v>
      </c>
      <c r="L23" s="39"/>
      <c r="M23" s="39">
        <v>2880.096</v>
      </c>
      <c r="N23" s="39"/>
      <c r="O23" s="39"/>
      <c r="P23" s="39"/>
      <c r="Q23" s="39"/>
      <c r="R23" s="98">
        <f t="shared" si="2"/>
        <v>2880.096</v>
      </c>
      <c r="S23" s="103"/>
      <c r="T23" s="95">
        <f t="shared" si="3"/>
        <v>0</v>
      </c>
    </row>
    <row r="24" spans="1:20" ht="24.75" customHeight="1" x14ac:dyDescent="0.3">
      <c r="A24" s="42" t="s">
        <v>190</v>
      </c>
      <c r="B24" s="110" t="s">
        <v>175</v>
      </c>
      <c r="C24" s="111">
        <f t="shared" si="0"/>
        <v>1</v>
      </c>
      <c r="D24" s="109"/>
      <c r="E24" s="109">
        <v>1</v>
      </c>
      <c r="F24" s="109"/>
      <c r="G24" s="109"/>
      <c r="H24" s="109"/>
      <c r="I24" s="109"/>
      <c r="J24" s="109"/>
      <c r="K24" s="112">
        <f t="shared" si="1"/>
        <v>1519.423</v>
      </c>
      <c r="L24" s="39"/>
      <c r="M24" s="39">
        <v>1519.423</v>
      </c>
      <c r="N24" s="39"/>
      <c r="O24" s="39"/>
      <c r="P24" s="39"/>
      <c r="Q24" s="39"/>
      <c r="R24" s="98">
        <f t="shared" si="2"/>
        <v>1519.423</v>
      </c>
      <c r="S24" s="103"/>
      <c r="T24" s="95">
        <f t="shared" si="3"/>
        <v>0</v>
      </c>
    </row>
    <row r="25" spans="1:20" ht="24.75" customHeight="1" x14ac:dyDescent="0.3">
      <c r="A25" s="42" t="s">
        <v>191</v>
      </c>
      <c r="B25" s="110" t="s">
        <v>175</v>
      </c>
      <c r="C25" s="111">
        <f t="shared" si="0"/>
        <v>2</v>
      </c>
      <c r="D25" s="109"/>
      <c r="E25" s="109">
        <v>1</v>
      </c>
      <c r="F25" s="109"/>
      <c r="G25" s="109"/>
      <c r="H25" s="109"/>
      <c r="I25" s="109">
        <v>1</v>
      </c>
      <c r="J25" s="109"/>
      <c r="K25" s="112">
        <f t="shared" si="1"/>
        <v>5374.4359999999997</v>
      </c>
      <c r="L25" s="39"/>
      <c r="M25" s="39">
        <v>5374.4359999999997</v>
      </c>
      <c r="N25" s="39"/>
      <c r="O25" s="39"/>
      <c r="P25" s="39"/>
      <c r="Q25" s="39">
        <v>10662.4</v>
      </c>
      <c r="R25" s="98">
        <f t="shared" si="2"/>
        <v>10662.4</v>
      </c>
      <c r="S25" s="103">
        <f>R25/K25-1</f>
        <v>0.98391049777130113</v>
      </c>
      <c r="T25" s="95">
        <f t="shared" si="3"/>
        <v>0</v>
      </c>
    </row>
    <row r="26" spans="1:20" ht="24.75" customHeight="1" x14ac:dyDescent="0.3">
      <c r="A26" s="42" t="s">
        <v>192</v>
      </c>
      <c r="B26" s="110" t="s">
        <v>175</v>
      </c>
      <c r="C26" s="111">
        <f t="shared" si="0"/>
        <v>2</v>
      </c>
      <c r="D26" s="109"/>
      <c r="E26" s="109">
        <v>1</v>
      </c>
      <c r="F26" s="109"/>
      <c r="G26" s="109">
        <v>1</v>
      </c>
      <c r="H26" s="109"/>
      <c r="I26" s="109"/>
      <c r="J26" s="109"/>
      <c r="K26" s="112">
        <f t="shared" si="1"/>
        <v>2784.87</v>
      </c>
      <c r="L26" s="39"/>
      <c r="M26" s="39">
        <v>2784.87</v>
      </c>
      <c r="N26" s="39"/>
      <c r="O26" s="39">
        <v>2784.87</v>
      </c>
      <c r="P26" s="39"/>
      <c r="Q26" s="39"/>
      <c r="R26" s="98">
        <f t="shared" si="2"/>
        <v>2784.87</v>
      </c>
      <c r="S26" s="103"/>
      <c r="T26" s="95">
        <f t="shared" si="3"/>
        <v>0</v>
      </c>
    </row>
    <row r="27" spans="1:20" ht="24.75" customHeight="1" x14ac:dyDescent="0.3">
      <c r="A27" s="42" t="s">
        <v>193</v>
      </c>
      <c r="B27" s="110" t="s">
        <v>175</v>
      </c>
      <c r="C27" s="111">
        <f t="shared" si="0"/>
        <v>4</v>
      </c>
      <c r="D27" s="109"/>
      <c r="E27" s="109">
        <v>1</v>
      </c>
      <c r="F27" s="109">
        <v>2</v>
      </c>
      <c r="G27" s="109">
        <v>1</v>
      </c>
      <c r="H27" s="109"/>
      <c r="I27" s="109"/>
      <c r="J27" s="109"/>
      <c r="K27" s="112">
        <f t="shared" si="1"/>
        <v>675.2</v>
      </c>
      <c r="L27" s="39"/>
      <c r="M27" s="39">
        <v>982.35</v>
      </c>
      <c r="N27" s="39">
        <v>675.2</v>
      </c>
      <c r="O27" s="39">
        <v>982.35</v>
      </c>
      <c r="P27" s="39"/>
      <c r="Q27" s="39"/>
      <c r="R27" s="98">
        <f t="shared" si="2"/>
        <v>982.35</v>
      </c>
      <c r="S27" s="103">
        <f>R27/K27-1</f>
        <v>0.45490225118483396</v>
      </c>
      <c r="T27" s="95">
        <f t="shared" si="3"/>
        <v>0</v>
      </c>
    </row>
    <row r="28" spans="1:20" ht="24.75" customHeight="1" x14ac:dyDescent="0.3">
      <c r="A28" s="42" t="s">
        <v>194</v>
      </c>
      <c r="B28" s="110" t="s">
        <v>175</v>
      </c>
      <c r="C28" s="111">
        <f t="shared" si="0"/>
        <v>1</v>
      </c>
      <c r="D28" s="109"/>
      <c r="E28" s="109"/>
      <c r="F28" s="109"/>
      <c r="G28" s="109">
        <v>1</v>
      </c>
      <c r="H28" s="109"/>
      <c r="I28" s="109"/>
      <c r="J28" s="109"/>
      <c r="K28" s="112">
        <f t="shared" si="1"/>
        <v>483.36</v>
      </c>
      <c r="L28" s="39"/>
      <c r="M28" s="39"/>
      <c r="N28" s="39"/>
      <c r="O28" s="39">
        <v>483.36</v>
      </c>
      <c r="P28" s="39"/>
      <c r="Q28" s="39"/>
      <c r="R28" s="98">
        <f t="shared" si="2"/>
        <v>483.36</v>
      </c>
      <c r="S28" s="103"/>
      <c r="T28" s="95">
        <f t="shared" si="3"/>
        <v>0</v>
      </c>
    </row>
    <row r="29" spans="1:20" ht="24.75" customHeight="1" x14ac:dyDescent="0.3">
      <c r="A29" s="42" t="s">
        <v>195</v>
      </c>
      <c r="B29" s="110" t="s">
        <v>175</v>
      </c>
      <c r="C29" s="111">
        <f t="shared" si="0"/>
        <v>2</v>
      </c>
      <c r="D29" s="109"/>
      <c r="E29" s="109">
        <v>1</v>
      </c>
      <c r="F29" s="109"/>
      <c r="G29" s="109">
        <v>1</v>
      </c>
      <c r="H29" s="109"/>
      <c r="I29" s="109"/>
      <c r="J29" s="109"/>
      <c r="K29" s="112">
        <f t="shared" si="1"/>
        <v>3829.69</v>
      </c>
      <c r="L29" s="39"/>
      <c r="M29" s="39">
        <v>3829.69</v>
      </c>
      <c r="N29" s="39"/>
      <c r="O29" s="39">
        <v>3829.69</v>
      </c>
      <c r="P29" s="39"/>
      <c r="Q29" s="39"/>
      <c r="R29" s="98">
        <f t="shared" si="2"/>
        <v>3829.69</v>
      </c>
      <c r="S29" s="103"/>
      <c r="T29" s="95">
        <f t="shared" si="3"/>
        <v>0</v>
      </c>
    </row>
    <row r="30" spans="1:20" ht="24.75" customHeight="1" x14ac:dyDescent="0.3">
      <c r="A30" s="42" t="s">
        <v>196</v>
      </c>
      <c r="B30" s="110" t="s">
        <v>175</v>
      </c>
      <c r="C30" s="111">
        <f t="shared" si="0"/>
        <v>1</v>
      </c>
      <c r="D30" s="109"/>
      <c r="E30" s="109"/>
      <c r="F30" s="109"/>
      <c r="G30" s="109"/>
      <c r="H30" s="109"/>
      <c r="I30" s="109">
        <v>1</v>
      </c>
      <c r="J30" s="109"/>
      <c r="K30" s="112">
        <f t="shared" si="1"/>
        <v>8785.6</v>
      </c>
      <c r="L30" s="39"/>
      <c r="M30" s="39"/>
      <c r="N30" s="39"/>
      <c r="O30" s="39"/>
      <c r="P30" s="39"/>
      <c r="Q30" s="39">
        <v>8785.6</v>
      </c>
      <c r="R30" s="98">
        <f t="shared" si="2"/>
        <v>8785.6</v>
      </c>
      <c r="S30" s="103"/>
      <c r="T30" s="95">
        <f t="shared" si="3"/>
        <v>0</v>
      </c>
    </row>
    <row r="31" spans="1:20" ht="24.75" customHeight="1" x14ac:dyDescent="0.3">
      <c r="A31" s="42" t="s">
        <v>197</v>
      </c>
      <c r="B31" s="110" t="s">
        <v>175</v>
      </c>
      <c r="C31" s="111">
        <f t="shared" si="0"/>
        <v>1</v>
      </c>
      <c r="D31" s="109"/>
      <c r="E31" s="109"/>
      <c r="F31" s="109"/>
      <c r="G31" s="109">
        <v>1</v>
      </c>
      <c r="H31" s="109"/>
      <c r="I31" s="109"/>
      <c r="J31" s="109"/>
      <c r="K31" s="112">
        <f t="shared" si="1"/>
        <v>2492.1</v>
      </c>
      <c r="L31" s="39"/>
      <c r="M31" s="39"/>
      <c r="N31" s="39"/>
      <c r="O31" s="39">
        <v>2492.1</v>
      </c>
      <c r="P31" s="39"/>
      <c r="Q31" s="39"/>
      <c r="R31" s="98">
        <f t="shared" si="2"/>
        <v>2492.1</v>
      </c>
      <c r="S31" s="103"/>
      <c r="T31" s="95">
        <f t="shared" si="3"/>
        <v>0</v>
      </c>
    </row>
    <row r="32" spans="1:20" ht="24.75" customHeight="1" x14ac:dyDescent="0.3">
      <c r="A32" s="42" t="s">
        <v>198</v>
      </c>
      <c r="B32" s="110" t="s">
        <v>175</v>
      </c>
      <c r="C32" s="111">
        <f t="shared" si="0"/>
        <v>1</v>
      </c>
      <c r="D32" s="109"/>
      <c r="E32" s="109"/>
      <c r="F32" s="109"/>
      <c r="G32" s="109">
        <v>1</v>
      </c>
      <c r="H32" s="109"/>
      <c r="I32" s="109"/>
      <c r="J32" s="109"/>
      <c r="K32" s="112">
        <f t="shared" si="1"/>
        <v>243.68</v>
      </c>
      <c r="L32" s="39"/>
      <c r="M32" s="39"/>
      <c r="N32" s="39"/>
      <c r="O32" s="39">
        <v>243.68</v>
      </c>
      <c r="P32" s="39"/>
      <c r="Q32" s="39"/>
      <c r="R32" s="98">
        <f t="shared" si="2"/>
        <v>243.68</v>
      </c>
      <c r="S32" s="103"/>
      <c r="T32" s="95">
        <f t="shared" si="3"/>
        <v>0</v>
      </c>
    </row>
    <row r="33" spans="1:20" ht="24.75" customHeight="1" x14ac:dyDescent="0.3">
      <c r="A33" s="42" t="s">
        <v>199</v>
      </c>
      <c r="B33" s="110" t="s">
        <v>175</v>
      </c>
      <c r="C33" s="111">
        <f t="shared" si="0"/>
        <v>1</v>
      </c>
      <c r="D33" s="109"/>
      <c r="E33" s="109">
        <v>1</v>
      </c>
      <c r="F33" s="109"/>
      <c r="G33" s="109"/>
      <c r="H33" s="109"/>
      <c r="I33" s="109"/>
      <c r="J33" s="109"/>
      <c r="K33" s="112">
        <f t="shared" si="1"/>
        <v>729.63</v>
      </c>
      <c r="L33" s="39"/>
      <c r="M33" s="39">
        <v>729.63</v>
      </c>
      <c r="N33" s="39"/>
      <c r="O33" s="39"/>
      <c r="P33" s="39"/>
      <c r="Q33" s="39"/>
      <c r="R33" s="98">
        <f t="shared" si="2"/>
        <v>729.63</v>
      </c>
      <c r="S33" s="103"/>
      <c r="T33" s="95">
        <f t="shared" si="3"/>
        <v>0</v>
      </c>
    </row>
    <row r="34" spans="1:20" ht="24.75" customHeight="1" x14ac:dyDescent="0.3">
      <c r="A34" s="42" t="s">
        <v>200</v>
      </c>
      <c r="B34" s="110" t="s">
        <v>175</v>
      </c>
      <c r="C34" s="111">
        <f t="shared" si="0"/>
        <v>2</v>
      </c>
      <c r="D34" s="109"/>
      <c r="E34" s="109"/>
      <c r="F34" s="109">
        <v>2</v>
      </c>
      <c r="G34" s="109"/>
      <c r="H34" s="109"/>
      <c r="I34" s="109"/>
      <c r="J34" s="109"/>
      <c r="K34" s="112">
        <f t="shared" si="1"/>
        <v>975.7</v>
      </c>
      <c r="L34" s="39"/>
      <c r="M34" s="39"/>
      <c r="N34" s="39">
        <v>975.7</v>
      </c>
      <c r="O34" s="39"/>
      <c r="P34" s="39"/>
      <c r="Q34" s="39"/>
      <c r="R34" s="98">
        <f t="shared" si="2"/>
        <v>975.7</v>
      </c>
      <c r="S34" s="103"/>
      <c r="T34" s="95">
        <f t="shared" si="3"/>
        <v>0</v>
      </c>
    </row>
    <row r="35" spans="1:20" ht="24.75" customHeight="1" x14ac:dyDescent="0.3">
      <c r="A35" s="42" t="s">
        <v>201</v>
      </c>
      <c r="B35" s="110" t="s">
        <v>175</v>
      </c>
      <c r="C35" s="111">
        <f t="shared" si="0"/>
        <v>2</v>
      </c>
      <c r="D35" s="109"/>
      <c r="E35" s="109"/>
      <c r="F35" s="109">
        <v>2</v>
      </c>
      <c r="G35" s="109"/>
      <c r="H35" s="109"/>
      <c r="I35" s="109"/>
      <c r="J35" s="109"/>
      <c r="K35" s="112">
        <f t="shared" si="1"/>
        <v>522</v>
      </c>
      <c r="L35" s="39"/>
      <c r="M35" s="39"/>
      <c r="N35" s="39">
        <v>522</v>
      </c>
      <c r="O35" s="39"/>
      <c r="P35" s="39"/>
      <c r="Q35" s="39"/>
      <c r="R35" s="98">
        <f t="shared" si="2"/>
        <v>522</v>
      </c>
      <c r="S35" s="103"/>
      <c r="T35" s="95">
        <f t="shared" si="3"/>
        <v>0</v>
      </c>
    </row>
    <row r="36" spans="1:20" ht="24.75" customHeight="1" x14ac:dyDescent="0.3">
      <c r="A36" s="42" t="s">
        <v>202</v>
      </c>
      <c r="B36" s="110" t="s">
        <v>175</v>
      </c>
      <c r="C36" s="111">
        <f t="shared" si="0"/>
        <v>2</v>
      </c>
      <c r="D36" s="109"/>
      <c r="E36" s="109"/>
      <c r="F36" s="109">
        <v>2</v>
      </c>
      <c r="G36" s="109"/>
      <c r="H36" s="109"/>
      <c r="I36" s="109"/>
      <c r="J36" s="109"/>
      <c r="K36" s="112">
        <f t="shared" si="1"/>
        <v>1560.6</v>
      </c>
      <c r="L36" s="39"/>
      <c r="M36" s="39"/>
      <c r="N36" s="39">
        <v>1560.6</v>
      </c>
      <c r="O36" s="39"/>
      <c r="P36" s="39"/>
      <c r="Q36" s="39"/>
      <c r="R36" s="98">
        <f t="shared" si="2"/>
        <v>1560.6</v>
      </c>
      <c r="S36" s="103"/>
      <c r="T36" s="95">
        <f t="shared" si="3"/>
        <v>0</v>
      </c>
    </row>
    <row r="37" spans="1:20" ht="24.75" customHeight="1" x14ac:dyDescent="0.3">
      <c r="A37" s="42" t="s">
        <v>203</v>
      </c>
      <c r="B37" s="110" t="s">
        <v>175</v>
      </c>
      <c r="C37" s="111">
        <f t="shared" si="0"/>
        <v>2</v>
      </c>
      <c r="D37" s="109"/>
      <c r="E37" s="109"/>
      <c r="F37" s="109">
        <v>2</v>
      </c>
      <c r="G37" s="109"/>
      <c r="H37" s="109"/>
      <c r="I37" s="109"/>
      <c r="J37" s="109"/>
      <c r="K37" s="112">
        <f t="shared" si="1"/>
        <v>786.5</v>
      </c>
      <c r="L37" s="39"/>
      <c r="M37" s="39"/>
      <c r="N37" s="39">
        <v>786.5</v>
      </c>
      <c r="O37" s="39"/>
      <c r="P37" s="39"/>
      <c r="Q37" s="39"/>
      <c r="R37" s="98">
        <f t="shared" si="2"/>
        <v>786.5</v>
      </c>
      <c r="S37" s="103"/>
      <c r="T37" s="95">
        <f t="shared" si="3"/>
        <v>0</v>
      </c>
    </row>
    <row r="38" spans="1:20" ht="24.75" customHeight="1" x14ac:dyDescent="0.3">
      <c r="A38" s="42" t="s">
        <v>204</v>
      </c>
      <c r="B38" s="110" t="s">
        <v>175</v>
      </c>
      <c r="C38" s="111">
        <f t="shared" si="0"/>
        <v>2</v>
      </c>
      <c r="D38" s="109"/>
      <c r="E38" s="109"/>
      <c r="F38" s="109">
        <v>2</v>
      </c>
      <c r="G38" s="109"/>
      <c r="H38" s="109"/>
      <c r="I38" s="109"/>
      <c r="J38" s="109"/>
      <c r="K38" s="112">
        <f t="shared" si="1"/>
        <v>488.8</v>
      </c>
      <c r="L38" s="39"/>
      <c r="M38" s="39"/>
      <c r="N38" s="39">
        <v>488.8</v>
      </c>
      <c r="O38" s="39"/>
      <c r="P38" s="39"/>
      <c r="Q38" s="39"/>
      <c r="R38" s="98">
        <f t="shared" si="2"/>
        <v>488.8</v>
      </c>
      <c r="S38" s="103"/>
      <c r="T38" s="95">
        <f t="shared" si="3"/>
        <v>0</v>
      </c>
    </row>
    <row r="39" spans="1:20" ht="24.75" customHeight="1" x14ac:dyDescent="0.3">
      <c r="A39" s="42" t="s">
        <v>205</v>
      </c>
      <c r="B39" s="110" t="s">
        <v>175</v>
      </c>
      <c r="C39" s="111">
        <f t="shared" si="0"/>
        <v>2</v>
      </c>
      <c r="D39" s="109"/>
      <c r="E39" s="109"/>
      <c r="F39" s="109">
        <v>2</v>
      </c>
      <c r="G39" s="109"/>
      <c r="H39" s="109"/>
      <c r="I39" s="109"/>
      <c r="J39" s="109"/>
      <c r="K39" s="112">
        <f t="shared" si="1"/>
        <v>1488.6</v>
      </c>
      <c r="L39" s="39"/>
      <c r="M39" s="39"/>
      <c r="N39" s="39">
        <v>1488.6</v>
      </c>
      <c r="O39" s="39"/>
      <c r="P39" s="39"/>
      <c r="Q39" s="39"/>
      <c r="R39" s="98">
        <f t="shared" si="2"/>
        <v>1488.6</v>
      </c>
      <c r="S39" s="103"/>
      <c r="T39" s="95">
        <f t="shared" si="3"/>
        <v>0</v>
      </c>
    </row>
    <row r="40" spans="1:20" ht="24.75" customHeight="1" x14ac:dyDescent="0.3">
      <c r="A40" s="42" t="s">
        <v>206</v>
      </c>
      <c r="B40" s="110" t="s">
        <v>175</v>
      </c>
      <c r="C40" s="111">
        <f t="shared" si="0"/>
        <v>2</v>
      </c>
      <c r="D40" s="109"/>
      <c r="E40" s="109"/>
      <c r="F40" s="109">
        <v>2</v>
      </c>
      <c r="G40" s="109"/>
      <c r="H40" s="109"/>
      <c r="I40" s="109"/>
      <c r="J40" s="109"/>
      <c r="K40" s="112">
        <f t="shared" si="1"/>
        <v>2156.1</v>
      </c>
      <c r="L40" s="39"/>
      <c r="M40" s="39"/>
      <c r="N40" s="39">
        <v>2156.1</v>
      </c>
      <c r="O40" s="39"/>
      <c r="P40" s="39"/>
      <c r="Q40" s="39"/>
      <c r="R40" s="98">
        <f t="shared" si="2"/>
        <v>2156.1</v>
      </c>
      <c r="S40" s="103"/>
      <c r="T40" s="95">
        <f t="shared" si="3"/>
        <v>0</v>
      </c>
    </row>
    <row r="41" spans="1:20" ht="24.75" customHeight="1" x14ac:dyDescent="0.3">
      <c r="A41" s="42" t="s">
        <v>207</v>
      </c>
      <c r="B41" s="110" t="s">
        <v>175</v>
      </c>
      <c r="C41" s="111">
        <f t="shared" si="0"/>
        <v>1</v>
      </c>
      <c r="D41" s="109"/>
      <c r="E41" s="109"/>
      <c r="F41" s="109"/>
      <c r="G41" s="109">
        <v>1</v>
      </c>
      <c r="H41" s="109"/>
      <c r="I41" s="109"/>
      <c r="J41" s="109"/>
      <c r="K41" s="112">
        <f t="shared" si="1"/>
        <v>1364.0160000000001</v>
      </c>
      <c r="L41" s="39"/>
      <c r="M41" s="39"/>
      <c r="N41" s="39"/>
      <c r="O41" s="39">
        <v>1364.0160000000001</v>
      </c>
      <c r="P41" s="39"/>
      <c r="Q41" s="39"/>
      <c r="R41" s="98">
        <f t="shared" si="2"/>
        <v>1364.0160000000001</v>
      </c>
      <c r="S41" s="103"/>
      <c r="T41" s="95">
        <f t="shared" si="3"/>
        <v>0</v>
      </c>
    </row>
    <row r="42" spans="1:20" ht="24.75" customHeight="1" x14ac:dyDescent="0.3">
      <c r="A42" s="42" t="s">
        <v>208</v>
      </c>
      <c r="B42" s="110" t="s">
        <v>175</v>
      </c>
      <c r="C42" s="111">
        <f t="shared" si="0"/>
        <v>2</v>
      </c>
      <c r="D42" s="109"/>
      <c r="E42" s="109"/>
      <c r="F42" s="109">
        <v>2</v>
      </c>
      <c r="G42" s="109"/>
      <c r="H42" s="109"/>
      <c r="I42" s="109"/>
      <c r="J42" s="109"/>
      <c r="K42" s="112">
        <f t="shared" si="1"/>
        <v>1302</v>
      </c>
      <c r="L42" s="39"/>
      <c r="M42" s="39"/>
      <c r="N42" s="39">
        <v>1302</v>
      </c>
      <c r="O42" s="39"/>
      <c r="P42" s="39"/>
      <c r="Q42" s="39"/>
      <c r="R42" s="98">
        <f t="shared" si="2"/>
        <v>1302</v>
      </c>
      <c r="S42" s="103"/>
      <c r="T42" s="95">
        <f t="shared" si="3"/>
        <v>0</v>
      </c>
    </row>
    <row r="43" spans="1:20" ht="24.75" customHeight="1" x14ac:dyDescent="0.3">
      <c r="A43" s="42" t="s">
        <v>209</v>
      </c>
      <c r="B43" s="110" t="s">
        <v>175</v>
      </c>
      <c r="C43" s="111">
        <f t="shared" si="0"/>
        <v>2</v>
      </c>
      <c r="D43" s="109"/>
      <c r="E43" s="109"/>
      <c r="F43" s="109">
        <v>2</v>
      </c>
      <c r="G43" s="109"/>
      <c r="H43" s="109"/>
      <c r="I43" s="109"/>
      <c r="J43" s="109"/>
      <c r="K43" s="112">
        <f t="shared" si="1"/>
        <v>891</v>
      </c>
      <c r="L43" s="39"/>
      <c r="M43" s="39"/>
      <c r="N43" s="39">
        <v>891</v>
      </c>
      <c r="O43" s="39"/>
      <c r="P43" s="39"/>
      <c r="Q43" s="39"/>
      <c r="R43" s="98">
        <f t="shared" si="2"/>
        <v>891</v>
      </c>
      <c r="S43" s="103"/>
      <c r="T43" s="95">
        <f t="shared" si="3"/>
        <v>0</v>
      </c>
    </row>
    <row r="44" spans="1:20" ht="24.75" customHeight="1" x14ac:dyDescent="0.3">
      <c r="A44" s="42" t="s">
        <v>210</v>
      </c>
      <c r="B44" s="110" t="s">
        <v>175</v>
      </c>
      <c r="C44" s="111">
        <f t="shared" si="0"/>
        <v>3</v>
      </c>
      <c r="D44" s="109"/>
      <c r="E44" s="109"/>
      <c r="F44" s="109">
        <v>2</v>
      </c>
      <c r="G44" s="109"/>
      <c r="H44" s="109"/>
      <c r="I44" s="109">
        <v>1</v>
      </c>
      <c r="J44" s="109"/>
      <c r="K44" s="112">
        <f t="shared" si="1"/>
        <v>1569</v>
      </c>
      <c r="L44" s="39"/>
      <c r="M44" s="39"/>
      <c r="N44" s="39">
        <v>1569</v>
      </c>
      <c r="O44" s="39"/>
      <c r="P44" s="39"/>
      <c r="Q44" s="39">
        <v>3022.5</v>
      </c>
      <c r="R44" s="98">
        <f t="shared" si="2"/>
        <v>3022.5</v>
      </c>
      <c r="S44" s="103">
        <f>R44/K44-1</f>
        <v>0.92638623326959846</v>
      </c>
      <c r="T44" s="95">
        <f t="shared" si="3"/>
        <v>0</v>
      </c>
    </row>
    <row r="45" spans="1:20" ht="24.75" customHeight="1" x14ac:dyDescent="0.3">
      <c r="A45" s="42" t="s">
        <v>211</v>
      </c>
      <c r="B45" s="110" t="s">
        <v>175</v>
      </c>
      <c r="C45" s="111">
        <f t="shared" si="0"/>
        <v>2</v>
      </c>
      <c r="D45" s="109"/>
      <c r="E45" s="109"/>
      <c r="F45" s="109">
        <v>2</v>
      </c>
      <c r="G45" s="109"/>
      <c r="H45" s="109"/>
      <c r="I45" s="109"/>
      <c r="J45" s="109"/>
      <c r="K45" s="112">
        <f t="shared" si="1"/>
        <v>1734.7</v>
      </c>
      <c r="L45" s="39"/>
      <c r="M45" s="39"/>
      <c r="N45" s="39">
        <v>1734.7</v>
      </c>
      <c r="O45" s="39"/>
      <c r="P45" s="39"/>
      <c r="Q45" s="39"/>
      <c r="R45" s="98">
        <f t="shared" si="2"/>
        <v>1734.7</v>
      </c>
      <c r="S45" s="103"/>
      <c r="T45" s="95">
        <f t="shared" si="3"/>
        <v>0</v>
      </c>
    </row>
    <row r="46" spans="1:20" ht="24.75" customHeight="1" x14ac:dyDescent="0.3">
      <c r="A46" s="42" t="s">
        <v>212</v>
      </c>
      <c r="B46" s="110" t="s">
        <v>175</v>
      </c>
      <c r="C46" s="111">
        <f t="shared" si="0"/>
        <v>2</v>
      </c>
      <c r="D46" s="109"/>
      <c r="E46" s="109"/>
      <c r="F46" s="109">
        <v>2</v>
      </c>
      <c r="G46" s="109"/>
      <c r="H46" s="109"/>
      <c r="I46" s="109"/>
      <c r="J46" s="109"/>
      <c r="K46" s="112">
        <f t="shared" si="1"/>
        <v>2052</v>
      </c>
      <c r="L46" s="39"/>
      <c r="M46" s="39"/>
      <c r="N46" s="39">
        <v>2052</v>
      </c>
      <c r="O46" s="39"/>
      <c r="P46" s="39"/>
      <c r="Q46" s="39"/>
      <c r="R46" s="98">
        <f t="shared" si="2"/>
        <v>2052</v>
      </c>
      <c r="S46" s="103"/>
      <c r="T46" s="95">
        <f t="shared" si="3"/>
        <v>0</v>
      </c>
    </row>
    <row r="47" spans="1:20" ht="24.75" customHeight="1" x14ac:dyDescent="0.3">
      <c r="A47" s="42" t="s">
        <v>56</v>
      </c>
      <c r="B47" s="110" t="s">
        <v>9</v>
      </c>
      <c r="C47" s="111">
        <f t="shared" si="0"/>
        <v>2</v>
      </c>
      <c r="D47" s="109"/>
      <c r="E47" s="109"/>
      <c r="F47" s="109"/>
      <c r="G47" s="109"/>
      <c r="H47" s="109">
        <v>2</v>
      </c>
      <c r="I47" s="109"/>
      <c r="J47" s="109"/>
      <c r="K47" s="112">
        <f t="shared" si="1"/>
        <v>9920</v>
      </c>
      <c r="L47" s="39"/>
      <c r="M47" s="39"/>
      <c r="N47" s="39"/>
      <c r="O47" s="39"/>
      <c r="P47" s="39">
        <v>9920</v>
      </c>
      <c r="Q47" s="39"/>
      <c r="R47" s="98">
        <f t="shared" si="2"/>
        <v>9920</v>
      </c>
      <c r="S47" s="103"/>
      <c r="T47" s="95">
        <f t="shared" si="3"/>
        <v>0</v>
      </c>
    </row>
    <row r="48" spans="1:20" ht="24.75" customHeight="1" x14ac:dyDescent="0.3">
      <c r="A48" s="42" t="s">
        <v>213</v>
      </c>
      <c r="B48" s="110" t="s">
        <v>175</v>
      </c>
      <c r="C48" s="111">
        <f t="shared" si="0"/>
        <v>2</v>
      </c>
      <c r="D48" s="109"/>
      <c r="E48" s="109"/>
      <c r="F48" s="109">
        <v>2</v>
      </c>
      <c r="G48" s="109"/>
      <c r="H48" s="109"/>
      <c r="I48" s="109"/>
      <c r="J48" s="109"/>
      <c r="K48" s="112">
        <f t="shared" si="1"/>
        <v>690</v>
      </c>
      <c r="L48" s="39"/>
      <c r="M48" s="39"/>
      <c r="N48" s="39">
        <v>690</v>
      </c>
      <c r="O48" s="39"/>
      <c r="P48" s="39"/>
      <c r="Q48" s="39"/>
      <c r="R48" s="98">
        <f t="shared" si="2"/>
        <v>690</v>
      </c>
      <c r="S48" s="103"/>
      <c r="T48" s="95">
        <f t="shared" si="3"/>
        <v>0</v>
      </c>
    </row>
    <row r="49" spans="1:20" ht="24.75" customHeight="1" x14ac:dyDescent="0.3">
      <c r="A49" s="42" t="s">
        <v>214</v>
      </c>
      <c r="B49" s="110" t="s">
        <v>175</v>
      </c>
      <c r="C49" s="111">
        <f t="shared" si="0"/>
        <v>2</v>
      </c>
      <c r="D49" s="109"/>
      <c r="E49" s="109"/>
      <c r="F49" s="109">
        <v>2</v>
      </c>
      <c r="G49" s="109"/>
      <c r="H49" s="109"/>
      <c r="I49" s="109"/>
      <c r="J49" s="109"/>
      <c r="K49" s="112">
        <f t="shared" si="1"/>
        <v>1650.9</v>
      </c>
      <c r="L49" s="39"/>
      <c r="M49" s="39"/>
      <c r="N49" s="39">
        <v>1650.9</v>
      </c>
      <c r="O49" s="39"/>
      <c r="P49" s="39"/>
      <c r="Q49" s="39"/>
      <c r="R49" s="98">
        <f t="shared" si="2"/>
        <v>1650.9</v>
      </c>
      <c r="S49" s="103"/>
      <c r="T49" s="95">
        <f t="shared" si="3"/>
        <v>0</v>
      </c>
    </row>
    <row r="50" spans="1:20" ht="24.75" customHeight="1" x14ac:dyDescent="0.3">
      <c r="A50" s="42" t="s">
        <v>215</v>
      </c>
      <c r="B50" s="110" t="s">
        <v>175</v>
      </c>
      <c r="C50" s="111">
        <f t="shared" si="0"/>
        <v>2</v>
      </c>
      <c r="D50" s="109"/>
      <c r="E50" s="109">
        <v>1</v>
      </c>
      <c r="F50" s="109"/>
      <c r="G50" s="109">
        <v>1</v>
      </c>
      <c r="H50" s="109"/>
      <c r="I50" s="109"/>
      <c r="J50" s="109"/>
      <c r="K50" s="112">
        <f t="shared" si="1"/>
        <v>1969.96</v>
      </c>
      <c r="L50" s="39"/>
      <c r="M50" s="39">
        <v>1969.96</v>
      </c>
      <c r="N50" s="39"/>
      <c r="O50" s="39">
        <v>1969.96</v>
      </c>
      <c r="P50" s="39"/>
      <c r="Q50" s="39"/>
      <c r="R50" s="98">
        <f t="shared" si="2"/>
        <v>1969.96</v>
      </c>
      <c r="S50" s="103"/>
      <c r="T50" s="95">
        <f t="shared" si="3"/>
        <v>0</v>
      </c>
    </row>
    <row r="51" spans="1:20" ht="24.75" customHeight="1" x14ac:dyDescent="0.3">
      <c r="A51" s="42" t="s">
        <v>216</v>
      </c>
      <c r="B51" s="110" t="s">
        <v>175</v>
      </c>
      <c r="C51" s="111">
        <f t="shared" si="0"/>
        <v>1</v>
      </c>
      <c r="D51" s="109"/>
      <c r="E51" s="109">
        <v>1</v>
      </c>
      <c r="F51" s="109"/>
      <c r="G51" s="109"/>
      <c r="H51" s="109"/>
      <c r="I51" s="109"/>
      <c r="J51" s="109"/>
      <c r="K51" s="112">
        <f t="shared" si="1"/>
        <v>5537.15</v>
      </c>
      <c r="L51" s="39"/>
      <c r="M51" s="39">
        <v>5537.15</v>
      </c>
      <c r="N51" s="39"/>
      <c r="O51" s="39"/>
      <c r="P51" s="39"/>
      <c r="Q51" s="39"/>
      <c r="R51" s="98">
        <f t="shared" si="2"/>
        <v>5537.15</v>
      </c>
      <c r="S51" s="103"/>
      <c r="T51" s="95">
        <f t="shared" si="3"/>
        <v>0</v>
      </c>
    </row>
    <row r="52" spans="1:20" ht="24.75" customHeight="1" x14ac:dyDescent="0.3">
      <c r="A52" s="42" t="s">
        <v>217</v>
      </c>
      <c r="B52" s="110" t="s">
        <v>175</v>
      </c>
      <c r="C52" s="111">
        <f t="shared" si="0"/>
        <v>1</v>
      </c>
      <c r="D52" s="109"/>
      <c r="E52" s="109">
        <v>1</v>
      </c>
      <c r="F52" s="109"/>
      <c r="G52" s="109"/>
      <c r="H52" s="109"/>
      <c r="I52" s="109"/>
      <c r="J52" s="109"/>
      <c r="K52" s="112">
        <f t="shared" si="1"/>
        <v>882.01</v>
      </c>
      <c r="L52" s="39"/>
      <c r="M52" s="39">
        <v>882.01</v>
      </c>
      <c r="N52" s="39"/>
      <c r="O52" s="39"/>
      <c r="P52" s="39"/>
      <c r="Q52" s="39"/>
      <c r="R52" s="98">
        <f t="shared" si="2"/>
        <v>882.01</v>
      </c>
      <c r="S52" s="103"/>
      <c r="T52" s="95">
        <f t="shared" si="3"/>
        <v>0</v>
      </c>
    </row>
    <row r="53" spans="1:20" ht="24.75" customHeight="1" x14ac:dyDescent="0.3">
      <c r="A53" s="42" t="s">
        <v>218</v>
      </c>
      <c r="B53" s="110" t="s">
        <v>175</v>
      </c>
      <c r="C53" s="111">
        <f t="shared" si="0"/>
        <v>1</v>
      </c>
      <c r="D53" s="109"/>
      <c r="E53" s="109">
        <v>1</v>
      </c>
      <c r="F53" s="109"/>
      <c r="G53" s="109"/>
      <c r="H53" s="109"/>
      <c r="I53" s="109"/>
      <c r="J53" s="109"/>
      <c r="K53" s="112">
        <f t="shared" si="1"/>
        <v>866.4</v>
      </c>
      <c r="L53" s="39"/>
      <c r="M53" s="39">
        <v>866.4</v>
      </c>
      <c r="N53" s="39"/>
      <c r="O53" s="39"/>
      <c r="P53" s="39"/>
      <c r="Q53" s="39"/>
      <c r="R53" s="98">
        <f t="shared" si="2"/>
        <v>866.4</v>
      </c>
      <c r="S53" s="103"/>
      <c r="T53" s="95">
        <f t="shared" si="3"/>
        <v>0</v>
      </c>
    </row>
    <row r="54" spans="1:20" ht="24.75" customHeight="1" x14ac:dyDescent="0.3">
      <c r="A54" s="42" t="s">
        <v>219</v>
      </c>
      <c r="B54" s="110" t="s">
        <v>175</v>
      </c>
      <c r="C54" s="111">
        <f t="shared" si="0"/>
        <v>1</v>
      </c>
      <c r="D54" s="109"/>
      <c r="E54" s="109">
        <v>1</v>
      </c>
      <c r="F54" s="109"/>
      <c r="G54" s="109"/>
      <c r="H54" s="109"/>
      <c r="I54" s="109"/>
      <c r="J54" s="109"/>
      <c r="K54" s="112">
        <f t="shared" si="1"/>
        <v>950.51</v>
      </c>
      <c r="L54" s="39"/>
      <c r="M54" s="39">
        <v>950.51</v>
      </c>
      <c r="N54" s="39"/>
      <c r="O54" s="39"/>
      <c r="P54" s="39"/>
      <c r="Q54" s="39"/>
      <c r="R54" s="98">
        <f t="shared" si="2"/>
        <v>950.51</v>
      </c>
      <c r="S54" s="103"/>
      <c r="T54" s="95">
        <f t="shared" si="3"/>
        <v>0</v>
      </c>
    </row>
    <row r="55" spans="1:20" ht="24.75" customHeight="1" x14ac:dyDescent="0.3">
      <c r="A55" s="42" t="s">
        <v>220</v>
      </c>
      <c r="B55" s="110" t="s">
        <v>175</v>
      </c>
      <c r="C55" s="111">
        <f t="shared" si="0"/>
        <v>3</v>
      </c>
      <c r="D55" s="109"/>
      <c r="E55" s="109">
        <v>1</v>
      </c>
      <c r="F55" s="109">
        <v>2</v>
      </c>
      <c r="G55" s="109"/>
      <c r="H55" s="109"/>
      <c r="I55" s="109"/>
      <c r="J55" s="109"/>
      <c r="K55" s="112">
        <f t="shared" si="1"/>
        <v>436.4</v>
      </c>
      <c r="L55" s="39"/>
      <c r="M55" s="39">
        <v>543.97</v>
      </c>
      <c r="N55" s="39">
        <v>436.4</v>
      </c>
      <c r="O55" s="39"/>
      <c r="P55" s="39"/>
      <c r="Q55" s="39"/>
      <c r="R55" s="98">
        <f t="shared" si="2"/>
        <v>543.97</v>
      </c>
      <c r="S55" s="103">
        <f>R55/K55-1</f>
        <v>0.24649404216315318</v>
      </c>
      <c r="T55" s="95">
        <f t="shared" si="3"/>
        <v>0</v>
      </c>
    </row>
    <row r="56" spans="1:20" ht="24.75" customHeight="1" x14ac:dyDescent="0.3">
      <c r="A56" s="42" t="s">
        <v>221</v>
      </c>
      <c r="B56" s="110" t="s">
        <v>175</v>
      </c>
      <c r="C56" s="111">
        <f t="shared" si="0"/>
        <v>2</v>
      </c>
      <c r="D56" s="109"/>
      <c r="E56" s="109">
        <v>1</v>
      </c>
      <c r="F56" s="109"/>
      <c r="G56" s="109">
        <v>1</v>
      </c>
      <c r="H56" s="109"/>
      <c r="I56" s="109"/>
      <c r="J56" s="109"/>
      <c r="K56" s="112">
        <f t="shared" si="1"/>
        <v>238.34</v>
      </c>
      <c r="L56" s="39"/>
      <c r="M56" s="39">
        <v>238.34</v>
      </c>
      <c r="N56" s="39"/>
      <c r="O56" s="39">
        <v>238.34</v>
      </c>
      <c r="P56" s="39"/>
      <c r="Q56" s="39"/>
      <c r="R56" s="98">
        <f t="shared" si="2"/>
        <v>238.34</v>
      </c>
      <c r="S56" s="103"/>
      <c r="T56" s="95">
        <f t="shared" si="3"/>
        <v>0</v>
      </c>
    </row>
    <row r="57" spans="1:20" ht="24.75" customHeight="1" x14ac:dyDescent="0.3">
      <c r="A57" s="42" t="s">
        <v>222</v>
      </c>
      <c r="B57" s="110" t="s">
        <v>175</v>
      </c>
      <c r="C57" s="111">
        <f t="shared" si="0"/>
        <v>1</v>
      </c>
      <c r="D57" s="109"/>
      <c r="E57" s="109"/>
      <c r="F57" s="109"/>
      <c r="G57" s="109">
        <v>1</v>
      </c>
      <c r="H57" s="109"/>
      <c r="I57" s="109"/>
      <c r="J57" s="109"/>
      <c r="K57" s="112">
        <f t="shared" si="1"/>
        <v>1476.32</v>
      </c>
      <c r="L57" s="39"/>
      <c r="M57" s="39"/>
      <c r="N57" s="39"/>
      <c r="O57" s="39">
        <v>1476.32</v>
      </c>
      <c r="P57" s="39"/>
      <c r="Q57" s="39"/>
      <c r="R57" s="98">
        <f t="shared" si="2"/>
        <v>1476.32</v>
      </c>
      <c r="S57" s="103"/>
      <c r="T57" s="95">
        <f t="shared" si="3"/>
        <v>0</v>
      </c>
    </row>
    <row r="58" spans="1:20" ht="24.75" customHeight="1" x14ac:dyDescent="0.3">
      <c r="A58" s="42" t="s">
        <v>223</v>
      </c>
      <c r="B58" s="110" t="s">
        <v>175</v>
      </c>
      <c r="C58" s="111">
        <f t="shared" si="0"/>
        <v>3</v>
      </c>
      <c r="D58" s="109">
        <v>2</v>
      </c>
      <c r="E58" s="109">
        <v>1</v>
      </c>
      <c r="F58" s="109"/>
      <c r="G58" s="109"/>
      <c r="H58" s="109"/>
      <c r="I58" s="109"/>
      <c r="J58" s="109"/>
      <c r="K58" s="112">
        <f t="shared" si="1"/>
        <v>806.31600000000003</v>
      </c>
      <c r="L58" s="39">
        <v>30013.67</v>
      </c>
      <c r="M58" s="39">
        <v>806.31600000000003</v>
      </c>
      <c r="N58" s="39"/>
      <c r="O58" s="39"/>
      <c r="P58" s="39"/>
      <c r="Q58" s="39"/>
      <c r="R58" s="98">
        <f t="shared" si="2"/>
        <v>30013.67</v>
      </c>
      <c r="S58" s="103">
        <f>R58/K58-1</f>
        <v>36.223210255036484</v>
      </c>
      <c r="T58" s="95">
        <f t="shared" si="3"/>
        <v>1</v>
      </c>
    </row>
    <row r="59" spans="1:20" ht="24.75" customHeight="1" x14ac:dyDescent="0.3">
      <c r="A59" s="42" t="s">
        <v>224</v>
      </c>
      <c r="B59" s="110" t="s">
        <v>175</v>
      </c>
      <c r="C59" s="111">
        <f t="shared" si="0"/>
        <v>1</v>
      </c>
      <c r="D59" s="109"/>
      <c r="E59" s="109"/>
      <c r="F59" s="109"/>
      <c r="G59" s="109">
        <v>1</v>
      </c>
      <c r="H59" s="109"/>
      <c r="I59" s="109"/>
      <c r="J59" s="109"/>
      <c r="K59" s="112">
        <f t="shared" si="1"/>
        <v>901.74</v>
      </c>
      <c r="L59" s="39"/>
      <c r="M59" s="39"/>
      <c r="N59" s="39"/>
      <c r="O59" s="39">
        <v>901.74</v>
      </c>
      <c r="P59" s="39"/>
      <c r="Q59" s="39"/>
      <c r="R59" s="98">
        <f t="shared" si="2"/>
        <v>901.74</v>
      </c>
      <c r="S59" s="103"/>
      <c r="T59" s="95">
        <f t="shared" si="3"/>
        <v>0</v>
      </c>
    </row>
    <row r="60" spans="1:20" ht="24.75" customHeight="1" x14ac:dyDescent="0.3">
      <c r="A60" s="37" t="s">
        <v>225</v>
      </c>
      <c r="B60" s="38" t="s">
        <v>8</v>
      </c>
      <c r="C60" s="40">
        <f t="shared" si="0"/>
        <v>28</v>
      </c>
      <c r="D60" s="39">
        <v>2</v>
      </c>
      <c r="E60" s="39">
        <v>5</v>
      </c>
      <c r="F60" s="39">
        <v>17</v>
      </c>
      <c r="G60" s="39">
        <v>2</v>
      </c>
      <c r="H60" s="39">
        <v>2</v>
      </c>
      <c r="I60" s="39"/>
      <c r="J60" s="39"/>
      <c r="K60" s="100">
        <f t="shared" si="1"/>
        <v>4016.66</v>
      </c>
      <c r="L60" s="39">
        <v>19000</v>
      </c>
      <c r="M60" s="39">
        <v>12000</v>
      </c>
      <c r="N60" s="39"/>
      <c r="O60" s="39">
        <v>4016.66</v>
      </c>
      <c r="P60" s="99">
        <v>4016.67</v>
      </c>
      <c r="Q60" s="39"/>
      <c r="R60" s="98">
        <f t="shared" si="2"/>
        <v>19000</v>
      </c>
      <c r="S60" s="103">
        <f>R60/K60-1</f>
        <v>3.7302983075490586</v>
      </c>
      <c r="T60" s="95">
        <f t="shared" si="3"/>
        <v>1</v>
      </c>
    </row>
    <row r="61" spans="1:20" ht="24.75" customHeight="1" x14ac:dyDescent="0.3">
      <c r="A61" s="37" t="s">
        <v>226</v>
      </c>
      <c r="B61" s="38" t="s">
        <v>8</v>
      </c>
      <c r="C61" s="40">
        <f t="shared" si="0"/>
        <v>2</v>
      </c>
      <c r="D61" s="39"/>
      <c r="E61" s="39"/>
      <c r="F61" s="39"/>
      <c r="G61" s="39"/>
      <c r="H61" s="39">
        <v>2</v>
      </c>
      <c r="I61" s="39"/>
      <c r="J61" s="39"/>
      <c r="K61" s="100">
        <f t="shared" si="1"/>
        <v>4466.67</v>
      </c>
      <c r="L61" s="39"/>
      <c r="M61" s="39"/>
      <c r="N61" s="39"/>
      <c r="O61" s="39"/>
      <c r="P61" s="39">
        <v>4466.67</v>
      </c>
      <c r="Q61" s="39"/>
      <c r="R61" s="98">
        <f t="shared" si="2"/>
        <v>4466.67</v>
      </c>
      <c r="S61" s="103"/>
      <c r="T61" s="95">
        <f t="shared" si="3"/>
        <v>0</v>
      </c>
    </row>
    <row r="62" spans="1:20" ht="24.75" customHeight="1" x14ac:dyDescent="0.3">
      <c r="A62" s="42" t="s">
        <v>227</v>
      </c>
      <c r="B62" s="110" t="s">
        <v>10</v>
      </c>
      <c r="C62" s="111">
        <f t="shared" si="0"/>
        <v>337</v>
      </c>
      <c r="D62" s="109">
        <v>75</v>
      </c>
      <c r="E62" s="109">
        <v>100</v>
      </c>
      <c r="F62" s="109">
        <v>132</v>
      </c>
      <c r="G62" s="109"/>
      <c r="H62" s="109">
        <v>30</v>
      </c>
      <c r="I62" s="109"/>
      <c r="J62" s="109"/>
      <c r="K62" s="112">
        <f t="shared" si="1"/>
        <v>464.31599999999997</v>
      </c>
      <c r="L62" s="39">
        <v>547.87</v>
      </c>
      <c r="M62" s="39">
        <v>464.31599999999997</v>
      </c>
      <c r="N62" s="39">
        <v>736</v>
      </c>
      <c r="O62" s="39"/>
      <c r="P62" s="39">
        <v>1003.47</v>
      </c>
      <c r="Q62" s="39"/>
      <c r="R62" s="98">
        <f t="shared" si="2"/>
        <v>1003.47</v>
      </c>
      <c r="S62" s="103">
        <f>R62/K62-1</f>
        <v>1.161179024629778</v>
      </c>
      <c r="T62" s="95">
        <f t="shared" si="3"/>
        <v>1</v>
      </c>
    </row>
    <row r="63" spans="1:20" ht="24.75" customHeight="1" x14ac:dyDescent="0.3">
      <c r="A63" s="42" t="s">
        <v>228</v>
      </c>
      <c r="B63" s="110" t="s">
        <v>10</v>
      </c>
      <c r="C63" s="111">
        <f t="shared" si="0"/>
        <v>395</v>
      </c>
      <c r="D63" s="109"/>
      <c r="E63" s="109"/>
      <c r="F63" s="109"/>
      <c r="G63" s="109"/>
      <c r="H63" s="109"/>
      <c r="I63" s="109">
        <v>395</v>
      </c>
      <c r="J63" s="109"/>
      <c r="K63" s="112">
        <f t="shared" si="1"/>
        <v>718.7</v>
      </c>
      <c r="L63" s="39"/>
      <c r="M63" s="39"/>
      <c r="N63" s="39"/>
      <c r="O63" s="39"/>
      <c r="P63" s="39"/>
      <c r="Q63" s="39">
        <v>718.7</v>
      </c>
      <c r="R63" s="98">
        <f t="shared" si="2"/>
        <v>718.7</v>
      </c>
      <c r="S63" s="103"/>
      <c r="T63" s="95">
        <f t="shared" si="3"/>
        <v>0</v>
      </c>
    </row>
    <row r="64" spans="1:20" ht="24.75" customHeight="1" x14ac:dyDescent="0.3">
      <c r="A64" s="42" t="s">
        <v>229</v>
      </c>
      <c r="B64" s="110" t="s">
        <v>9</v>
      </c>
      <c r="C64" s="111">
        <f t="shared" si="0"/>
        <v>1</v>
      </c>
      <c r="D64" s="109"/>
      <c r="E64" s="109"/>
      <c r="F64" s="109"/>
      <c r="G64" s="109"/>
      <c r="H64" s="109"/>
      <c r="I64" s="109">
        <v>1</v>
      </c>
      <c r="J64" s="109"/>
      <c r="K64" s="112">
        <f t="shared" si="1"/>
        <v>15666.7</v>
      </c>
      <c r="L64" s="39"/>
      <c r="M64" s="39"/>
      <c r="N64" s="39"/>
      <c r="O64" s="39"/>
      <c r="P64" s="39"/>
      <c r="Q64" s="39">
        <v>15666.7</v>
      </c>
      <c r="R64" s="98">
        <f t="shared" si="2"/>
        <v>15666.7</v>
      </c>
      <c r="S64" s="103"/>
      <c r="T64" s="95">
        <f t="shared" si="3"/>
        <v>0</v>
      </c>
    </row>
    <row r="65" spans="1:20" ht="24.75" customHeight="1" x14ac:dyDescent="0.3">
      <c r="A65" s="42" t="s">
        <v>230</v>
      </c>
      <c r="B65" s="110" t="s">
        <v>9</v>
      </c>
      <c r="C65" s="111">
        <f t="shared" si="0"/>
        <v>5</v>
      </c>
      <c r="D65" s="109">
        <v>1</v>
      </c>
      <c r="E65" s="109">
        <v>2</v>
      </c>
      <c r="F65" s="109"/>
      <c r="G65" s="109">
        <v>1</v>
      </c>
      <c r="H65" s="109">
        <v>1</v>
      </c>
      <c r="I65" s="109"/>
      <c r="J65" s="109"/>
      <c r="K65" s="112">
        <f t="shared" si="1"/>
        <v>2795.78</v>
      </c>
      <c r="L65" s="39">
        <v>2795.78</v>
      </c>
      <c r="M65" s="39">
        <v>2795.78</v>
      </c>
      <c r="N65" s="39"/>
      <c r="O65" s="39">
        <v>2795.78</v>
      </c>
      <c r="P65" s="39">
        <v>2795.78</v>
      </c>
      <c r="Q65" s="39"/>
      <c r="R65" s="98">
        <f t="shared" si="2"/>
        <v>2795.78</v>
      </c>
      <c r="S65" s="103"/>
      <c r="T65" s="95">
        <f t="shared" si="3"/>
        <v>0</v>
      </c>
    </row>
    <row r="66" spans="1:20" ht="24.75" customHeight="1" x14ac:dyDescent="0.3">
      <c r="A66" s="42" t="s">
        <v>231</v>
      </c>
      <c r="B66" s="110" t="s">
        <v>9</v>
      </c>
      <c r="C66" s="111">
        <f t="shared" si="0"/>
        <v>4</v>
      </c>
      <c r="D66" s="109">
        <v>1</v>
      </c>
      <c r="E66" s="109">
        <v>2</v>
      </c>
      <c r="F66" s="109"/>
      <c r="G66" s="109"/>
      <c r="H66" s="109"/>
      <c r="I66" s="109">
        <v>1</v>
      </c>
      <c r="J66" s="109"/>
      <c r="K66" s="112">
        <f t="shared" si="1"/>
        <v>2572.64</v>
      </c>
      <c r="L66" s="39">
        <v>2918.92</v>
      </c>
      <c r="M66" s="39">
        <v>2572.64</v>
      </c>
      <c r="N66" s="39"/>
      <c r="O66" s="39"/>
      <c r="P66" s="39"/>
      <c r="Q66" s="39">
        <v>3136.3</v>
      </c>
      <c r="R66" s="98">
        <f t="shared" si="2"/>
        <v>3136.3</v>
      </c>
      <c r="S66" s="103">
        <f>R66/K66-1</f>
        <v>0.21909789165992932</v>
      </c>
      <c r="T66" s="95">
        <f t="shared" si="3"/>
        <v>0</v>
      </c>
    </row>
    <row r="67" spans="1:20" ht="24.75" customHeight="1" x14ac:dyDescent="0.3">
      <c r="A67" s="42" t="s">
        <v>232</v>
      </c>
      <c r="B67" s="110" t="s">
        <v>8</v>
      </c>
      <c r="C67" s="111">
        <f t="shared" si="0"/>
        <v>108</v>
      </c>
      <c r="D67" s="109">
        <v>35</v>
      </c>
      <c r="E67" s="109">
        <v>73</v>
      </c>
      <c r="F67" s="109"/>
      <c r="G67" s="109"/>
      <c r="H67" s="109"/>
      <c r="I67" s="109"/>
      <c r="J67" s="109"/>
      <c r="K67" s="112">
        <f t="shared" si="1"/>
        <v>570</v>
      </c>
      <c r="L67" s="39">
        <v>1194</v>
      </c>
      <c r="M67" s="39">
        <v>570</v>
      </c>
      <c r="N67" s="39"/>
      <c r="O67" s="39"/>
      <c r="P67" s="39"/>
      <c r="Q67" s="39"/>
      <c r="R67" s="98">
        <f t="shared" si="2"/>
        <v>1194</v>
      </c>
      <c r="S67" s="103">
        <f>R67/K67-1</f>
        <v>1.094736842105263</v>
      </c>
      <c r="T67" s="95">
        <f t="shared" si="3"/>
        <v>1</v>
      </c>
    </row>
    <row r="68" spans="1:20" ht="24.75" customHeight="1" x14ac:dyDescent="0.3">
      <c r="A68" s="42" t="s">
        <v>233</v>
      </c>
      <c r="B68" s="110" t="s">
        <v>10</v>
      </c>
      <c r="C68" s="111">
        <f t="shared" ref="C68:C131" si="4">D68+E68+F68+G68+H68+I68</f>
        <v>226</v>
      </c>
      <c r="D68" s="109">
        <v>75</v>
      </c>
      <c r="E68" s="109"/>
      <c r="F68" s="109"/>
      <c r="G68" s="109"/>
      <c r="H68" s="109">
        <v>1</v>
      </c>
      <c r="I68" s="109">
        <v>150</v>
      </c>
      <c r="J68" s="109"/>
      <c r="K68" s="112">
        <f t="shared" ref="K68:K130" si="5">MIN(L68:Q68)</f>
        <v>261</v>
      </c>
      <c r="L68" s="39">
        <v>328.89</v>
      </c>
      <c r="M68" s="39"/>
      <c r="N68" s="39"/>
      <c r="O68" s="39"/>
      <c r="P68" s="39">
        <v>21250</v>
      </c>
      <c r="Q68" s="39">
        <v>261</v>
      </c>
      <c r="R68" s="98">
        <f t="shared" ref="R68:R130" si="6">MAX(L68:Q68)</f>
        <v>21250</v>
      </c>
      <c r="S68" s="103">
        <f>R68/K68-1</f>
        <v>80.417624521072796</v>
      </c>
      <c r="T68" s="95">
        <f t="shared" ref="T68:T130" si="7">IF(S68&gt;1,1,0)</f>
        <v>1</v>
      </c>
    </row>
    <row r="69" spans="1:20" ht="24.75" customHeight="1" x14ac:dyDescent="0.3">
      <c r="A69" s="42" t="s">
        <v>47</v>
      </c>
      <c r="B69" s="110" t="s">
        <v>9</v>
      </c>
      <c r="C69" s="111">
        <f t="shared" si="4"/>
        <v>1</v>
      </c>
      <c r="D69" s="109"/>
      <c r="E69" s="109"/>
      <c r="F69" s="109"/>
      <c r="G69" s="109"/>
      <c r="H69" s="109"/>
      <c r="I69" s="109">
        <v>1</v>
      </c>
      <c r="J69" s="109"/>
      <c r="K69" s="112">
        <f t="shared" si="5"/>
        <v>1856</v>
      </c>
      <c r="L69" s="39"/>
      <c r="M69" s="39"/>
      <c r="N69" s="39"/>
      <c r="O69" s="39"/>
      <c r="P69" s="39"/>
      <c r="Q69" s="39">
        <v>1856</v>
      </c>
      <c r="R69" s="98">
        <f t="shared" si="6"/>
        <v>1856</v>
      </c>
      <c r="S69" s="103"/>
      <c r="T69" s="95">
        <f t="shared" si="7"/>
        <v>0</v>
      </c>
    </row>
    <row r="70" spans="1:20" ht="24.75" customHeight="1" x14ac:dyDescent="0.3">
      <c r="A70" s="42" t="s">
        <v>235</v>
      </c>
      <c r="B70" s="110" t="s">
        <v>9</v>
      </c>
      <c r="C70" s="111">
        <f t="shared" si="4"/>
        <v>127</v>
      </c>
      <c r="D70" s="109">
        <v>73</v>
      </c>
      <c r="E70" s="109"/>
      <c r="F70" s="109"/>
      <c r="G70" s="109">
        <v>27</v>
      </c>
      <c r="H70" s="109">
        <v>27</v>
      </c>
      <c r="I70" s="109"/>
      <c r="J70" s="109"/>
      <c r="K70" s="112">
        <f t="shared" si="5"/>
        <v>2200</v>
      </c>
      <c r="L70" s="39">
        <v>2474.12</v>
      </c>
      <c r="M70" s="39"/>
      <c r="N70" s="39"/>
      <c r="O70" s="39">
        <v>2200</v>
      </c>
      <c r="P70" s="39">
        <v>2200</v>
      </c>
      <c r="Q70" s="39"/>
      <c r="R70" s="98">
        <f t="shared" si="6"/>
        <v>2474.12</v>
      </c>
      <c r="S70" s="103">
        <f>R70/K70-1</f>
        <v>0.12460000000000004</v>
      </c>
      <c r="T70" s="95">
        <f t="shared" si="7"/>
        <v>0</v>
      </c>
    </row>
    <row r="71" spans="1:20" ht="24.75" customHeight="1" x14ac:dyDescent="0.3">
      <c r="A71" s="42" t="s">
        <v>236</v>
      </c>
      <c r="B71" s="110" t="s">
        <v>10</v>
      </c>
      <c r="C71" s="111">
        <f t="shared" si="4"/>
        <v>100</v>
      </c>
      <c r="D71" s="109">
        <v>30</v>
      </c>
      <c r="E71" s="109">
        <v>70</v>
      </c>
      <c r="F71" s="109"/>
      <c r="G71" s="109"/>
      <c r="H71" s="109"/>
      <c r="I71" s="109"/>
      <c r="J71" s="109"/>
      <c r="K71" s="112">
        <f t="shared" si="5"/>
        <v>1774.74</v>
      </c>
      <c r="L71" s="39">
        <v>1774.74</v>
      </c>
      <c r="M71" s="39">
        <v>1932</v>
      </c>
      <c r="N71" s="39"/>
      <c r="O71" s="39"/>
      <c r="P71" s="39"/>
      <c r="Q71" s="39"/>
      <c r="R71" s="98">
        <f t="shared" si="6"/>
        <v>1932</v>
      </c>
      <c r="S71" s="103">
        <f>R71/K71-1</f>
        <v>8.8610162615369026E-2</v>
      </c>
      <c r="T71" s="95">
        <f t="shared" si="7"/>
        <v>0</v>
      </c>
    </row>
    <row r="72" spans="1:20" ht="24.75" customHeight="1" x14ac:dyDescent="0.3">
      <c r="A72" s="42" t="s">
        <v>237</v>
      </c>
      <c r="B72" s="110" t="s">
        <v>9</v>
      </c>
      <c r="C72" s="111">
        <f t="shared" si="4"/>
        <v>33</v>
      </c>
      <c r="D72" s="109">
        <v>33</v>
      </c>
      <c r="E72" s="109"/>
      <c r="F72" s="109"/>
      <c r="G72" s="109"/>
      <c r="H72" s="109"/>
      <c r="I72" s="109"/>
      <c r="J72" s="109"/>
      <c r="K72" s="112">
        <f t="shared" si="5"/>
        <v>796.38</v>
      </c>
      <c r="L72" s="39">
        <v>796.38</v>
      </c>
      <c r="M72" s="39"/>
      <c r="N72" s="39"/>
      <c r="O72" s="39"/>
      <c r="P72" s="39"/>
      <c r="Q72" s="39"/>
      <c r="R72" s="98">
        <f t="shared" si="6"/>
        <v>796.38</v>
      </c>
      <c r="S72" s="103"/>
      <c r="T72" s="95">
        <f t="shared" si="7"/>
        <v>0</v>
      </c>
    </row>
    <row r="73" spans="1:20" ht="24.75" customHeight="1" x14ac:dyDescent="0.3">
      <c r="A73" s="42" t="s">
        <v>238</v>
      </c>
      <c r="B73" s="110" t="s">
        <v>10</v>
      </c>
      <c r="C73" s="111">
        <f t="shared" si="4"/>
        <v>70</v>
      </c>
      <c r="D73" s="109">
        <v>13</v>
      </c>
      <c r="E73" s="109">
        <v>20</v>
      </c>
      <c r="F73" s="109">
        <v>28</v>
      </c>
      <c r="G73" s="109">
        <v>1</v>
      </c>
      <c r="H73" s="109">
        <v>8</v>
      </c>
      <c r="I73" s="109"/>
      <c r="J73" s="109"/>
      <c r="K73" s="112">
        <f t="shared" si="5"/>
        <v>1408.34</v>
      </c>
      <c r="L73" s="39">
        <v>1408.34</v>
      </c>
      <c r="M73" s="39">
        <v>5356.6</v>
      </c>
      <c r="N73" s="39">
        <v>2831.54</v>
      </c>
      <c r="O73" s="39">
        <v>4160.83</v>
      </c>
      <c r="P73" s="39">
        <v>4631.67</v>
      </c>
      <c r="Q73" s="39"/>
      <c r="R73" s="98">
        <f t="shared" si="6"/>
        <v>5356.6</v>
      </c>
      <c r="S73" s="103">
        <f>R73/K73-1</f>
        <v>2.8034849539173785</v>
      </c>
      <c r="T73" s="95">
        <f t="shared" si="7"/>
        <v>1</v>
      </c>
    </row>
    <row r="74" spans="1:20" ht="24.75" customHeight="1" x14ac:dyDescent="0.3">
      <c r="A74" s="37" t="s">
        <v>239</v>
      </c>
      <c r="B74" s="38" t="s">
        <v>9</v>
      </c>
      <c r="C74" s="40">
        <f t="shared" si="4"/>
        <v>1</v>
      </c>
      <c r="D74" s="39">
        <v>1</v>
      </c>
      <c r="E74" s="39"/>
      <c r="F74" s="39"/>
      <c r="G74" s="39"/>
      <c r="H74" s="39"/>
      <c r="I74" s="39"/>
      <c r="J74" s="39"/>
      <c r="K74" s="100">
        <f t="shared" si="5"/>
        <v>5544.87</v>
      </c>
      <c r="L74" s="39">
        <v>5544.87</v>
      </c>
      <c r="M74" s="39"/>
      <c r="N74" s="39"/>
      <c r="O74" s="39"/>
      <c r="P74" s="39"/>
      <c r="Q74" s="39"/>
      <c r="R74" s="98">
        <f t="shared" si="6"/>
        <v>5544.87</v>
      </c>
      <c r="S74" s="103"/>
      <c r="T74" s="95">
        <f t="shared" si="7"/>
        <v>0</v>
      </c>
    </row>
    <row r="75" spans="1:20" ht="24.75" customHeight="1" x14ac:dyDescent="0.3">
      <c r="A75" s="42" t="s">
        <v>240</v>
      </c>
      <c r="B75" s="110" t="s">
        <v>10</v>
      </c>
      <c r="C75" s="111">
        <f t="shared" si="4"/>
        <v>12</v>
      </c>
      <c r="D75" s="109"/>
      <c r="E75" s="109">
        <v>12</v>
      </c>
      <c r="F75" s="109"/>
      <c r="G75" s="109"/>
      <c r="H75" s="109"/>
      <c r="I75" s="109"/>
      <c r="J75" s="109"/>
      <c r="K75" s="112">
        <f t="shared" si="5"/>
        <v>4536</v>
      </c>
      <c r="L75" s="39"/>
      <c r="M75" s="39">
        <v>4536</v>
      </c>
      <c r="N75" s="39"/>
      <c r="O75" s="39"/>
      <c r="P75" s="39"/>
      <c r="Q75" s="39"/>
      <c r="R75" s="98">
        <f t="shared" si="6"/>
        <v>4536</v>
      </c>
      <c r="S75" s="103"/>
      <c r="T75" s="95">
        <f t="shared" si="7"/>
        <v>0</v>
      </c>
    </row>
    <row r="76" spans="1:20" ht="24.75" customHeight="1" x14ac:dyDescent="0.3">
      <c r="A76" s="42" t="s">
        <v>241</v>
      </c>
      <c r="B76" s="110" t="s">
        <v>10</v>
      </c>
      <c r="C76" s="111">
        <f t="shared" si="4"/>
        <v>1000</v>
      </c>
      <c r="D76" s="109"/>
      <c r="E76" s="109">
        <v>1000</v>
      </c>
      <c r="F76" s="109"/>
      <c r="G76" s="109"/>
      <c r="H76" s="109"/>
      <c r="I76" s="109"/>
      <c r="J76" s="109"/>
      <c r="K76" s="112">
        <f t="shared" si="5"/>
        <v>80</v>
      </c>
      <c r="L76" s="39"/>
      <c r="M76" s="39">
        <v>80</v>
      </c>
      <c r="N76" s="39"/>
      <c r="O76" s="39"/>
      <c r="P76" s="39"/>
      <c r="Q76" s="39"/>
      <c r="R76" s="98">
        <f t="shared" si="6"/>
        <v>80</v>
      </c>
      <c r="S76" s="103"/>
      <c r="T76" s="95">
        <f t="shared" si="7"/>
        <v>0</v>
      </c>
    </row>
    <row r="77" spans="1:20" ht="24.75" customHeight="1" x14ac:dyDescent="0.3">
      <c r="A77" s="42" t="s">
        <v>242</v>
      </c>
      <c r="B77" s="110" t="s">
        <v>10</v>
      </c>
      <c r="C77" s="111">
        <f t="shared" si="4"/>
        <v>1000</v>
      </c>
      <c r="D77" s="109"/>
      <c r="E77" s="109">
        <v>1000</v>
      </c>
      <c r="F77" s="109"/>
      <c r="G77" s="109"/>
      <c r="H77" s="109"/>
      <c r="I77" s="109"/>
      <c r="J77" s="109"/>
      <c r="K77" s="112">
        <f t="shared" si="5"/>
        <v>100.4</v>
      </c>
      <c r="L77" s="39"/>
      <c r="M77" s="39">
        <v>100.4</v>
      </c>
      <c r="N77" s="39"/>
      <c r="O77" s="39"/>
      <c r="P77" s="39"/>
      <c r="Q77" s="39"/>
      <c r="R77" s="98">
        <f t="shared" si="6"/>
        <v>100.4</v>
      </c>
      <c r="S77" s="103"/>
      <c r="T77" s="95">
        <f t="shared" si="7"/>
        <v>0</v>
      </c>
    </row>
    <row r="78" spans="1:20" ht="24.75" customHeight="1" x14ac:dyDescent="0.3">
      <c r="A78" s="42" t="s">
        <v>19</v>
      </c>
      <c r="B78" s="110" t="s">
        <v>10</v>
      </c>
      <c r="C78" s="111">
        <f t="shared" si="4"/>
        <v>640</v>
      </c>
      <c r="D78" s="109"/>
      <c r="E78" s="109"/>
      <c r="F78" s="109">
        <v>500</v>
      </c>
      <c r="G78" s="109"/>
      <c r="H78" s="109">
        <v>140</v>
      </c>
      <c r="I78" s="109"/>
      <c r="J78" s="109"/>
      <c r="K78" s="112">
        <f t="shared" si="5"/>
        <v>30.74</v>
      </c>
      <c r="L78" s="39"/>
      <c r="M78" s="39"/>
      <c r="N78" s="39">
        <v>49.4</v>
      </c>
      <c r="O78" s="39"/>
      <c r="P78" s="39">
        <v>30.74</v>
      </c>
      <c r="Q78" s="39"/>
      <c r="R78" s="98">
        <f t="shared" si="6"/>
        <v>49.4</v>
      </c>
      <c r="S78" s="103">
        <f>R78/K78-1</f>
        <v>0.60702667534157451</v>
      </c>
      <c r="T78" s="95">
        <f t="shared" si="7"/>
        <v>0</v>
      </c>
    </row>
    <row r="79" spans="1:20" ht="24.75" customHeight="1" x14ac:dyDescent="0.3">
      <c r="A79" s="42" t="s">
        <v>18</v>
      </c>
      <c r="B79" s="110" t="s">
        <v>10</v>
      </c>
      <c r="C79" s="111">
        <f t="shared" si="4"/>
        <v>1460</v>
      </c>
      <c r="D79" s="109"/>
      <c r="E79" s="109">
        <v>1000</v>
      </c>
      <c r="F79" s="109">
        <v>320</v>
      </c>
      <c r="G79" s="109"/>
      <c r="H79" s="109">
        <v>140</v>
      </c>
      <c r="I79" s="109"/>
      <c r="J79" s="109"/>
      <c r="K79" s="112">
        <f t="shared" si="5"/>
        <v>38.18</v>
      </c>
      <c r="L79" s="39"/>
      <c r="M79" s="39">
        <v>90.55</v>
      </c>
      <c r="N79" s="39">
        <v>45.73</v>
      </c>
      <c r="O79" s="39"/>
      <c r="P79" s="39">
        <v>38.18</v>
      </c>
      <c r="Q79" s="39"/>
      <c r="R79" s="98">
        <f t="shared" si="6"/>
        <v>90.55</v>
      </c>
      <c r="S79" s="103">
        <f>R79/K79-1</f>
        <v>1.3716605552645365</v>
      </c>
      <c r="T79" s="95">
        <f t="shared" si="7"/>
        <v>1</v>
      </c>
    </row>
    <row r="80" spans="1:20" ht="24.75" customHeight="1" x14ac:dyDescent="0.3">
      <c r="A80" s="42" t="s">
        <v>21</v>
      </c>
      <c r="B80" s="110" t="s">
        <v>10</v>
      </c>
      <c r="C80" s="111">
        <f t="shared" si="4"/>
        <v>404</v>
      </c>
      <c r="D80" s="109"/>
      <c r="E80" s="109">
        <v>200</v>
      </c>
      <c r="F80" s="109">
        <v>204</v>
      </c>
      <c r="G80" s="109"/>
      <c r="H80" s="109"/>
      <c r="I80" s="109"/>
      <c r="J80" s="109"/>
      <c r="K80" s="112">
        <f t="shared" si="5"/>
        <v>14.5</v>
      </c>
      <c r="L80" s="39"/>
      <c r="M80" s="39">
        <v>22</v>
      </c>
      <c r="N80" s="39">
        <v>14.5</v>
      </c>
      <c r="O80" s="39"/>
      <c r="P80" s="39"/>
      <c r="Q80" s="39"/>
      <c r="R80" s="98">
        <f t="shared" si="6"/>
        <v>22</v>
      </c>
      <c r="S80" s="103">
        <f>R80/K80-1</f>
        <v>0.51724137931034475</v>
      </c>
      <c r="T80" s="95">
        <f t="shared" si="7"/>
        <v>0</v>
      </c>
    </row>
    <row r="81" spans="1:20" ht="24.75" customHeight="1" x14ac:dyDescent="0.3">
      <c r="A81" s="42" t="s">
        <v>22</v>
      </c>
      <c r="B81" s="110" t="s">
        <v>10</v>
      </c>
      <c r="C81" s="111">
        <f t="shared" si="4"/>
        <v>204</v>
      </c>
      <c r="D81" s="109"/>
      <c r="E81" s="109"/>
      <c r="F81" s="109">
        <v>204</v>
      </c>
      <c r="G81" s="109"/>
      <c r="H81" s="109"/>
      <c r="I81" s="109"/>
      <c r="J81" s="109"/>
      <c r="K81" s="112">
        <f t="shared" si="5"/>
        <v>14.5</v>
      </c>
      <c r="L81" s="39"/>
      <c r="M81" s="39"/>
      <c r="N81" s="39">
        <v>14.5</v>
      </c>
      <c r="O81" s="39"/>
      <c r="P81" s="39"/>
      <c r="Q81" s="39"/>
      <c r="R81" s="98">
        <f t="shared" si="6"/>
        <v>14.5</v>
      </c>
      <c r="S81" s="103"/>
      <c r="T81" s="95">
        <f t="shared" si="7"/>
        <v>0</v>
      </c>
    </row>
    <row r="82" spans="1:20" ht="24.75" customHeight="1" x14ac:dyDescent="0.3">
      <c r="A82" s="42" t="s">
        <v>243</v>
      </c>
      <c r="B82" s="110" t="s">
        <v>10</v>
      </c>
      <c r="C82" s="111">
        <f t="shared" si="4"/>
        <v>10</v>
      </c>
      <c r="D82" s="109"/>
      <c r="E82" s="109">
        <v>10</v>
      </c>
      <c r="F82" s="109"/>
      <c r="G82" s="109"/>
      <c r="H82" s="109"/>
      <c r="I82" s="109"/>
      <c r="J82" s="109"/>
      <c r="K82" s="112">
        <f t="shared" si="5"/>
        <v>1158</v>
      </c>
      <c r="L82" s="39"/>
      <c r="M82" s="39">
        <v>1158</v>
      </c>
      <c r="N82" s="39"/>
      <c r="O82" s="39"/>
      <c r="P82" s="39"/>
      <c r="Q82" s="39"/>
      <c r="R82" s="98">
        <f t="shared" si="6"/>
        <v>1158</v>
      </c>
      <c r="S82" s="103"/>
      <c r="T82" s="95">
        <f t="shared" si="7"/>
        <v>0</v>
      </c>
    </row>
    <row r="83" spans="1:20" ht="24.75" customHeight="1" x14ac:dyDescent="0.3">
      <c r="A83" s="42" t="s">
        <v>244</v>
      </c>
      <c r="B83" s="110" t="s">
        <v>10</v>
      </c>
      <c r="C83" s="111">
        <f t="shared" si="4"/>
        <v>10</v>
      </c>
      <c r="D83" s="109"/>
      <c r="E83" s="109"/>
      <c r="F83" s="109"/>
      <c r="G83" s="109"/>
      <c r="H83" s="109">
        <v>10</v>
      </c>
      <c r="I83" s="109"/>
      <c r="J83" s="109"/>
      <c r="K83" s="112">
        <f t="shared" si="5"/>
        <v>90.1</v>
      </c>
      <c r="L83" s="39"/>
      <c r="M83" s="39"/>
      <c r="N83" s="39"/>
      <c r="O83" s="39"/>
      <c r="P83" s="39">
        <v>90.1</v>
      </c>
      <c r="Q83" s="39"/>
      <c r="R83" s="98">
        <f t="shared" si="6"/>
        <v>90.1</v>
      </c>
      <c r="S83" s="103"/>
      <c r="T83" s="95">
        <f t="shared" si="7"/>
        <v>0</v>
      </c>
    </row>
    <row r="84" spans="1:20" ht="24.75" customHeight="1" x14ac:dyDescent="0.3">
      <c r="A84" s="42" t="s">
        <v>245</v>
      </c>
      <c r="B84" s="110" t="s">
        <v>10</v>
      </c>
      <c r="C84" s="111">
        <f t="shared" si="4"/>
        <v>15</v>
      </c>
      <c r="D84" s="109"/>
      <c r="E84" s="109">
        <v>15</v>
      </c>
      <c r="F84" s="109"/>
      <c r="G84" s="109"/>
      <c r="H84" s="109"/>
      <c r="I84" s="109"/>
      <c r="J84" s="109"/>
      <c r="K84" s="112">
        <f t="shared" si="5"/>
        <v>844.83299999999997</v>
      </c>
      <c r="L84" s="39"/>
      <c r="M84" s="39">
        <v>844.83299999999997</v>
      </c>
      <c r="N84" s="39"/>
      <c r="O84" s="39"/>
      <c r="P84" s="39"/>
      <c r="Q84" s="39"/>
      <c r="R84" s="98">
        <f t="shared" si="6"/>
        <v>844.83299999999997</v>
      </c>
      <c r="S84" s="103"/>
      <c r="T84" s="95">
        <f t="shared" si="7"/>
        <v>0</v>
      </c>
    </row>
    <row r="85" spans="1:20" ht="24.75" customHeight="1" x14ac:dyDescent="0.3">
      <c r="A85" s="42" t="s">
        <v>246</v>
      </c>
      <c r="B85" s="110" t="s">
        <v>10</v>
      </c>
      <c r="C85" s="111">
        <f t="shared" si="4"/>
        <v>5</v>
      </c>
      <c r="D85" s="109"/>
      <c r="E85" s="109">
        <v>5</v>
      </c>
      <c r="F85" s="109"/>
      <c r="G85" s="109"/>
      <c r="H85" s="109"/>
      <c r="I85" s="109"/>
      <c r="J85" s="109"/>
      <c r="K85" s="112">
        <f t="shared" si="5"/>
        <v>1885.5</v>
      </c>
      <c r="L85" s="39"/>
      <c r="M85" s="39">
        <v>1885.5</v>
      </c>
      <c r="N85" s="39"/>
      <c r="O85" s="39"/>
      <c r="P85" s="39"/>
      <c r="Q85" s="39"/>
      <c r="R85" s="98">
        <f t="shared" si="6"/>
        <v>1885.5</v>
      </c>
      <c r="S85" s="103"/>
      <c r="T85" s="95">
        <f t="shared" si="7"/>
        <v>0</v>
      </c>
    </row>
    <row r="86" spans="1:20" ht="24.75" customHeight="1" x14ac:dyDescent="0.3">
      <c r="A86" s="42" t="s">
        <v>247</v>
      </c>
      <c r="B86" s="110" t="s">
        <v>10</v>
      </c>
      <c r="C86" s="111">
        <f t="shared" si="4"/>
        <v>5</v>
      </c>
      <c r="D86" s="109"/>
      <c r="E86" s="109">
        <v>5</v>
      </c>
      <c r="F86" s="109"/>
      <c r="G86" s="109"/>
      <c r="H86" s="109"/>
      <c r="I86" s="109"/>
      <c r="J86" s="109"/>
      <c r="K86" s="112">
        <f t="shared" si="5"/>
        <v>862</v>
      </c>
      <c r="L86" s="39"/>
      <c r="M86" s="39">
        <v>862</v>
      </c>
      <c r="N86" s="39"/>
      <c r="O86" s="39"/>
      <c r="P86" s="39"/>
      <c r="Q86" s="39"/>
      <c r="R86" s="98">
        <f t="shared" si="6"/>
        <v>862</v>
      </c>
      <c r="S86" s="103"/>
      <c r="T86" s="95">
        <f t="shared" si="7"/>
        <v>0</v>
      </c>
    </row>
    <row r="87" spans="1:20" ht="24.75" customHeight="1" x14ac:dyDescent="0.3">
      <c r="A87" s="42" t="s">
        <v>248</v>
      </c>
      <c r="B87" s="110" t="s">
        <v>10</v>
      </c>
      <c r="C87" s="111">
        <f t="shared" si="4"/>
        <v>16</v>
      </c>
      <c r="D87" s="109"/>
      <c r="E87" s="109">
        <v>4</v>
      </c>
      <c r="F87" s="109"/>
      <c r="G87" s="109"/>
      <c r="H87" s="109">
        <v>12</v>
      </c>
      <c r="I87" s="109"/>
      <c r="J87" s="109"/>
      <c r="K87" s="112">
        <f t="shared" si="5"/>
        <v>2631</v>
      </c>
      <c r="L87" s="39"/>
      <c r="M87" s="39">
        <v>4124</v>
      </c>
      <c r="N87" s="39"/>
      <c r="O87" s="39"/>
      <c r="P87" s="39">
        <v>2631</v>
      </c>
      <c r="Q87" s="39"/>
      <c r="R87" s="98">
        <f t="shared" si="6"/>
        <v>4124</v>
      </c>
      <c r="S87" s="103">
        <f>R87/K87-1</f>
        <v>0.56746484226529836</v>
      </c>
      <c r="T87" s="95">
        <f t="shared" si="7"/>
        <v>0</v>
      </c>
    </row>
    <row r="88" spans="1:20" ht="24.75" customHeight="1" x14ac:dyDescent="0.3">
      <c r="A88" s="42" t="s">
        <v>249</v>
      </c>
      <c r="B88" s="110" t="s">
        <v>10</v>
      </c>
      <c r="C88" s="111">
        <f t="shared" si="4"/>
        <v>4</v>
      </c>
      <c r="D88" s="109"/>
      <c r="E88" s="109">
        <v>4</v>
      </c>
      <c r="F88" s="109"/>
      <c r="G88" s="109"/>
      <c r="H88" s="109"/>
      <c r="I88" s="109"/>
      <c r="J88" s="109"/>
      <c r="K88" s="112">
        <f t="shared" si="5"/>
        <v>1430.1</v>
      </c>
      <c r="L88" s="39"/>
      <c r="M88" s="39">
        <v>1430.1</v>
      </c>
      <c r="N88" s="39"/>
      <c r="O88" s="39"/>
      <c r="P88" s="39"/>
      <c r="Q88" s="39"/>
      <c r="R88" s="98">
        <f t="shared" si="6"/>
        <v>1430.1</v>
      </c>
      <c r="S88" s="103"/>
      <c r="T88" s="95">
        <f t="shared" si="7"/>
        <v>0</v>
      </c>
    </row>
    <row r="89" spans="1:20" ht="24.75" customHeight="1" x14ac:dyDescent="0.3">
      <c r="A89" s="42" t="s">
        <v>250</v>
      </c>
      <c r="B89" s="110" t="s">
        <v>10</v>
      </c>
      <c r="C89" s="111">
        <f t="shared" si="4"/>
        <v>10</v>
      </c>
      <c r="D89" s="109"/>
      <c r="E89" s="109">
        <v>10</v>
      </c>
      <c r="F89" s="109"/>
      <c r="G89" s="109"/>
      <c r="H89" s="109"/>
      <c r="I89" s="109"/>
      <c r="J89" s="109"/>
      <c r="K89" s="112">
        <f t="shared" si="5"/>
        <v>2178</v>
      </c>
      <c r="L89" s="39"/>
      <c r="M89" s="39">
        <v>2178</v>
      </c>
      <c r="N89" s="39"/>
      <c r="O89" s="39"/>
      <c r="P89" s="39"/>
      <c r="Q89" s="39"/>
      <c r="R89" s="98">
        <f t="shared" si="6"/>
        <v>2178</v>
      </c>
      <c r="S89" s="103"/>
      <c r="T89" s="95">
        <f t="shared" si="7"/>
        <v>0</v>
      </c>
    </row>
    <row r="90" spans="1:20" ht="24.75" customHeight="1" x14ac:dyDescent="0.3">
      <c r="A90" s="42" t="s">
        <v>251</v>
      </c>
      <c r="B90" s="110" t="s">
        <v>10</v>
      </c>
      <c r="C90" s="111">
        <f t="shared" si="4"/>
        <v>416</v>
      </c>
      <c r="D90" s="109"/>
      <c r="E90" s="109"/>
      <c r="F90" s="109">
        <v>216</v>
      </c>
      <c r="G90" s="109"/>
      <c r="H90" s="109">
        <v>200</v>
      </c>
      <c r="I90" s="109"/>
      <c r="J90" s="109"/>
      <c r="K90" s="112">
        <f t="shared" si="5"/>
        <v>18</v>
      </c>
      <c r="L90" s="39"/>
      <c r="M90" s="39"/>
      <c r="N90" s="39">
        <v>20.399999999999999</v>
      </c>
      <c r="O90" s="39"/>
      <c r="P90" s="39">
        <v>18</v>
      </c>
      <c r="Q90" s="39"/>
      <c r="R90" s="98">
        <f t="shared" si="6"/>
        <v>20.399999999999999</v>
      </c>
      <c r="S90" s="103">
        <f>R90/K90-1</f>
        <v>0.1333333333333333</v>
      </c>
      <c r="T90" s="95">
        <f t="shared" si="7"/>
        <v>0</v>
      </c>
    </row>
    <row r="91" spans="1:20" ht="24.75" customHeight="1" x14ac:dyDescent="0.3">
      <c r="A91" s="42" t="s">
        <v>252</v>
      </c>
      <c r="B91" s="110" t="s">
        <v>10</v>
      </c>
      <c r="C91" s="111">
        <f t="shared" si="4"/>
        <v>10</v>
      </c>
      <c r="D91" s="109"/>
      <c r="E91" s="109">
        <v>10</v>
      </c>
      <c r="F91" s="109"/>
      <c r="G91" s="109"/>
      <c r="H91" s="109"/>
      <c r="I91" s="109"/>
      <c r="J91" s="109"/>
      <c r="K91" s="112">
        <f t="shared" si="5"/>
        <v>1642</v>
      </c>
      <c r="L91" s="39"/>
      <c r="M91" s="39">
        <v>1642</v>
      </c>
      <c r="N91" s="39"/>
      <c r="O91" s="39"/>
      <c r="P91" s="39"/>
      <c r="Q91" s="39"/>
      <c r="R91" s="98">
        <f t="shared" si="6"/>
        <v>1642</v>
      </c>
      <c r="S91" s="103"/>
      <c r="T91" s="95">
        <f t="shared" si="7"/>
        <v>0</v>
      </c>
    </row>
    <row r="92" spans="1:20" ht="24.75" customHeight="1" x14ac:dyDescent="0.3">
      <c r="A92" s="42" t="s">
        <v>253</v>
      </c>
      <c r="B92" s="110" t="s">
        <v>10</v>
      </c>
      <c r="C92" s="111">
        <f t="shared" si="4"/>
        <v>1</v>
      </c>
      <c r="D92" s="109"/>
      <c r="E92" s="109">
        <v>1</v>
      </c>
      <c r="F92" s="109"/>
      <c r="G92" s="109"/>
      <c r="H92" s="109"/>
      <c r="I92" s="109"/>
      <c r="J92" s="109"/>
      <c r="K92" s="112">
        <f t="shared" si="5"/>
        <v>125740</v>
      </c>
      <c r="L92" s="39"/>
      <c r="M92" s="39">
        <v>125740</v>
      </c>
      <c r="N92" s="39"/>
      <c r="O92" s="39"/>
      <c r="P92" s="39"/>
      <c r="Q92" s="39"/>
      <c r="R92" s="98">
        <f t="shared" si="6"/>
        <v>125740</v>
      </c>
      <c r="S92" s="103"/>
      <c r="T92" s="95">
        <f t="shared" si="7"/>
        <v>0</v>
      </c>
    </row>
    <row r="93" spans="1:20" ht="24.75" customHeight="1" x14ac:dyDescent="0.3">
      <c r="A93" s="42" t="s">
        <v>254</v>
      </c>
      <c r="B93" s="110" t="s">
        <v>10</v>
      </c>
      <c r="C93" s="111">
        <f t="shared" si="4"/>
        <v>2</v>
      </c>
      <c r="D93" s="109"/>
      <c r="E93" s="109"/>
      <c r="F93" s="109">
        <v>2</v>
      </c>
      <c r="G93" s="109"/>
      <c r="H93" s="109"/>
      <c r="I93" s="109"/>
      <c r="J93" s="109"/>
      <c r="K93" s="112">
        <f t="shared" si="5"/>
        <v>104000</v>
      </c>
      <c r="L93" s="39"/>
      <c r="M93" s="39"/>
      <c r="N93" s="39">
        <v>104000</v>
      </c>
      <c r="O93" s="39"/>
      <c r="P93" s="39"/>
      <c r="Q93" s="39"/>
      <c r="R93" s="98">
        <f t="shared" si="6"/>
        <v>104000</v>
      </c>
      <c r="S93" s="103"/>
      <c r="T93" s="95">
        <f t="shared" si="7"/>
        <v>0</v>
      </c>
    </row>
    <row r="94" spans="1:20" ht="24.75" customHeight="1" x14ac:dyDescent="0.3">
      <c r="A94" s="42" t="s">
        <v>255</v>
      </c>
      <c r="B94" s="110" t="s">
        <v>10</v>
      </c>
      <c r="C94" s="111">
        <f t="shared" si="4"/>
        <v>1</v>
      </c>
      <c r="D94" s="109"/>
      <c r="E94" s="109"/>
      <c r="F94" s="109">
        <v>1</v>
      </c>
      <c r="G94" s="109"/>
      <c r="H94" s="109"/>
      <c r="I94" s="109"/>
      <c r="J94" s="109"/>
      <c r="K94" s="112">
        <f t="shared" si="5"/>
        <v>64500</v>
      </c>
      <c r="L94" s="39"/>
      <c r="M94" s="39"/>
      <c r="N94" s="39">
        <v>64500</v>
      </c>
      <c r="O94" s="39"/>
      <c r="P94" s="39"/>
      <c r="Q94" s="39"/>
      <c r="R94" s="98">
        <f t="shared" si="6"/>
        <v>64500</v>
      </c>
      <c r="S94" s="103"/>
      <c r="T94" s="95">
        <f t="shared" si="7"/>
        <v>0</v>
      </c>
    </row>
    <row r="95" spans="1:20" ht="24.75" customHeight="1" x14ac:dyDescent="0.3">
      <c r="A95" s="42" t="s">
        <v>256</v>
      </c>
      <c r="B95" s="110" t="s">
        <v>10</v>
      </c>
      <c r="C95" s="111">
        <f t="shared" si="4"/>
        <v>6</v>
      </c>
      <c r="D95" s="109"/>
      <c r="E95" s="109"/>
      <c r="F95" s="109">
        <v>6</v>
      </c>
      <c r="G95" s="109"/>
      <c r="H95" s="109"/>
      <c r="I95" s="109"/>
      <c r="J95" s="109"/>
      <c r="K95" s="112">
        <f t="shared" si="5"/>
        <v>1931</v>
      </c>
      <c r="L95" s="39"/>
      <c r="M95" s="39"/>
      <c r="N95" s="39">
        <v>1931</v>
      </c>
      <c r="O95" s="39"/>
      <c r="P95" s="39"/>
      <c r="Q95" s="39"/>
      <c r="R95" s="98">
        <f t="shared" si="6"/>
        <v>1931</v>
      </c>
      <c r="S95" s="103"/>
      <c r="T95" s="95">
        <f t="shared" si="7"/>
        <v>0</v>
      </c>
    </row>
    <row r="96" spans="1:20" ht="24.75" customHeight="1" x14ac:dyDescent="0.3">
      <c r="A96" s="42" t="s">
        <v>257</v>
      </c>
      <c r="B96" s="110" t="s">
        <v>10</v>
      </c>
      <c r="C96" s="111">
        <f t="shared" si="4"/>
        <v>1</v>
      </c>
      <c r="D96" s="109"/>
      <c r="E96" s="109"/>
      <c r="F96" s="109">
        <v>1</v>
      </c>
      <c r="G96" s="109"/>
      <c r="H96" s="109"/>
      <c r="I96" s="109"/>
      <c r="J96" s="109"/>
      <c r="K96" s="112">
        <f t="shared" si="5"/>
        <v>8756.7000000000007</v>
      </c>
      <c r="L96" s="39"/>
      <c r="M96" s="39"/>
      <c r="N96" s="39">
        <v>8756.7000000000007</v>
      </c>
      <c r="O96" s="39"/>
      <c r="P96" s="39"/>
      <c r="Q96" s="39"/>
      <c r="R96" s="98">
        <f t="shared" si="6"/>
        <v>8756.7000000000007</v>
      </c>
      <c r="S96" s="103"/>
      <c r="T96" s="95">
        <f t="shared" si="7"/>
        <v>0</v>
      </c>
    </row>
    <row r="97" spans="1:20" ht="24.75" customHeight="1" x14ac:dyDescent="0.3">
      <c r="A97" s="42" t="s">
        <v>258</v>
      </c>
      <c r="B97" s="110" t="s">
        <v>10</v>
      </c>
      <c r="C97" s="111">
        <f t="shared" si="4"/>
        <v>7</v>
      </c>
      <c r="D97" s="109"/>
      <c r="E97" s="109"/>
      <c r="F97" s="109">
        <v>7</v>
      </c>
      <c r="G97" s="109"/>
      <c r="H97" s="109"/>
      <c r="I97" s="109"/>
      <c r="J97" s="109"/>
      <c r="K97" s="112">
        <f t="shared" si="5"/>
        <v>2716.7</v>
      </c>
      <c r="L97" s="39"/>
      <c r="M97" s="39"/>
      <c r="N97" s="39">
        <v>2716.7</v>
      </c>
      <c r="O97" s="39"/>
      <c r="P97" s="39"/>
      <c r="Q97" s="39"/>
      <c r="R97" s="98">
        <f t="shared" si="6"/>
        <v>2716.7</v>
      </c>
      <c r="S97" s="103"/>
      <c r="T97" s="95">
        <f t="shared" si="7"/>
        <v>0</v>
      </c>
    </row>
    <row r="98" spans="1:20" ht="24.75" customHeight="1" x14ac:dyDescent="0.3">
      <c r="A98" s="42" t="s">
        <v>259</v>
      </c>
      <c r="B98" s="110" t="s">
        <v>10</v>
      </c>
      <c r="C98" s="111">
        <f t="shared" si="4"/>
        <v>5</v>
      </c>
      <c r="D98" s="109"/>
      <c r="E98" s="109">
        <v>5</v>
      </c>
      <c r="F98" s="109"/>
      <c r="G98" s="109"/>
      <c r="H98" s="109"/>
      <c r="I98" s="109"/>
      <c r="J98" s="109"/>
      <c r="K98" s="112">
        <f t="shared" si="5"/>
        <v>3379.06</v>
      </c>
      <c r="L98" s="39"/>
      <c r="M98" s="39">
        <v>3379.06</v>
      </c>
      <c r="N98" s="39"/>
      <c r="O98" s="39"/>
      <c r="P98" s="39"/>
      <c r="Q98" s="39"/>
      <c r="R98" s="98">
        <f t="shared" si="6"/>
        <v>3379.06</v>
      </c>
      <c r="S98" s="103"/>
      <c r="T98" s="95">
        <f t="shared" si="7"/>
        <v>0</v>
      </c>
    </row>
    <row r="99" spans="1:20" ht="24.75" customHeight="1" x14ac:dyDescent="0.3">
      <c r="A99" s="42" t="s">
        <v>28</v>
      </c>
      <c r="B99" s="110" t="s">
        <v>260</v>
      </c>
      <c r="C99" s="111">
        <f t="shared" si="4"/>
        <v>846</v>
      </c>
      <c r="D99" s="109">
        <v>6</v>
      </c>
      <c r="E99" s="109">
        <v>500</v>
      </c>
      <c r="F99" s="109">
        <v>280</v>
      </c>
      <c r="G99" s="109">
        <v>60</v>
      </c>
      <c r="H99" s="109"/>
      <c r="I99" s="109"/>
      <c r="J99" s="109"/>
      <c r="K99" s="112">
        <f t="shared" si="5"/>
        <v>122.34</v>
      </c>
      <c r="L99" s="39">
        <v>122.34</v>
      </c>
      <c r="M99" s="39">
        <v>291.3</v>
      </c>
      <c r="N99" s="39">
        <v>432</v>
      </c>
      <c r="O99" s="39">
        <v>238.71</v>
      </c>
      <c r="P99" s="39"/>
      <c r="Q99" s="39"/>
      <c r="R99" s="98">
        <f t="shared" si="6"/>
        <v>432</v>
      </c>
      <c r="S99" s="103">
        <f>R99/K99-1</f>
        <v>2.5311427170181462</v>
      </c>
      <c r="T99" s="95">
        <f t="shared" si="7"/>
        <v>1</v>
      </c>
    </row>
    <row r="100" spans="1:20" ht="24.75" customHeight="1" x14ac:dyDescent="0.3">
      <c r="A100" s="42" t="s">
        <v>261</v>
      </c>
      <c r="B100" s="110" t="s">
        <v>10</v>
      </c>
      <c r="C100" s="111">
        <f t="shared" si="4"/>
        <v>30</v>
      </c>
      <c r="D100" s="109"/>
      <c r="E100" s="109">
        <v>30</v>
      </c>
      <c r="F100" s="109"/>
      <c r="G100" s="109"/>
      <c r="H100" s="109"/>
      <c r="I100" s="109"/>
      <c r="J100" s="109"/>
      <c r="K100" s="112">
        <f t="shared" si="5"/>
        <v>90.28</v>
      </c>
      <c r="L100" s="39"/>
      <c r="M100" s="39">
        <v>90.28</v>
      </c>
      <c r="N100" s="39"/>
      <c r="O100" s="39"/>
      <c r="P100" s="39"/>
      <c r="Q100" s="39"/>
      <c r="R100" s="98">
        <f t="shared" si="6"/>
        <v>90.28</v>
      </c>
      <c r="S100" s="103"/>
      <c r="T100" s="95">
        <f t="shared" si="7"/>
        <v>0</v>
      </c>
    </row>
    <row r="101" spans="1:20" ht="24.75" customHeight="1" x14ac:dyDescent="0.3">
      <c r="A101" s="42" t="s">
        <v>262</v>
      </c>
      <c r="B101" s="110" t="s">
        <v>10</v>
      </c>
      <c r="C101" s="111">
        <f t="shared" si="4"/>
        <v>1</v>
      </c>
      <c r="D101" s="109"/>
      <c r="E101" s="109">
        <v>1</v>
      </c>
      <c r="F101" s="109"/>
      <c r="G101" s="109"/>
      <c r="H101" s="109"/>
      <c r="I101" s="109"/>
      <c r="J101" s="109"/>
      <c r="K101" s="112">
        <f t="shared" si="5"/>
        <v>10852</v>
      </c>
      <c r="L101" s="39"/>
      <c r="M101" s="39">
        <v>10852</v>
      </c>
      <c r="N101" s="39"/>
      <c r="O101" s="39"/>
      <c r="P101" s="39"/>
      <c r="Q101" s="39"/>
      <c r="R101" s="98">
        <f t="shared" si="6"/>
        <v>10852</v>
      </c>
      <c r="S101" s="103"/>
      <c r="T101" s="95">
        <f t="shared" si="7"/>
        <v>0</v>
      </c>
    </row>
    <row r="102" spans="1:20" ht="24.75" customHeight="1" x14ac:dyDescent="0.3">
      <c r="A102" s="42" t="s">
        <v>263</v>
      </c>
      <c r="B102" s="110" t="s">
        <v>10</v>
      </c>
      <c r="C102" s="111">
        <f t="shared" si="4"/>
        <v>2</v>
      </c>
      <c r="D102" s="109"/>
      <c r="E102" s="109">
        <v>1</v>
      </c>
      <c r="F102" s="109"/>
      <c r="G102" s="109">
        <v>1</v>
      </c>
      <c r="H102" s="109"/>
      <c r="I102" s="109"/>
      <c r="J102" s="109"/>
      <c r="K102" s="112">
        <f t="shared" si="5"/>
        <v>7200</v>
      </c>
      <c r="L102" s="39"/>
      <c r="M102" s="39">
        <v>7764</v>
      </c>
      <c r="N102" s="39"/>
      <c r="O102" s="39">
        <v>7200</v>
      </c>
      <c r="P102" s="39"/>
      <c r="Q102" s="39"/>
      <c r="R102" s="98">
        <f t="shared" si="6"/>
        <v>7764</v>
      </c>
      <c r="S102" s="103">
        <f>R102/K102-1</f>
        <v>7.8333333333333366E-2</v>
      </c>
      <c r="T102" s="95">
        <f t="shared" si="7"/>
        <v>0</v>
      </c>
    </row>
    <row r="103" spans="1:20" ht="24.75" customHeight="1" x14ac:dyDescent="0.3">
      <c r="A103" s="42" t="s">
        <v>264</v>
      </c>
      <c r="B103" s="110" t="s">
        <v>10</v>
      </c>
      <c r="C103" s="111">
        <f t="shared" si="4"/>
        <v>1200</v>
      </c>
      <c r="D103" s="109">
        <v>200</v>
      </c>
      <c r="E103" s="109">
        <v>1000</v>
      </c>
      <c r="F103" s="109"/>
      <c r="G103" s="109"/>
      <c r="H103" s="109"/>
      <c r="I103" s="109"/>
      <c r="J103" s="109"/>
      <c r="K103" s="112">
        <f t="shared" si="5"/>
        <v>17.466000000000001</v>
      </c>
      <c r="L103" s="39">
        <v>28.84</v>
      </c>
      <c r="M103" s="39">
        <v>17.466000000000001</v>
      </c>
      <c r="N103" s="39"/>
      <c r="O103" s="39"/>
      <c r="P103" s="39"/>
      <c r="Q103" s="39"/>
      <c r="R103" s="98">
        <f t="shared" si="6"/>
        <v>28.84</v>
      </c>
      <c r="S103" s="103">
        <f>R103/K103-1</f>
        <v>0.6512080613763882</v>
      </c>
      <c r="T103" s="95">
        <f t="shared" si="7"/>
        <v>0</v>
      </c>
    </row>
    <row r="104" spans="1:20" ht="24.75" customHeight="1" x14ac:dyDescent="0.3">
      <c r="A104" s="42" t="s">
        <v>265</v>
      </c>
      <c r="B104" s="110" t="s">
        <v>10</v>
      </c>
      <c r="C104" s="111">
        <f t="shared" si="4"/>
        <v>1445</v>
      </c>
      <c r="D104" s="109">
        <v>200</v>
      </c>
      <c r="E104" s="109">
        <v>1245</v>
      </c>
      <c r="F104" s="109"/>
      <c r="G104" s="109"/>
      <c r="H104" s="109"/>
      <c r="I104" s="109"/>
      <c r="J104" s="109"/>
      <c r="K104" s="112">
        <f t="shared" si="5"/>
        <v>12.566000000000001</v>
      </c>
      <c r="L104" s="39">
        <v>22.67</v>
      </c>
      <c r="M104" s="39">
        <v>12.566000000000001</v>
      </c>
      <c r="N104" s="39"/>
      <c r="O104" s="39"/>
      <c r="P104" s="39"/>
      <c r="Q104" s="39"/>
      <c r="R104" s="98">
        <f t="shared" si="6"/>
        <v>22.67</v>
      </c>
      <c r="S104" s="103">
        <f>R104/K104-1</f>
        <v>0.80407448671017034</v>
      </c>
      <c r="T104" s="95">
        <f t="shared" si="7"/>
        <v>0</v>
      </c>
    </row>
    <row r="105" spans="1:20" ht="24.75" customHeight="1" x14ac:dyDescent="0.3">
      <c r="A105" s="42" t="s">
        <v>266</v>
      </c>
      <c r="B105" s="110" t="s">
        <v>260</v>
      </c>
      <c r="C105" s="111">
        <f t="shared" si="4"/>
        <v>264.5</v>
      </c>
      <c r="D105" s="109">
        <v>72</v>
      </c>
      <c r="E105" s="109">
        <v>190</v>
      </c>
      <c r="F105" s="109"/>
      <c r="G105" s="109"/>
      <c r="H105" s="109">
        <v>2.5</v>
      </c>
      <c r="I105" s="109"/>
      <c r="J105" s="109"/>
      <c r="K105" s="112">
        <f t="shared" si="5"/>
        <v>32.64</v>
      </c>
      <c r="L105" s="39">
        <v>32.64</v>
      </c>
      <c r="M105" s="39">
        <v>56.665999999999997</v>
      </c>
      <c r="N105" s="39"/>
      <c r="O105" s="39"/>
      <c r="P105" s="39">
        <v>441.87</v>
      </c>
      <c r="Q105" s="39"/>
      <c r="R105" s="98">
        <f t="shared" si="6"/>
        <v>441.87</v>
      </c>
      <c r="S105" s="103">
        <f>R105/K105-1</f>
        <v>12.537683823529411</v>
      </c>
      <c r="T105" s="95">
        <f t="shared" si="7"/>
        <v>1</v>
      </c>
    </row>
    <row r="106" spans="1:20" ht="24.75" customHeight="1" x14ac:dyDescent="0.3">
      <c r="A106" s="42" t="s">
        <v>267</v>
      </c>
      <c r="B106" s="110" t="s">
        <v>260</v>
      </c>
      <c r="C106" s="111">
        <f t="shared" si="4"/>
        <v>88</v>
      </c>
      <c r="D106" s="109"/>
      <c r="E106" s="109">
        <v>88</v>
      </c>
      <c r="F106" s="109"/>
      <c r="G106" s="109"/>
      <c r="H106" s="109"/>
      <c r="I106" s="109"/>
      <c r="J106" s="109"/>
      <c r="K106" s="112">
        <f t="shared" si="5"/>
        <v>143.666</v>
      </c>
      <c r="L106" s="39"/>
      <c r="M106" s="39">
        <v>143.666</v>
      </c>
      <c r="N106" s="39"/>
      <c r="O106" s="39"/>
      <c r="P106" s="39"/>
      <c r="Q106" s="39"/>
      <c r="R106" s="98">
        <f t="shared" si="6"/>
        <v>143.666</v>
      </c>
      <c r="S106" s="103"/>
      <c r="T106" s="95">
        <f t="shared" si="7"/>
        <v>0</v>
      </c>
    </row>
    <row r="107" spans="1:20" ht="24.75" customHeight="1" x14ac:dyDescent="0.3">
      <c r="A107" s="42" t="s">
        <v>268</v>
      </c>
      <c r="B107" s="110" t="s">
        <v>10</v>
      </c>
      <c r="C107" s="111">
        <f t="shared" si="4"/>
        <v>1618</v>
      </c>
      <c r="D107" s="109">
        <v>120</v>
      </c>
      <c r="E107" s="109">
        <v>1498</v>
      </c>
      <c r="F107" s="109"/>
      <c r="G107" s="109"/>
      <c r="H107" s="109"/>
      <c r="I107" s="109"/>
      <c r="J107" s="109"/>
      <c r="K107" s="112">
        <f t="shared" si="5"/>
        <v>19.166</v>
      </c>
      <c r="L107" s="39">
        <v>26.67</v>
      </c>
      <c r="M107" s="39">
        <v>19.166</v>
      </c>
      <c r="N107" s="39"/>
      <c r="O107" s="39"/>
      <c r="P107" s="39"/>
      <c r="Q107" s="39"/>
      <c r="R107" s="98">
        <f t="shared" si="6"/>
        <v>26.67</v>
      </c>
      <c r="S107" s="103">
        <f>R107/K107-1</f>
        <v>0.39152666179693218</v>
      </c>
      <c r="T107" s="95">
        <f t="shared" si="7"/>
        <v>0</v>
      </c>
    </row>
    <row r="108" spans="1:20" ht="24.75" customHeight="1" x14ac:dyDescent="0.3">
      <c r="A108" s="42" t="s">
        <v>269</v>
      </c>
      <c r="B108" s="110" t="s">
        <v>10</v>
      </c>
      <c r="C108" s="111">
        <f t="shared" si="4"/>
        <v>631</v>
      </c>
      <c r="D108" s="109">
        <v>80</v>
      </c>
      <c r="E108" s="109">
        <v>551</v>
      </c>
      <c r="F108" s="109"/>
      <c r="G108" s="109"/>
      <c r="H108" s="109"/>
      <c r="I108" s="109"/>
      <c r="J108" s="109"/>
      <c r="K108" s="112">
        <f t="shared" si="5"/>
        <v>20.100000000000001</v>
      </c>
      <c r="L108" s="39">
        <v>70.5</v>
      </c>
      <c r="M108" s="39">
        <v>20.100000000000001</v>
      </c>
      <c r="N108" s="39"/>
      <c r="O108" s="39"/>
      <c r="P108" s="39"/>
      <c r="Q108" s="39"/>
      <c r="R108" s="98">
        <f t="shared" si="6"/>
        <v>70.5</v>
      </c>
      <c r="S108" s="103">
        <f>R108/K108-1</f>
        <v>2.5074626865671639</v>
      </c>
      <c r="T108" s="95">
        <f t="shared" si="7"/>
        <v>1</v>
      </c>
    </row>
    <row r="109" spans="1:20" ht="24.75" customHeight="1" x14ac:dyDescent="0.3">
      <c r="A109" s="42" t="s">
        <v>270</v>
      </c>
      <c r="B109" s="110" t="s">
        <v>271</v>
      </c>
      <c r="C109" s="111">
        <f t="shared" si="4"/>
        <v>60</v>
      </c>
      <c r="D109" s="109"/>
      <c r="E109" s="109">
        <v>60</v>
      </c>
      <c r="F109" s="109"/>
      <c r="G109" s="109"/>
      <c r="H109" s="109"/>
      <c r="I109" s="109"/>
      <c r="J109" s="109"/>
      <c r="K109" s="112">
        <f t="shared" si="5"/>
        <v>39.165999999999997</v>
      </c>
      <c r="L109" s="39"/>
      <c r="M109" s="39">
        <v>39.165999999999997</v>
      </c>
      <c r="N109" s="39"/>
      <c r="O109" s="39"/>
      <c r="P109" s="39"/>
      <c r="Q109" s="39"/>
      <c r="R109" s="98">
        <f t="shared" si="6"/>
        <v>39.165999999999997</v>
      </c>
      <c r="S109" s="103"/>
      <c r="T109" s="95">
        <f t="shared" si="7"/>
        <v>0</v>
      </c>
    </row>
    <row r="110" spans="1:20" ht="24.75" customHeight="1" x14ac:dyDescent="0.3">
      <c r="A110" s="42" t="s">
        <v>272</v>
      </c>
      <c r="B110" s="110" t="s">
        <v>273</v>
      </c>
      <c r="C110" s="111">
        <f t="shared" si="4"/>
        <v>319</v>
      </c>
      <c r="D110" s="109"/>
      <c r="E110" s="109">
        <v>319</v>
      </c>
      <c r="F110" s="109"/>
      <c r="G110" s="109"/>
      <c r="H110" s="109"/>
      <c r="I110" s="109"/>
      <c r="J110" s="109"/>
      <c r="K110" s="112">
        <f t="shared" si="5"/>
        <v>101.666</v>
      </c>
      <c r="L110" s="39"/>
      <c r="M110" s="39">
        <v>101.666</v>
      </c>
      <c r="N110" s="39"/>
      <c r="O110" s="39"/>
      <c r="P110" s="39"/>
      <c r="Q110" s="39"/>
      <c r="R110" s="98">
        <f t="shared" si="6"/>
        <v>101.666</v>
      </c>
      <c r="S110" s="103"/>
      <c r="T110" s="95">
        <f t="shared" si="7"/>
        <v>0</v>
      </c>
    </row>
    <row r="111" spans="1:20" ht="24.75" customHeight="1" x14ac:dyDescent="0.3">
      <c r="A111" s="42" t="s">
        <v>274</v>
      </c>
      <c r="B111" s="110" t="s">
        <v>10</v>
      </c>
      <c r="C111" s="111">
        <f t="shared" si="4"/>
        <v>370</v>
      </c>
      <c r="D111" s="109">
        <v>80</v>
      </c>
      <c r="E111" s="109">
        <v>290</v>
      </c>
      <c r="F111" s="109"/>
      <c r="G111" s="109"/>
      <c r="H111" s="109"/>
      <c r="I111" s="109"/>
      <c r="J111" s="109"/>
      <c r="K111" s="112">
        <f t="shared" si="5"/>
        <v>32.665999999999997</v>
      </c>
      <c r="L111" s="39">
        <v>70.34</v>
      </c>
      <c r="M111" s="39">
        <v>32.665999999999997</v>
      </c>
      <c r="N111" s="39"/>
      <c r="O111" s="39"/>
      <c r="P111" s="39"/>
      <c r="Q111" s="39"/>
      <c r="R111" s="98">
        <f t="shared" si="6"/>
        <v>70.34</v>
      </c>
      <c r="S111" s="103">
        <f>R111/K111-1</f>
        <v>1.1533092512092087</v>
      </c>
      <c r="T111" s="95">
        <f t="shared" si="7"/>
        <v>1</v>
      </c>
    </row>
    <row r="112" spans="1:20" ht="24.75" customHeight="1" x14ac:dyDescent="0.3">
      <c r="A112" s="42" t="s">
        <v>275</v>
      </c>
      <c r="B112" s="110" t="s">
        <v>26</v>
      </c>
      <c r="C112" s="111">
        <f t="shared" si="4"/>
        <v>22</v>
      </c>
      <c r="D112" s="109"/>
      <c r="E112" s="109">
        <v>22</v>
      </c>
      <c r="F112" s="109"/>
      <c r="G112" s="109"/>
      <c r="H112" s="109"/>
      <c r="I112" s="109"/>
      <c r="J112" s="109"/>
      <c r="K112" s="112">
        <f t="shared" si="5"/>
        <v>415</v>
      </c>
      <c r="L112" s="39"/>
      <c r="M112" s="39">
        <v>415</v>
      </c>
      <c r="N112" s="39"/>
      <c r="O112" s="39"/>
      <c r="P112" s="39"/>
      <c r="Q112" s="39"/>
      <c r="R112" s="98">
        <f t="shared" si="6"/>
        <v>415</v>
      </c>
      <c r="S112" s="103"/>
      <c r="T112" s="95">
        <f t="shared" si="7"/>
        <v>0</v>
      </c>
    </row>
    <row r="113" spans="1:20" ht="24.75" customHeight="1" x14ac:dyDescent="0.3">
      <c r="A113" s="42" t="s">
        <v>276</v>
      </c>
      <c r="B113" s="110" t="s">
        <v>271</v>
      </c>
      <c r="C113" s="111">
        <f t="shared" si="4"/>
        <v>80</v>
      </c>
      <c r="D113" s="109"/>
      <c r="E113" s="109">
        <v>50</v>
      </c>
      <c r="F113" s="109"/>
      <c r="G113" s="109"/>
      <c r="H113" s="109">
        <v>30</v>
      </c>
      <c r="I113" s="109"/>
      <c r="J113" s="109"/>
      <c r="K113" s="112">
        <f t="shared" si="5"/>
        <v>110.333</v>
      </c>
      <c r="L113" s="39"/>
      <c r="M113" s="39">
        <v>110.333</v>
      </c>
      <c r="N113" s="39"/>
      <c r="O113" s="39"/>
      <c r="P113" s="39">
        <v>208.67</v>
      </c>
      <c r="Q113" s="39"/>
      <c r="R113" s="98">
        <f t="shared" si="6"/>
        <v>208.67</v>
      </c>
      <c r="S113" s="103">
        <f>R113/K113-1</f>
        <v>0.8912745959957582</v>
      </c>
      <c r="T113" s="95">
        <f t="shared" si="7"/>
        <v>0</v>
      </c>
    </row>
    <row r="114" spans="1:20" ht="24.75" customHeight="1" x14ac:dyDescent="0.3">
      <c r="A114" s="42" t="s">
        <v>277</v>
      </c>
      <c r="B114" s="110" t="s">
        <v>271</v>
      </c>
      <c r="C114" s="111">
        <f t="shared" si="4"/>
        <v>20</v>
      </c>
      <c r="D114" s="109"/>
      <c r="E114" s="109">
        <v>20</v>
      </c>
      <c r="F114" s="109"/>
      <c r="G114" s="109"/>
      <c r="H114" s="109"/>
      <c r="I114" s="109"/>
      <c r="J114" s="109"/>
      <c r="K114" s="112">
        <f t="shared" si="5"/>
        <v>58.332999999999998</v>
      </c>
      <c r="L114" s="39"/>
      <c r="M114" s="39">
        <v>58.332999999999998</v>
      </c>
      <c r="N114" s="39"/>
      <c r="O114" s="39"/>
      <c r="P114" s="39"/>
      <c r="Q114" s="39"/>
      <c r="R114" s="98">
        <f t="shared" si="6"/>
        <v>58.332999999999998</v>
      </c>
      <c r="S114" s="103"/>
      <c r="T114" s="95">
        <f t="shared" si="7"/>
        <v>0</v>
      </c>
    </row>
    <row r="115" spans="1:20" ht="24.75" customHeight="1" x14ac:dyDescent="0.3">
      <c r="A115" s="42" t="s">
        <v>278</v>
      </c>
      <c r="B115" s="110" t="s">
        <v>271</v>
      </c>
      <c r="C115" s="111">
        <f t="shared" si="4"/>
        <v>103</v>
      </c>
      <c r="D115" s="109"/>
      <c r="E115" s="109">
        <v>103</v>
      </c>
      <c r="F115" s="109"/>
      <c r="G115" s="109"/>
      <c r="H115" s="109"/>
      <c r="I115" s="109"/>
      <c r="J115" s="109"/>
      <c r="K115" s="112">
        <f t="shared" si="5"/>
        <v>105.333</v>
      </c>
      <c r="L115" s="39"/>
      <c r="M115" s="39">
        <v>105.333</v>
      </c>
      <c r="N115" s="39"/>
      <c r="O115" s="39"/>
      <c r="P115" s="39"/>
      <c r="Q115" s="39"/>
      <c r="R115" s="98">
        <f t="shared" si="6"/>
        <v>105.333</v>
      </c>
      <c r="S115" s="103"/>
      <c r="T115" s="95">
        <f t="shared" si="7"/>
        <v>0</v>
      </c>
    </row>
    <row r="116" spans="1:20" ht="24.75" customHeight="1" x14ac:dyDescent="0.3">
      <c r="A116" s="42" t="s">
        <v>279</v>
      </c>
      <c r="B116" s="110" t="s">
        <v>271</v>
      </c>
      <c r="C116" s="111">
        <f t="shared" si="4"/>
        <v>38</v>
      </c>
      <c r="D116" s="109"/>
      <c r="E116" s="109">
        <v>38</v>
      </c>
      <c r="F116" s="109"/>
      <c r="G116" s="109"/>
      <c r="H116" s="109"/>
      <c r="I116" s="109"/>
      <c r="J116" s="109"/>
      <c r="K116" s="112">
        <f t="shared" si="5"/>
        <v>120.666</v>
      </c>
      <c r="L116" s="39"/>
      <c r="M116" s="39">
        <v>120.666</v>
      </c>
      <c r="N116" s="39"/>
      <c r="O116" s="39"/>
      <c r="P116" s="39"/>
      <c r="Q116" s="39"/>
      <c r="R116" s="98">
        <f t="shared" si="6"/>
        <v>120.666</v>
      </c>
      <c r="S116" s="103"/>
      <c r="T116" s="95">
        <f t="shared" si="7"/>
        <v>0</v>
      </c>
    </row>
    <row r="117" spans="1:20" ht="24.75" customHeight="1" x14ac:dyDescent="0.3">
      <c r="A117" s="42" t="s">
        <v>280</v>
      </c>
      <c r="B117" s="110" t="s">
        <v>271</v>
      </c>
      <c r="C117" s="111">
        <f t="shared" si="4"/>
        <v>84</v>
      </c>
      <c r="D117" s="109"/>
      <c r="E117" s="109">
        <v>84</v>
      </c>
      <c r="F117" s="109"/>
      <c r="G117" s="109"/>
      <c r="H117" s="109"/>
      <c r="I117" s="109"/>
      <c r="J117" s="109"/>
      <c r="K117" s="112">
        <f t="shared" si="5"/>
        <v>61.95</v>
      </c>
      <c r="L117" s="39"/>
      <c r="M117" s="39">
        <v>61.95</v>
      </c>
      <c r="N117" s="39"/>
      <c r="O117" s="39"/>
      <c r="P117" s="39"/>
      <c r="Q117" s="39"/>
      <c r="R117" s="98">
        <f t="shared" si="6"/>
        <v>61.95</v>
      </c>
      <c r="S117" s="103"/>
      <c r="T117" s="95">
        <f t="shared" si="7"/>
        <v>0</v>
      </c>
    </row>
    <row r="118" spans="1:20" ht="24.75" customHeight="1" x14ac:dyDescent="0.3">
      <c r="A118" s="42" t="s">
        <v>281</v>
      </c>
      <c r="B118" s="110" t="s">
        <v>271</v>
      </c>
      <c r="C118" s="111">
        <f t="shared" si="4"/>
        <v>12</v>
      </c>
      <c r="D118" s="109"/>
      <c r="E118" s="109">
        <v>12</v>
      </c>
      <c r="F118" s="109"/>
      <c r="G118" s="109"/>
      <c r="H118" s="109"/>
      <c r="I118" s="109"/>
      <c r="J118" s="109"/>
      <c r="K118" s="112">
        <f t="shared" si="5"/>
        <v>136.46600000000001</v>
      </c>
      <c r="L118" s="39"/>
      <c r="M118" s="39">
        <v>136.46600000000001</v>
      </c>
      <c r="N118" s="39"/>
      <c r="O118" s="39"/>
      <c r="P118" s="39"/>
      <c r="Q118" s="39"/>
      <c r="R118" s="98">
        <f t="shared" si="6"/>
        <v>136.46600000000001</v>
      </c>
      <c r="S118" s="103"/>
      <c r="T118" s="95">
        <f t="shared" si="7"/>
        <v>0</v>
      </c>
    </row>
    <row r="119" spans="1:20" ht="24.75" customHeight="1" x14ac:dyDescent="0.3">
      <c r="A119" s="42" t="s">
        <v>282</v>
      </c>
      <c r="B119" s="110" t="s">
        <v>271</v>
      </c>
      <c r="C119" s="111">
        <f t="shared" si="4"/>
        <v>1645</v>
      </c>
      <c r="D119" s="109">
        <v>30</v>
      </c>
      <c r="E119" s="109">
        <v>1615</v>
      </c>
      <c r="F119" s="109"/>
      <c r="G119" s="109"/>
      <c r="H119" s="109"/>
      <c r="I119" s="109"/>
      <c r="J119" s="109"/>
      <c r="K119" s="112">
        <f t="shared" si="5"/>
        <v>53.64</v>
      </c>
      <c r="L119" s="39">
        <v>53.64</v>
      </c>
      <c r="M119" s="39">
        <v>56.232999999999997</v>
      </c>
      <c r="N119" s="39"/>
      <c r="O119" s="39"/>
      <c r="P119" s="39"/>
      <c r="Q119" s="39"/>
      <c r="R119" s="98">
        <f t="shared" si="6"/>
        <v>56.232999999999997</v>
      </c>
      <c r="S119" s="103">
        <f>R119/K119-1</f>
        <v>4.8340790454884264E-2</v>
      </c>
      <c r="T119" s="95">
        <f t="shared" si="7"/>
        <v>0</v>
      </c>
    </row>
    <row r="120" spans="1:20" ht="24.75" customHeight="1" x14ac:dyDescent="0.3">
      <c r="A120" s="42" t="s">
        <v>283</v>
      </c>
      <c r="B120" s="110" t="s">
        <v>271</v>
      </c>
      <c r="C120" s="111">
        <f t="shared" si="4"/>
        <v>54</v>
      </c>
      <c r="D120" s="109"/>
      <c r="E120" s="109">
        <v>24</v>
      </c>
      <c r="F120" s="109"/>
      <c r="G120" s="109"/>
      <c r="H120" s="109">
        <v>30</v>
      </c>
      <c r="I120" s="109"/>
      <c r="J120" s="109"/>
      <c r="K120" s="112">
        <f t="shared" si="5"/>
        <v>230</v>
      </c>
      <c r="L120" s="39"/>
      <c r="M120" s="39">
        <v>331.666</v>
      </c>
      <c r="N120" s="39"/>
      <c r="O120" s="39"/>
      <c r="P120" s="39">
        <v>230</v>
      </c>
      <c r="Q120" s="39"/>
      <c r="R120" s="98">
        <f t="shared" si="6"/>
        <v>331.666</v>
      </c>
      <c r="S120" s="103">
        <f>R120/K120-1</f>
        <v>0.44202608695652179</v>
      </c>
      <c r="T120" s="95">
        <f t="shared" si="7"/>
        <v>0</v>
      </c>
    </row>
    <row r="121" spans="1:20" ht="24.75" customHeight="1" x14ac:dyDescent="0.3">
      <c r="A121" s="42" t="s">
        <v>284</v>
      </c>
      <c r="B121" s="110" t="s">
        <v>271</v>
      </c>
      <c r="C121" s="111">
        <f t="shared" si="4"/>
        <v>20</v>
      </c>
      <c r="D121" s="109"/>
      <c r="E121" s="109">
        <v>20</v>
      </c>
      <c r="F121" s="109"/>
      <c r="G121" s="109"/>
      <c r="H121" s="109"/>
      <c r="I121" s="109"/>
      <c r="J121" s="109"/>
      <c r="K121" s="112">
        <f t="shared" si="5"/>
        <v>52.332999999999998</v>
      </c>
      <c r="L121" s="39"/>
      <c r="M121" s="39">
        <v>52.332999999999998</v>
      </c>
      <c r="N121" s="39"/>
      <c r="O121" s="39"/>
      <c r="P121" s="39"/>
      <c r="Q121" s="39"/>
      <c r="R121" s="98">
        <f t="shared" si="6"/>
        <v>52.332999999999998</v>
      </c>
      <c r="S121" s="103"/>
      <c r="T121" s="95">
        <f t="shared" si="7"/>
        <v>0</v>
      </c>
    </row>
    <row r="122" spans="1:20" ht="24.75" customHeight="1" x14ac:dyDescent="0.3">
      <c r="A122" s="42" t="s">
        <v>285</v>
      </c>
      <c r="B122" s="110" t="s">
        <v>286</v>
      </c>
      <c r="C122" s="111">
        <f t="shared" si="4"/>
        <v>36</v>
      </c>
      <c r="D122" s="109">
        <v>18</v>
      </c>
      <c r="E122" s="109">
        <v>18</v>
      </c>
      <c r="F122" s="109"/>
      <c r="G122" s="109"/>
      <c r="H122" s="109"/>
      <c r="I122" s="109"/>
      <c r="J122" s="109"/>
      <c r="K122" s="112">
        <f t="shared" si="5"/>
        <v>533.33299999999997</v>
      </c>
      <c r="L122" s="39">
        <v>900</v>
      </c>
      <c r="M122" s="39">
        <v>533.33299999999997</v>
      </c>
      <c r="N122" s="39"/>
      <c r="O122" s="39"/>
      <c r="P122" s="39"/>
      <c r="Q122" s="39"/>
      <c r="R122" s="98">
        <f t="shared" si="6"/>
        <v>900</v>
      </c>
      <c r="S122" s="103">
        <f>R122/K122-1</f>
        <v>0.68750105468815925</v>
      </c>
      <c r="T122" s="95">
        <f t="shared" si="7"/>
        <v>0</v>
      </c>
    </row>
    <row r="123" spans="1:20" ht="24.75" customHeight="1" x14ac:dyDescent="0.3">
      <c r="A123" s="42" t="s">
        <v>287</v>
      </c>
      <c r="B123" s="110" t="s">
        <v>260</v>
      </c>
      <c r="C123" s="111">
        <f t="shared" si="4"/>
        <v>59</v>
      </c>
      <c r="D123" s="109"/>
      <c r="E123" s="109">
        <v>59</v>
      </c>
      <c r="F123" s="109"/>
      <c r="G123" s="109"/>
      <c r="H123" s="109"/>
      <c r="I123" s="109"/>
      <c r="J123" s="109"/>
      <c r="K123" s="112">
        <f t="shared" si="5"/>
        <v>165.666</v>
      </c>
      <c r="L123" s="39"/>
      <c r="M123" s="39">
        <v>165.666</v>
      </c>
      <c r="N123" s="39"/>
      <c r="O123" s="39"/>
      <c r="P123" s="39"/>
      <c r="Q123" s="39"/>
      <c r="R123" s="98">
        <f t="shared" si="6"/>
        <v>165.666</v>
      </c>
      <c r="S123" s="103"/>
      <c r="T123" s="95">
        <f t="shared" si="7"/>
        <v>0</v>
      </c>
    </row>
    <row r="124" spans="1:20" ht="24.75" customHeight="1" x14ac:dyDescent="0.3">
      <c r="A124" s="42" t="s">
        <v>288</v>
      </c>
      <c r="B124" s="110" t="s">
        <v>10</v>
      </c>
      <c r="C124" s="111">
        <f t="shared" si="4"/>
        <v>15</v>
      </c>
      <c r="D124" s="109">
        <v>15</v>
      </c>
      <c r="E124" s="109"/>
      <c r="F124" s="109"/>
      <c r="G124" s="109"/>
      <c r="H124" s="109"/>
      <c r="I124" s="109"/>
      <c r="J124" s="109"/>
      <c r="K124" s="112">
        <f t="shared" si="5"/>
        <v>93.64</v>
      </c>
      <c r="L124" s="39">
        <v>93.64</v>
      </c>
      <c r="M124" s="39"/>
      <c r="N124" s="39"/>
      <c r="O124" s="39"/>
      <c r="P124" s="39"/>
      <c r="Q124" s="39"/>
      <c r="R124" s="98">
        <f t="shared" si="6"/>
        <v>93.64</v>
      </c>
      <c r="S124" s="103"/>
      <c r="T124" s="95">
        <f t="shared" si="7"/>
        <v>0</v>
      </c>
    </row>
    <row r="125" spans="1:20" ht="24.75" customHeight="1" x14ac:dyDescent="0.3">
      <c r="A125" s="42" t="s">
        <v>289</v>
      </c>
      <c r="B125" s="110" t="s">
        <v>286</v>
      </c>
      <c r="C125" s="111">
        <f t="shared" si="4"/>
        <v>519</v>
      </c>
      <c r="D125" s="109">
        <v>10</v>
      </c>
      <c r="E125" s="109">
        <v>509</v>
      </c>
      <c r="F125" s="109"/>
      <c r="G125" s="109"/>
      <c r="H125" s="109"/>
      <c r="I125" s="109"/>
      <c r="J125" s="109"/>
      <c r="K125" s="112">
        <f t="shared" si="5"/>
        <v>333.33300000000003</v>
      </c>
      <c r="L125" s="39">
        <v>673.34</v>
      </c>
      <c r="M125" s="39">
        <v>333.33300000000003</v>
      </c>
      <c r="N125" s="39"/>
      <c r="O125" s="39"/>
      <c r="P125" s="39"/>
      <c r="Q125" s="39"/>
      <c r="R125" s="98">
        <f t="shared" si="6"/>
        <v>673.34</v>
      </c>
      <c r="S125" s="103">
        <f>R125/K125-1</f>
        <v>1.02002202002202</v>
      </c>
      <c r="T125" s="95">
        <f t="shared" si="7"/>
        <v>1</v>
      </c>
    </row>
    <row r="126" spans="1:20" ht="24.75" customHeight="1" x14ac:dyDescent="0.3">
      <c r="A126" s="42" t="s">
        <v>284</v>
      </c>
      <c r="B126" s="110" t="s">
        <v>10</v>
      </c>
      <c r="C126" s="111">
        <f t="shared" si="4"/>
        <v>10</v>
      </c>
      <c r="D126" s="109">
        <v>10</v>
      </c>
      <c r="E126" s="109"/>
      <c r="F126" s="109"/>
      <c r="G126" s="109"/>
      <c r="H126" s="109"/>
      <c r="I126" s="109"/>
      <c r="J126" s="109"/>
      <c r="K126" s="112">
        <f t="shared" si="5"/>
        <v>75.97</v>
      </c>
      <c r="L126" s="39">
        <v>75.97</v>
      </c>
      <c r="M126" s="39"/>
      <c r="N126" s="39"/>
      <c r="O126" s="39"/>
      <c r="P126" s="39"/>
      <c r="Q126" s="39"/>
      <c r="R126" s="98">
        <f t="shared" si="6"/>
        <v>75.97</v>
      </c>
      <c r="S126" s="103"/>
      <c r="T126" s="95">
        <f t="shared" si="7"/>
        <v>0</v>
      </c>
    </row>
    <row r="127" spans="1:20" ht="24.75" customHeight="1" x14ac:dyDescent="0.3">
      <c r="A127" s="42" t="s">
        <v>27</v>
      </c>
      <c r="B127" s="110" t="s">
        <v>10</v>
      </c>
      <c r="C127" s="111">
        <f t="shared" si="4"/>
        <v>30</v>
      </c>
      <c r="D127" s="109">
        <v>30</v>
      </c>
      <c r="E127" s="109"/>
      <c r="F127" s="109"/>
      <c r="G127" s="109"/>
      <c r="H127" s="109"/>
      <c r="I127" s="109"/>
      <c r="J127" s="109"/>
      <c r="K127" s="112">
        <f t="shared" si="5"/>
        <v>37.299999999999997</v>
      </c>
      <c r="L127" s="39">
        <v>37.299999999999997</v>
      </c>
      <c r="M127" s="39"/>
      <c r="N127" s="39"/>
      <c r="O127" s="39"/>
      <c r="P127" s="39"/>
      <c r="Q127" s="39"/>
      <c r="R127" s="98">
        <f t="shared" si="6"/>
        <v>37.299999999999997</v>
      </c>
      <c r="S127" s="103"/>
      <c r="T127" s="95">
        <f t="shared" si="7"/>
        <v>0</v>
      </c>
    </row>
    <row r="128" spans="1:20" ht="24.75" customHeight="1" x14ac:dyDescent="0.3">
      <c r="A128" s="42" t="s">
        <v>290</v>
      </c>
      <c r="B128" s="110" t="s">
        <v>271</v>
      </c>
      <c r="C128" s="111">
        <f t="shared" si="4"/>
        <v>46</v>
      </c>
      <c r="D128" s="109"/>
      <c r="E128" s="109">
        <v>40</v>
      </c>
      <c r="F128" s="109"/>
      <c r="G128" s="109"/>
      <c r="H128" s="109">
        <v>6</v>
      </c>
      <c r="I128" s="109"/>
      <c r="J128" s="109"/>
      <c r="K128" s="112">
        <f t="shared" si="5"/>
        <v>760</v>
      </c>
      <c r="L128" s="39"/>
      <c r="M128" s="39">
        <v>760</v>
      </c>
      <c r="N128" s="39"/>
      <c r="O128" s="39"/>
      <c r="P128" s="39">
        <v>906.67</v>
      </c>
      <c r="Q128" s="39"/>
      <c r="R128" s="98">
        <f t="shared" si="6"/>
        <v>906.67</v>
      </c>
      <c r="S128" s="103">
        <f>R128/K128-1</f>
        <v>0.19298684210526318</v>
      </c>
      <c r="T128" s="95">
        <f t="shared" si="7"/>
        <v>0</v>
      </c>
    </row>
    <row r="129" spans="1:20" ht="24.75" customHeight="1" x14ac:dyDescent="0.3">
      <c r="A129" s="42" t="s">
        <v>291</v>
      </c>
      <c r="B129" s="110" t="s">
        <v>26</v>
      </c>
      <c r="C129" s="111">
        <f t="shared" si="4"/>
        <v>14</v>
      </c>
      <c r="D129" s="109"/>
      <c r="E129" s="109">
        <v>14</v>
      </c>
      <c r="F129" s="109"/>
      <c r="G129" s="109"/>
      <c r="H129" s="109"/>
      <c r="I129" s="109"/>
      <c r="J129" s="109"/>
      <c r="K129" s="112">
        <f t="shared" si="5"/>
        <v>630</v>
      </c>
      <c r="L129" s="39"/>
      <c r="M129" s="39">
        <v>630</v>
      </c>
      <c r="N129" s="39"/>
      <c r="O129" s="39"/>
      <c r="P129" s="39"/>
      <c r="Q129" s="39"/>
      <c r="R129" s="98">
        <f t="shared" si="6"/>
        <v>630</v>
      </c>
      <c r="S129" s="103"/>
      <c r="T129" s="95">
        <f t="shared" si="7"/>
        <v>0</v>
      </c>
    </row>
    <row r="130" spans="1:20" ht="24.75" customHeight="1" x14ac:dyDescent="0.3">
      <c r="A130" s="42" t="s">
        <v>292</v>
      </c>
      <c r="B130" s="110" t="s">
        <v>10</v>
      </c>
      <c r="C130" s="111">
        <f t="shared" si="4"/>
        <v>12</v>
      </c>
      <c r="D130" s="109"/>
      <c r="E130" s="109"/>
      <c r="F130" s="109"/>
      <c r="G130" s="109"/>
      <c r="H130" s="109"/>
      <c r="I130" s="109">
        <v>12</v>
      </c>
      <c r="J130" s="109"/>
      <c r="K130" s="112">
        <f t="shared" si="5"/>
        <v>850.7</v>
      </c>
      <c r="L130" s="39"/>
      <c r="M130" s="39"/>
      <c r="N130" s="39"/>
      <c r="O130" s="39"/>
      <c r="P130" s="39"/>
      <c r="Q130" s="39">
        <v>850.7</v>
      </c>
      <c r="R130" s="98">
        <f t="shared" si="6"/>
        <v>850.7</v>
      </c>
      <c r="S130" s="103"/>
      <c r="T130" s="95">
        <f t="shared" si="7"/>
        <v>0</v>
      </c>
    </row>
    <row r="131" spans="1:20" ht="24.75" customHeight="1" x14ac:dyDescent="0.3">
      <c r="A131" s="42" t="s">
        <v>293</v>
      </c>
      <c r="B131" s="110" t="s">
        <v>10</v>
      </c>
      <c r="C131" s="111">
        <f t="shared" si="4"/>
        <v>22</v>
      </c>
      <c r="D131" s="109"/>
      <c r="E131" s="109"/>
      <c r="F131" s="109"/>
      <c r="G131" s="109"/>
      <c r="H131" s="109"/>
      <c r="I131" s="109">
        <v>22</v>
      </c>
      <c r="J131" s="109"/>
      <c r="K131" s="112">
        <f t="shared" ref="K131:K185" si="8">MIN(L131:Q131)</f>
        <v>181.4</v>
      </c>
      <c r="L131" s="39"/>
      <c r="M131" s="39"/>
      <c r="N131" s="39"/>
      <c r="O131" s="39"/>
      <c r="P131" s="39"/>
      <c r="Q131" s="39">
        <v>181.4</v>
      </c>
      <c r="R131" s="98">
        <f t="shared" ref="R131:R185" si="9">MAX(L131:Q131)</f>
        <v>181.4</v>
      </c>
      <c r="S131" s="103"/>
      <c r="T131" s="95">
        <f t="shared" ref="T131:T185" si="10">IF(S131&gt;1,1,0)</f>
        <v>0</v>
      </c>
    </row>
    <row r="132" spans="1:20" ht="24.75" customHeight="1" x14ac:dyDescent="0.3">
      <c r="A132" s="42" t="s">
        <v>294</v>
      </c>
      <c r="B132" s="110" t="s">
        <v>295</v>
      </c>
      <c r="C132" s="111">
        <f t="shared" ref="C132:C186" si="11">D132+E132+F132+G132+H132+I132</f>
        <v>1686</v>
      </c>
      <c r="D132" s="109">
        <v>10</v>
      </c>
      <c r="E132" s="109">
        <v>1476</v>
      </c>
      <c r="F132" s="109"/>
      <c r="G132" s="109"/>
      <c r="H132" s="109"/>
      <c r="I132" s="109">
        <v>200</v>
      </c>
      <c r="J132" s="109"/>
      <c r="K132" s="112">
        <f t="shared" si="8"/>
        <v>8.7330000000000005</v>
      </c>
      <c r="L132" s="39"/>
      <c r="M132" s="39">
        <v>8.7330000000000005</v>
      </c>
      <c r="N132" s="39"/>
      <c r="O132" s="39"/>
      <c r="P132" s="39"/>
      <c r="Q132" s="39">
        <v>31.9</v>
      </c>
      <c r="R132" s="98">
        <f t="shared" si="9"/>
        <v>31.9</v>
      </c>
      <c r="S132" s="103">
        <f>R132/K132-1</f>
        <v>2.6528111759990836</v>
      </c>
      <c r="T132" s="95">
        <f t="shared" si="10"/>
        <v>1</v>
      </c>
    </row>
    <row r="133" spans="1:20" ht="24.75" customHeight="1" x14ac:dyDescent="0.3">
      <c r="A133" s="42" t="s">
        <v>296</v>
      </c>
      <c r="B133" s="110" t="s">
        <v>26</v>
      </c>
      <c r="C133" s="111">
        <f t="shared" si="11"/>
        <v>85</v>
      </c>
      <c r="D133" s="109">
        <v>5</v>
      </c>
      <c r="E133" s="109">
        <v>80</v>
      </c>
      <c r="F133" s="109"/>
      <c r="G133" s="109"/>
      <c r="H133" s="109"/>
      <c r="I133" s="109"/>
      <c r="J133" s="109"/>
      <c r="K133" s="112">
        <f t="shared" si="8"/>
        <v>50.832999999999998</v>
      </c>
      <c r="L133" s="39"/>
      <c r="M133" s="39">
        <v>50.832999999999998</v>
      </c>
      <c r="N133" s="39"/>
      <c r="O133" s="39"/>
      <c r="P133" s="39"/>
      <c r="Q133" s="39"/>
      <c r="R133" s="98">
        <f t="shared" si="9"/>
        <v>50.832999999999998</v>
      </c>
      <c r="S133" s="103"/>
      <c r="T133" s="95">
        <f t="shared" si="10"/>
        <v>0</v>
      </c>
    </row>
    <row r="134" spans="1:20" ht="24.75" customHeight="1" x14ac:dyDescent="0.3">
      <c r="A134" s="42" t="s">
        <v>297</v>
      </c>
      <c r="B134" s="110" t="s">
        <v>260</v>
      </c>
      <c r="C134" s="111">
        <f t="shared" si="11"/>
        <v>435</v>
      </c>
      <c r="D134" s="109">
        <v>5</v>
      </c>
      <c r="E134" s="109">
        <v>430</v>
      </c>
      <c r="F134" s="109"/>
      <c r="G134" s="109"/>
      <c r="H134" s="109"/>
      <c r="I134" s="109"/>
      <c r="J134" s="109"/>
      <c r="K134" s="112">
        <f t="shared" si="8"/>
        <v>20.373000000000001</v>
      </c>
      <c r="L134" s="39"/>
      <c r="M134" s="39">
        <v>20.373000000000001</v>
      </c>
      <c r="N134" s="39"/>
      <c r="O134" s="39"/>
      <c r="P134" s="39"/>
      <c r="Q134" s="39"/>
      <c r="R134" s="98">
        <f t="shared" si="9"/>
        <v>20.373000000000001</v>
      </c>
      <c r="S134" s="103"/>
      <c r="T134" s="95">
        <f t="shared" si="10"/>
        <v>0</v>
      </c>
    </row>
    <row r="135" spans="1:20" ht="24.75" customHeight="1" x14ac:dyDescent="0.3">
      <c r="A135" s="42" t="s">
        <v>298</v>
      </c>
      <c r="B135" s="110" t="s">
        <v>260</v>
      </c>
      <c r="C135" s="111">
        <f t="shared" si="11"/>
        <v>40</v>
      </c>
      <c r="D135" s="109"/>
      <c r="E135" s="109"/>
      <c r="F135" s="109"/>
      <c r="G135" s="109"/>
      <c r="H135" s="109">
        <v>40</v>
      </c>
      <c r="I135" s="109"/>
      <c r="J135" s="109"/>
      <c r="K135" s="112">
        <f t="shared" si="8"/>
        <v>92.34</v>
      </c>
      <c r="L135" s="39"/>
      <c r="M135" s="39"/>
      <c r="N135" s="39"/>
      <c r="O135" s="39"/>
      <c r="P135" s="39">
        <v>92.34</v>
      </c>
      <c r="Q135" s="39"/>
      <c r="R135" s="98">
        <f t="shared" si="9"/>
        <v>92.34</v>
      </c>
      <c r="S135" s="103"/>
      <c r="T135" s="95">
        <f t="shared" si="10"/>
        <v>0</v>
      </c>
    </row>
    <row r="136" spans="1:20" ht="24.75" customHeight="1" x14ac:dyDescent="0.3">
      <c r="A136" s="42" t="s">
        <v>299</v>
      </c>
      <c r="B136" s="110" t="s">
        <v>26</v>
      </c>
      <c r="C136" s="111">
        <f t="shared" si="11"/>
        <v>270</v>
      </c>
      <c r="D136" s="109"/>
      <c r="E136" s="109">
        <v>270</v>
      </c>
      <c r="F136" s="109"/>
      <c r="G136" s="109"/>
      <c r="H136" s="109"/>
      <c r="I136" s="109"/>
      <c r="J136" s="109"/>
      <c r="K136" s="112">
        <f t="shared" si="8"/>
        <v>5.3</v>
      </c>
      <c r="L136" s="39"/>
      <c r="M136" s="39">
        <v>5.3</v>
      </c>
      <c r="N136" s="39"/>
      <c r="O136" s="39"/>
      <c r="P136" s="39"/>
      <c r="Q136" s="39"/>
      <c r="R136" s="98">
        <f t="shared" si="9"/>
        <v>5.3</v>
      </c>
      <c r="S136" s="103"/>
      <c r="T136" s="95">
        <f t="shared" si="10"/>
        <v>0</v>
      </c>
    </row>
    <row r="137" spans="1:20" ht="24.75" customHeight="1" x14ac:dyDescent="0.3">
      <c r="A137" s="42" t="s">
        <v>300</v>
      </c>
      <c r="B137" s="110" t="s">
        <v>271</v>
      </c>
      <c r="C137" s="111">
        <f t="shared" si="11"/>
        <v>16</v>
      </c>
      <c r="D137" s="109"/>
      <c r="E137" s="109">
        <v>16</v>
      </c>
      <c r="F137" s="109"/>
      <c r="G137" s="109"/>
      <c r="H137" s="109"/>
      <c r="I137" s="109"/>
      <c r="J137" s="109"/>
      <c r="K137" s="112">
        <f t="shared" si="8"/>
        <v>25.1</v>
      </c>
      <c r="L137" s="39"/>
      <c r="M137" s="39">
        <v>25.1</v>
      </c>
      <c r="N137" s="39"/>
      <c r="O137" s="39"/>
      <c r="P137" s="39"/>
      <c r="Q137" s="39"/>
      <c r="R137" s="98">
        <f t="shared" si="9"/>
        <v>25.1</v>
      </c>
      <c r="S137" s="103"/>
      <c r="T137" s="95">
        <f t="shared" si="10"/>
        <v>0</v>
      </c>
    </row>
    <row r="138" spans="1:20" ht="24.75" customHeight="1" x14ac:dyDescent="0.3">
      <c r="A138" s="42" t="s">
        <v>301</v>
      </c>
      <c r="B138" s="110" t="s">
        <v>10</v>
      </c>
      <c r="C138" s="111">
        <f t="shared" si="11"/>
        <v>107</v>
      </c>
      <c r="D138" s="109"/>
      <c r="E138" s="109">
        <v>60</v>
      </c>
      <c r="F138" s="109"/>
      <c r="G138" s="109">
        <v>20</v>
      </c>
      <c r="H138" s="109">
        <v>20</v>
      </c>
      <c r="I138" s="109">
        <v>7</v>
      </c>
      <c r="J138" s="109"/>
      <c r="K138" s="112">
        <f t="shared" si="8"/>
        <v>9.66</v>
      </c>
      <c r="L138" s="39"/>
      <c r="M138" s="39">
        <v>9.66</v>
      </c>
      <c r="N138" s="39"/>
      <c r="O138" s="39">
        <v>9.66</v>
      </c>
      <c r="P138" s="39">
        <v>9.66</v>
      </c>
      <c r="Q138" s="39">
        <v>21.8</v>
      </c>
      <c r="R138" s="98">
        <f t="shared" si="9"/>
        <v>21.8</v>
      </c>
      <c r="S138" s="103">
        <f>R138/K138-1</f>
        <v>1.2567287784679091</v>
      </c>
      <c r="T138" s="95">
        <f t="shared" si="10"/>
        <v>1</v>
      </c>
    </row>
    <row r="139" spans="1:20" ht="24.75" customHeight="1" x14ac:dyDescent="0.3">
      <c r="A139" s="42" t="s">
        <v>302</v>
      </c>
      <c r="B139" s="110" t="s">
        <v>10</v>
      </c>
      <c r="C139" s="111">
        <f t="shared" si="11"/>
        <v>350</v>
      </c>
      <c r="D139" s="109">
        <v>80</v>
      </c>
      <c r="E139" s="109">
        <v>50</v>
      </c>
      <c r="F139" s="109"/>
      <c r="G139" s="109">
        <v>50</v>
      </c>
      <c r="H139" s="109">
        <v>50</v>
      </c>
      <c r="I139" s="109">
        <v>120</v>
      </c>
      <c r="J139" s="109"/>
      <c r="K139" s="112">
        <f t="shared" si="8"/>
        <v>14</v>
      </c>
      <c r="L139" s="39">
        <v>18.84</v>
      </c>
      <c r="M139" s="39">
        <v>14</v>
      </c>
      <c r="N139" s="39"/>
      <c r="O139" s="39">
        <v>14</v>
      </c>
      <c r="P139" s="39">
        <v>14</v>
      </c>
      <c r="Q139" s="39">
        <v>49.3</v>
      </c>
      <c r="R139" s="98">
        <f t="shared" si="9"/>
        <v>49.3</v>
      </c>
      <c r="S139" s="103">
        <f>R139/K139-1</f>
        <v>2.5214285714285714</v>
      </c>
      <c r="T139" s="95">
        <f t="shared" si="10"/>
        <v>1</v>
      </c>
    </row>
    <row r="140" spans="1:20" ht="24.75" customHeight="1" x14ac:dyDescent="0.3">
      <c r="A140" s="42" t="s">
        <v>303</v>
      </c>
      <c r="B140" s="110" t="s">
        <v>10</v>
      </c>
      <c r="C140" s="111">
        <f t="shared" si="11"/>
        <v>52</v>
      </c>
      <c r="D140" s="109"/>
      <c r="E140" s="109">
        <v>48</v>
      </c>
      <c r="F140" s="109"/>
      <c r="G140" s="109"/>
      <c r="H140" s="109"/>
      <c r="I140" s="109">
        <v>4</v>
      </c>
      <c r="J140" s="109"/>
      <c r="K140" s="112">
        <f t="shared" si="8"/>
        <v>32.9</v>
      </c>
      <c r="L140" s="39"/>
      <c r="M140" s="39">
        <v>37.79</v>
      </c>
      <c r="N140" s="39"/>
      <c r="O140" s="39"/>
      <c r="P140" s="39"/>
      <c r="Q140" s="39">
        <v>32.9</v>
      </c>
      <c r="R140" s="98">
        <f t="shared" si="9"/>
        <v>37.79</v>
      </c>
      <c r="S140" s="103">
        <f>R140/K140-1</f>
        <v>0.1486322188449849</v>
      </c>
      <c r="T140" s="95">
        <f t="shared" si="10"/>
        <v>0</v>
      </c>
    </row>
    <row r="141" spans="1:20" ht="24.75" customHeight="1" x14ac:dyDescent="0.3">
      <c r="A141" s="42" t="s">
        <v>304</v>
      </c>
      <c r="B141" s="110" t="s">
        <v>10</v>
      </c>
      <c r="C141" s="111" t="e">
        <f t="shared" si="11"/>
        <v>#VALUE!</v>
      </c>
      <c r="D141" s="109">
        <v>1700</v>
      </c>
      <c r="E141" s="109"/>
      <c r="F141" s="109"/>
      <c r="G141" s="109">
        <v>1000</v>
      </c>
      <c r="H141" s="109">
        <v>1000</v>
      </c>
      <c r="I141" s="109" t="s">
        <v>305</v>
      </c>
      <c r="J141" s="109"/>
      <c r="K141" s="112">
        <f t="shared" si="8"/>
        <v>1.47</v>
      </c>
      <c r="L141" s="39">
        <v>1.47</v>
      </c>
      <c r="M141" s="39"/>
      <c r="N141" s="39"/>
      <c r="O141" s="39">
        <v>1.47</v>
      </c>
      <c r="P141" s="39">
        <v>1.47</v>
      </c>
      <c r="Q141" s="39"/>
      <c r="R141" s="98">
        <f t="shared" si="9"/>
        <v>1.47</v>
      </c>
      <c r="S141" s="103"/>
      <c r="T141" s="95">
        <f t="shared" si="10"/>
        <v>0</v>
      </c>
    </row>
    <row r="142" spans="1:20" ht="24.75" customHeight="1" x14ac:dyDescent="0.3">
      <c r="A142" s="42" t="s">
        <v>306</v>
      </c>
      <c r="B142" s="110" t="s">
        <v>26</v>
      </c>
      <c r="C142" s="111">
        <f t="shared" si="11"/>
        <v>30</v>
      </c>
      <c r="D142" s="109"/>
      <c r="E142" s="109"/>
      <c r="F142" s="109"/>
      <c r="G142" s="109"/>
      <c r="H142" s="109"/>
      <c r="I142" s="109">
        <v>30</v>
      </c>
      <c r="J142" s="109"/>
      <c r="K142" s="112">
        <f t="shared" si="8"/>
        <v>129.80000000000001</v>
      </c>
      <c r="L142" s="39"/>
      <c r="M142" s="39"/>
      <c r="N142" s="39"/>
      <c r="O142" s="39"/>
      <c r="P142" s="39"/>
      <c r="Q142" s="39">
        <v>129.80000000000001</v>
      </c>
      <c r="R142" s="98">
        <f t="shared" si="9"/>
        <v>129.80000000000001</v>
      </c>
      <c r="S142" s="103"/>
      <c r="T142" s="95">
        <f t="shared" si="10"/>
        <v>0</v>
      </c>
    </row>
    <row r="143" spans="1:20" ht="24.75" customHeight="1" x14ac:dyDescent="0.3">
      <c r="A143" s="42" t="s">
        <v>307</v>
      </c>
      <c r="B143" s="110" t="s">
        <v>26</v>
      </c>
      <c r="C143" s="111">
        <f t="shared" si="11"/>
        <v>50</v>
      </c>
      <c r="D143" s="109"/>
      <c r="E143" s="109"/>
      <c r="F143" s="109"/>
      <c r="G143" s="109"/>
      <c r="H143" s="109"/>
      <c r="I143" s="109">
        <v>50</v>
      </c>
      <c r="J143" s="109"/>
      <c r="K143" s="112">
        <f t="shared" si="8"/>
        <v>199.04</v>
      </c>
      <c r="L143" s="39"/>
      <c r="M143" s="39"/>
      <c r="N143" s="39"/>
      <c r="O143" s="39"/>
      <c r="P143" s="39"/>
      <c r="Q143" s="39">
        <v>199.04</v>
      </c>
      <c r="R143" s="98">
        <f t="shared" si="9"/>
        <v>199.04</v>
      </c>
      <c r="S143" s="103"/>
      <c r="T143" s="95">
        <f t="shared" si="10"/>
        <v>0</v>
      </c>
    </row>
    <row r="144" spans="1:20" ht="24.75" customHeight="1" x14ac:dyDescent="0.3">
      <c r="A144" s="42" t="s">
        <v>308</v>
      </c>
      <c r="B144" s="110" t="s">
        <v>10</v>
      </c>
      <c r="C144" s="111">
        <f t="shared" si="11"/>
        <v>197</v>
      </c>
      <c r="D144" s="109"/>
      <c r="E144" s="109"/>
      <c r="F144" s="109"/>
      <c r="G144" s="109"/>
      <c r="H144" s="109"/>
      <c r="I144" s="109">
        <v>197</v>
      </c>
      <c r="J144" s="109"/>
      <c r="K144" s="112">
        <f t="shared" si="8"/>
        <v>0</v>
      </c>
      <c r="L144" s="39"/>
      <c r="M144" s="39"/>
      <c r="N144" s="39"/>
      <c r="O144" s="39"/>
      <c r="P144" s="39"/>
      <c r="Q144" s="39"/>
      <c r="R144" s="98">
        <f t="shared" si="9"/>
        <v>0</v>
      </c>
      <c r="S144" s="103"/>
      <c r="T144" s="95">
        <f t="shared" si="10"/>
        <v>0</v>
      </c>
    </row>
    <row r="145" spans="1:20" ht="24.75" customHeight="1" x14ac:dyDescent="0.3">
      <c r="A145" s="42" t="s">
        <v>309</v>
      </c>
      <c r="B145" s="110" t="s">
        <v>10</v>
      </c>
      <c r="C145" s="111">
        <f t="shared" si="11"/>
        <v>95</v>
      </c>
      <c r="D145" s="109">
        <v>14</v>
      </c>
      <c r="E145" s="109">
        <v>20</v>
      </c>
      <c r="F145" s="109"/>
      <c r="G145" s="109">
        <v>30</v>
      </c>
      <c r="H145" s="109">
        <v>30</v>
      </c>
      <c r="I145" s="109">
        <v>1</v>
      </c>
      <c r="J145" s="109"/>
      <c r="K145" s="112">
        <f t="shared" si="8"/>
        <v>53.4</v>
      </c>
      <c r="L145" s="39">
        <v>69.14</v>
      </c>
      <c r="M145" s="39">
        <v>64.27</v>
      </c>
      <c r="N145" s="39"/>
      <c r="O145" s="39">
        <v>64.266000000000005</v>
      </c>
      <c r="P145" s="39">
        <v>64.27</v>
      </c>
      <c r="Q145" s="39">
        <v>53.4</v>
      </c>
      <c r="R145" s="98">
        <f t="shared" si="9"/>
        <v>69.14</v>
      </c>
      <c r="S145" s="103">
        <f>R145/K145-1</f>
        <v>0.29475655430711623</v>
      </c>
      <c r="T145" s="95">
        <f t="shared" si="10"/>
        <v>0</v>
      </c>
    </row>
    <row r="146" spans="1:20" ht="24.75" customHeight="1" x14ac:dyDescent="0.3">
      <c r="A146" s="42" t="s">
        <v>310</v>
      </c>
      <c r="B146" s="110" t="s">
        <v>10</v>
      </c>
      <c r="C146" s="111">
        <f t="shared" si="11"/>
        <v>10</v>
      </c>
      <c r="D146" s="109"/>
      <c r="E146" s="109">
        <v>10</v>
      </c>
      <c r="F146" s="109"/>
      <c r="G146" s="109"/>
      <c r="H146" s="109"/>
      <c r="I146" s="109"/>
      <c r="J146" s="109"/>
      <c r="K146" s="112">
        <f t="shared" si="8"/>
        <v>86.83</v>
      </c>
      <c r="L146" s="39"/>
      <c r="M146" s="39">
        <v>86.83</v>
      </c>
      <c r="N146" s="39"/>
      <c r="O146" s="39"/>
      <c r="P146" s="39"/>
      <c r="Q146" s="39"/>
      <c r="R146" s="98">
        <f t="shared" si="9"/>
        <v>86.83</v>
      </c>
      <c r="S146" s="103"/>
      <c r="T146" s="95">
        <f t="shared" si="10"/>
        <v>0</v>
      </c>
    </row>
    <row r="147" spans="1:20" ht="24.75" customHeight="1" x14ac:dyDescent="0.3">
      <c r="A147" s="42" t="s">
        <v>311</v>
      </c>
      <c r="B147" s="110" t="s">
        <v>10</v>
      </c>
      <c r="C147" s="111">
        <f t="shared" si="11"/>
        <v>240</v>
      </c>
      <c r="D147" s="109">
        <v>40</v>
      </c>
      <c r="E147" s="109"/>
      <c r="F147" s="109"/>
      <c r="G147" s="109">
        <v>100</v>
      </c>
      <c r="H147" s="109">
        <v>100</v>
      </c>
      <c r="I147" s="109"/>
      <c r="J147" s="109"/>
      <c r="K147" s="112">
        <f t="shared" si="8"/>
        <v>9.64</v>
      </c>
      <c r="L147" s="39">
        <v>9.64</v>
      </c>
      <c r="M147" s="39"/>
      <c r="N147" s="39"/>
      <c r="O147" s="39">
        <v>23.265999999999998</v>
      </c>
      <c r="P147" s="39">
        <v>23.27</v>
      </c>
      <c r="Q147" s="39"/>
      <c r="R147" s="98">
        <f t="shared" si="9"/>
        <v>23.27</v>
      </c>
      <c r="S147" s="103">
        <f>R147/K147-1</f>
        <v>1.4139004149377592</v>
      </c>
      <c r="T147" s="95">
        <f t="shared" si="10"/>
        <v>1</v>
      </c>
    </row>
    <row r="148" spans="1:20" ht="24.75" customHeight="1" x14ac:dyDescent="0.3">
      <c r="A148" s="42" t="s">
        <v>312</v>
      </c>
      <c r="B148" s="110" t="s">
        <v>313</v>
      </c>
      <c r="C148" s="111">
        <f t="shared" si="11"/>
        <v>6</v>
      </c>
      <c r="D148" s="109"/>
      <c r="E148" s="109"/>
      <c r="F148" s="109"/>
      <c r="G148" s="109"/>
      <c r="H148" s="109"/>
      <c r="I148" s="109">
        <v>6</v>
      </c>
      <c r="J148" s="109"/>
      <c r="K148" s="112">
        <f t="shared" si="8"/>
        <v>114.6</v>
      </c>
      <c r="L148" s="39"/>
      <c r="M148" s="39"/>
      <c r="N148" s="39"/>
      <c r="O148" s="39"/>
      <c r="P148" s="39"/>
      <c r="Q148" s="39">
        <v>114.6</v>
      </c>
      <c r="R148" s="98">
        <f t="shared" si="9"/>
        <v>114.6</v>
      </c>
      <c r="S148" s="103"/>
      <c r="T148" s="95">
        <f t="shared" si="10"/>
        <v>0</v>
      </c>
    </row>
    <row r="149" spans="1:20" ht="24.75" customHeight="1" x14ac:dyDescent="0.3">
      <c r="A149" s="42" t="s">
        <v>314</v>
      </c>
      <c r="B149" s="110" t="s">
        <v>10</v>
      </c>
      <c r="C149" s="111">
        <f t="shared" si="11"/>
        <v>210</v>
      </c>
      <c r="D149" s="109"/>
      <c r="E149" s="109">
        <v>100</v>
      </c>
      <c r="F149" s="109"/>
      <c r="G149" s="109"/>
      <c r="H149" s="109"/>
      <c r="I149" s="109">
        <v>110</v>
      </c>
      <c r="J149" s="109"/>
      <c r="K149" s="112">
        <f t="shared" si="8"/>
        <v>3.78</v>
      </c>
      <c r="L149" s="39"/>
      <c r="M149" s="39">
        <v>3.78</v>
      </c>
      <c r="N149" s="39"/>
      <c r="O149" s="39"/>
      <c r="P149" s="39"/>
      <c r="Q149" s="39">
        <v>9.8000000000000007</v>
      </c>
      <c r="R149" s="98">
        <f t="shared" si="9"/>
        <v>9.8000000000000007</v>
      </c>
      <c r="S149" s="103">
        <f>R149/K149-1</f>
        <v>1.592592592592593</v>
      </c>
      <c r="T149" s="95">
        <f t="shared" si="10"/>
        <v>1</v>
      </c>
    </row>
    <row r="150" spans="1:20" ht="24.75" customHeight="1" x14ac:dyDescent="0.3">
      <c r="A150" s="42" t="s">
        <v>315</v>
      </c>
      <c r="B150" s="110" t="s">
        <v>10</v>
      </c>
      <c r="C150" s="111">
        <f t="shared" si="11"/>
        <v>400</v>
      </c>
      <c r="D150" s="109">
        <v>400</v>
      </c>
      <c r="E150" s="109"/>
      <c r="F150" s="109"/>
      <c r="G150" s="109"/>
      <c r="H150" s="109"/>
      <c r="I150" s="109"/>
      <c r="J150" s="109"/>
      <c r="K150" s="112">
        <f t="shared" si="8"/>
        <v>1.4</v>
      </c>
      <c r="L150" s="39">
        <v>1.4</v>
      </c>
      <c r="M150" s="39"/>
      <c r="N150" s="39"/>
      <c r="O150" s="39"/>
      <c r="P150" s="39"/>
      <c r="Q150" s="39"/>
      <c r="R150" s="98">
        <f t="shared" si="9"/>
        <v>1.4</v>
      </c>
      <c r="S150" s="103"/>
      <c r="T150" s="95">
        <f t="shared" si="10"/>
        <v>0</v>
      </c>
    </row>
    <row r="151" spans="1:20" ht="24.75" customHeight="1" x14ac:dyDescent="0.3">
      <c r="A151" s="42" t="s">
        <v>316</v>
      </c>
      <c r="B151" s="110" t="s">
        <v>10</v>
      </c>
      <c r="C151" s="111">
        <f t="shared" si="11"/>
        <v>33</v>
      </c>
      <c r="D151" s="109">
        <v>13</v>
      </c>
      <c r="E151" s="109"/>
      <c r="F151" s="109"/>
      <c r="G151" s="109">
        <v>10</v>
      </c>
      <c r="H151" s="109">
        <v>10</v>
      </c>
      <c r="I151" s="109"/>
      <c r="J151" s="109"/>
      <c r="K151" s="112">
        <f t="shared" si="8"/>
        <v>19.5</v>
      </c>
      <c r="L151" s="39">
        <v>19.5</v>
      </c>
      <c r="M151" s="39"/>
      <c r="N151" s="39"/>
      <c r="O151" s="39">
        <v>43</v>
      </c>
      <c r="P151" s="39">
        <v>43</v>
      </c>
      <c r="Q151" s="39"/>
      <c r="R151" s="98">
        <f t="shared" si="9"/>
        <v>43</v>
      </c>
      <c r="S151" s="103">
        <f>R151/K151-1</f>
        <v>1.2051282051282053</v>
      </c>
      <c r="T151" s="95">
        <f t="shared" si="10"/>
        <v>1</v>
      </c>
    </row>
    <row r="152" spans="1:20" ht="24.75" customHeight="1" x14ac:dyDescent="0.3">
      <c r="A152" s="42" t="s">
        <v>317</v>
      </c>
      <c r="B152" s="110" t="s">
        <v>10</v>
      </c>
      <c r="C152" s="111">
        <f t="shared" si="11"/>
        <v>26</v>
      </c>
      <c r="D152" s="109">
        <v>6</v>
      </c>
      <c r="E152" s="109"/>
      <c r="F152" s="109"/>
      <c r="G152" s="109">
        <v>10</v>
      </c>
      <c r="H152" s="109">
        <v>10</v>
      </c>
      <c r="I152" s="109"/>
      <c r="J152" s="109"/>
      <c r="K152" s="112">
        <f t="shared" si="8"/>
        <v>54.97</v>
      </c>
      <c r="L152" s="39">
        <v>54.97</v>
      </c>
      <c r="M152" s="39"/>
      <c r="N152" s="39"/>
      <c r="O152" s="39">
        <v>80</v>
      </c>
      <c r="P152" s="39">
        <v>80</v>
      </c>
      <c r="Q152" s="39"/>
      <c r="R152" s="98">
        <f t="shared" si="9"/>
        <v>80</v>
      </c>
      <c r="S152" s="103">
        <f>R152/K152-1</f>
        <v>0.45533927596871027</v>
      </c>
      <c r="T152" s="95">
        <f t="shared" si="10"/>
        <v>0</v>
      </c>
    </row>
    <row r="153" spans="1:20" ht="24.75" customHeight="1" x14ac:dyDescent="0.3">
      <c r="A153" s="42" t="s">
        <v>318</v>
      </c>
      <c r="B153" s="110" t="s">
        <v>10</v>
      </c>
      <c r="C153" s="111">
        <f t="shared" si="11"/>
        <v>18</v>
      </c>
      <c r="D153" s="109"/>
      <c r="E153" s="109"/>
      <c r="F153" s="109"/>
      <c r="G153" s="109"/>
      <c r="H153" s="109"/>
      <c r="I153" s="109">
        <v>18</v>
      </c>
      <c r="J153" s="109"/>
      <c r="K153" s="112">
        <f t="shared" si="8"/>
        <v>85.2</v>
      </c>
      <c r="L153" s="39"/>
      <c r="M153" s="39"/>
      <c r="N153" s="39"/>
      <c r="O153" s="39"/>
      <c r="P153" s="39"/>
      <c r="Q153" s="39">
        <v>85.2</v>
      </c>
      <c r="R153" s="98">
        <f t="shared" si="9"/>
        <v>85.2</v>
      </c>
      <c r="S153" s="103"/>
      <c r="T153" s="95">
        <f t="shared" si="10"/>
        <v>0</v>
      </c>
    </row>
    <row r="154" spans="1:20" ht="24.75" customHeight="1" x14ac:dyDescent="0.3">
      <c r="A154" s="42" t="s">
        <v>319</v>
      </c>
      <c r="B154" s="110" t="s">
        <v>10</v>
      </c>
      <c r="C154" s="111">
        <f t="shared" si="11"/>
        <v>130</v>
      </c>
      <c r="D154" s="109"/>
      <c r="E154" s="109">
        <v>125</v>
      </c>
      <c r="F154" s="109"/>
      <c r="G154" s="109"/>
      <c r="H154" s="109"/>
      <c r="I154" s="109">
        <v>5</v>
      </c>
      <c r="J154" s="109"/>
      <c r="K154" s="112">
        <f t="shared" si="8"/>
        <v>51.97</v>
      </c>
      <c r="L154" s="39"/>
      <c r="M154" s="39">
        <v>51.97</v>
      </c>
      <c r="N154" s="39"/>
      <c r="O154" s="39"/>
      <c r="P154" s="39"/>
      <c r="Q154" s="39">
        <v>79.900000000000006</v>
      </c>
      <c r="R154" s="98">
        <f t="shared" si="9"/>
        <v>79.900000000000006</v>
      </c>
      <c r="S154" s="103">
        <f>R154/K154-1</f>
        <v>0.53742543775254958</v>
      </c>
      <c r="T154" s="95">
        <f t="shared" si="10"/>
        <v>0</v>
      </c>
    </row>
    <row r="155" spans="1:20" ht="24.75" customHeight="1" x14ac:dyDescent="0.3">
      <c r="A155" s="42" t="s">
        <v>320</v>
      </c>
      <c r="B155" s="110" t="s">
        <v>26</v>
      </c>
      <c r="C155" s="111">
        <f t="shared" si="11"/>
        <v>4</v>
      </c>
      <c r="D155" s="109"/>
      <c r="E155" s="109"/>
      <c r="F155" s="109"/>
      <c r="G155" s="109"/>
      <c r="H155" s="109"/>
      <c r="I155" s="109">
        <v>4</v>
      </c>
      <c r="J155" s="109"/>
      <c r="K155" s="112">
        <f t="shared" si="8"/>
        <v>246.3</v>
      </c>
      <c r="L155" s="39"/>
      <c r="M155" s="39"/>
      <c r="N155" s="39"/>
      <c r="O155" s="39"/>
      <c r="P155" s="39"/>
      <c r="Q155" s="39">
        <v>246.3</v>
      </c>
      <c r="R155" s="98">
        <f t="shared" si="9"/>
        <v>246.3</v>
      </c>
      <c r="S155" s="103"/>
      <c r="T155" s="95">
        <f t="shared" si="10"/>
        <v>0</v>
      </c>
    </row>
    <row r="156" spans="1:20" ht="24.75" customHeight="1" x14ac:dyDescent="0.3">
      <c r="A156" s="42" t="s">
        <v>321</v>
      </c>
      <c r="B156" s="110" t="s">
        <v>26</v>
      </c>
      <c r="C156" s="111">
        <f t="shared" si="11"/>
        <v>50</v>
      </c>
      <c r="D156" s="109"/>
      <c r="E156" s="109"/>
      <c r="F156" s="109"/>
      <c r="G156" s="109"/>
      <c r="H156" s="109"/>
      <c r="I156" s="109">
        <v>50</v>
      </c>
      <c r="J156" s="109"/>
      <c r="K156" s="112">
        <f t="shared" si="8"/>
        <v>502.9</v>
      </c>
      <c r="L156" s="39"/>
      <c r="M156" s="39"/>
      <c r="N156" s="39"/>
      <c r="O156" s="39"/>
      <c r="P156" s="39"/>
      <c r="Q156" s="39">
        <v>502.9</v>
      </c>
      <c r="R156" s="98">
        <f t="shared" si="9"/>
        <v>502.9</v>
      </c>
      <c r="S156" s="103"/>
      <c r="T156" s="95">
        <f t="shared" si="10"/>
        <v>0</v>
      </c>
    </row>
    <row r="157" spans="1:20" ht="24.75" customHeight="1" x14ac:dyDescent="0.3">
      <c r="A157" s="42" t="s">
        <v>322</v>
      </c>
      <c r="B157" s="110" t="s">
        <v>10</v>
      </c>
      <c r="C157" s="111">
        <f t="shared" si="11"/>
        <v>265</v>
      </c>
      <c r="D157" s="109">
        <v>205</v>
      </c>
      <c r="E157" s="109"/>
      <c r="F157" s="109"/>
      <c r="G157" s="109"/>
      <c r="H157" s="109">
        <v>60</v>
      </c>
      <c r="I157" s="109"/>
      <c r="J157" s="109"/>
      <c r="K157" s="112">
        <f t="shared" si="8"/>
        <v>220</v>
      </c>
      <c r="L157" s="39">
        <v>292.33999999999997</v>
      </c>
      <c r="M157" s="39"/>
      <c r="N157" s="39"/>
      <c r="O157" s="39"/>
      <c r="P157" s="39">
        <v>220</v>
      </c>
      <c r="Q157" s="39"/>
      <c r="R157" s="98">
        <f t="shared" si="9"/>
        <v>292.33999999999997</v>
      </c>
      <c r="S157" s="103">
        <f>R157/K157-1</f>
        <v>0.32881818181818168</v>
      </c>
      <c r="T157" s="95">
        <f t="shared" si="10"/>
        <v>0</v>
      </c>
    </row>
    <row r="158" spans="1:20" ht="24.75" customHeight="1" x14ac:dyDescent="0.3">
      <c r="A158" s="42" t="s">
        <v>323</v>
      </c>
      <c r="B158" s="110" t="s">
        <v>10</v>
      </c>
      <c r="C158" s="111">
        <f t="shared" si="11"/>
        <v>70</v>
      </c>
      <c r="D158" s="109"/>
      <c r="E158" s="109">
        <v>20</v>
      </c>
      <c r="F158" s="109"/>
      <c r="G158" s="109"/>
      <c r="H158" s="109"/>
      <c r="I158" s="109">
        <v>50</v>
      </c>
      <c r="J158" s="109"/>
      <c r="K158" s="112">
        <f t="shared" si="8"/>
        <v>93.75</v>
      </c>
      <c r="L158" s="39"/>
      <c r="M158" s="39">
        <v>93.75</v>
      </c>
      <c r="N158" s="39"/>
      <c r="O158" s="39"/>
      <c r="P158" s="39"/>
      <c r="Q158" s="39">
        <v>93.75</v>
      </c>
      <c r="R158" s="98">
        <f t="shared" si="9"/>
        <v>93.75</v>
      </c>
      <c r="S158" s="103"/>
      <c r="T158" s="95">
        <f t="shared" si="10"/>
        <v>0</v>
      </c>
    </row>
    <row r="159" spans="1:20" ht="24.75" customHeight="1" x14ac:dyDescent="0.3">
      <c r="A159" s="42" t="s">
        <v>324</v>
      </c>
      <c r="B159" s="110" t="s">
        <v>10</v>
      </c>
      <c r="C159" s="111">
        <f t="shared" si="11"/>
        <v>160</v>
      </c>
      <c r="D159" s="109"/>
      <c r="E159" s="109">
        <v>10</v>
      </c>
      <c r="F159" s="109"/>
      <c r="G159" s="109">
        <v>50</v>
      </c>
      <c r="H159" s="109">
        <v>50</v>
      </c>
      <c r="I159" s="109">
        <v>50</v>
      </c>
      <c r="J159" s="109"/>
      <c r="K159" s="112">
        <f t="shared" si="8"/>
        <v>51.165999999999997</v>
      </c>
      <c r="L159" s="39"/>
      <c r="M159" s="39">
        <v>103.26</v>
      </c>
      <c r="N159" s="39"/>
      <c r="O159" s="39">
        <v>51.165999999999997</v>
      </c>
      <c r="P159" s="39">
        <v>51.17</v>
      </c>
      <c r="Q159" s="39">
        <v>106.6</v>
      </c>
      <c r="R159" s="98">
        <f t="shared" si="9"/>
        <v>106.6</v>
      </c>
      <c r="S159" s="103">
        <f>R159/K159-1</f>
        <v>1.0834147676191219</v>
      </c>
      <c r="T159" s="95">
        <f t="shared" si="10"/>
        <v>1</v>
      </c>
    </row>
    <row r="160" spans="1:20" ht="24.75" customHeight="1" x14ac:dyDescent="0.3">
      <c r="A160" s="42" t="s">
        <v>325</v>
      </c>
      <c r="B160" s="110" t="s">
        <v>10</v>
      </c>
      <c r="C160" s="111">
        <f t="shared" si="11"/>
        <v>1250</v>
      </c>
      <c r="D160" s="109"/>
      <c r="E160" s="109">
        <v>140</v>
      </c>
      <c r="F160" s="109"/>
      <c r="G160" s="109"/>
      <c r="H160" s="109"/>
      <c r="I160" s="109">
        <v>1110</v>
      </c>
      <c r="J160" s="109"/>
      <c r="K160" s="112">
        <f t="shared" si="8"/>
        <v>18.100000000000001</v>
      </c>
      <c r="L160" s="39"/>
      <c r="M160" s="39">
        <v>40</v>
      </c>
      <c r="N160" s="39"/>
      <c r="O160" s="39"/>
      <c r="P160" s="39"/>
      <c r="Q160" s="39">
        <v>18.100000000000001</v>
      </c>
      <c r="R160" s="98">
        <f t="shared" si="9"/>
        <v>40</v>
      </c>
      <c r="S160" s="103">
        <f>R160/K160-1</f>
        <v>1.2099447513812152</v>
      </c>
      <c r="T160" s="95">
        <f t="shared" si="10"/>
        <v>1</v>
      </c>
    </row>
    <row r="161" spans="1:20" ht="24.75" customHeight="1" x14ac:dyDescent="0.3">
      <c r="A161" s="42" t="s">
        <v>326</v>
      </c>
      <c r="B161" s="110" t="s">
        <v>10</v>
      </c>
      <c r="C161" s="111">
        <f t="shared" si="11"/>
        <v>1</v>
      </c>
      <c r="D161" s="109"/>
      <c r="E161" s="109"/>
      <c r="F161" s="109"/>
      <c r="G161" s="109"/>
      <c r="H161" s="109"/>
      <c r="I161" s="109">
        <v>1</v>
      </c>
      <c r="J161" s="109"/>
      <c r="K161" s="112">
        <f t="shared" si="8"/>
        <v>3123.8</v>
      </c>
      <c r="L161" s="39"/>
      <c r="M161" s="39"/>
      <c r="N161" s="39"/>
      <c r="O161" s="39"/>
      <c r="P161" s="39"/>
      <c r="Q161" s="39">
        <v>3123.8</v>
      </c>
      <c r="R161" s="98">
        <f t="shared" si="9"/>
        <v>3123.8</v>
      </c>
      <c r="S161" s="103"/>
      <c r="T161" s="95">
        <f t="shared" si="10"/>
        <v>0</v>
      </c>
    </row>
    <row r="162" spans="1:20" ht="24.75" customHeight="1" x14ac:dyDescent="0.3">
      <c r="A162" s="42" t="s">
        <v>327</v>
      </c>
      <c r="B162" s="110" t="s">
        <v>10</v>
      </c>
      <c r="C162" s="111">
        <f t="shared" si="11"/>
        <v>5</v>
      </c>
      <c r="D162" s="109"/>
      <c r="E162" s="109"/>
      <c r="F162" s="109"/>
      <c r="G162" s="109"/>
      <c r="H162" s="109">
        <v>5</v>
      </c>
      <c r="I162" s="109"/>
      <c r="J162" s="109"/>
      <c r="K162" s="112">
        <f t="shared" si="8"/>
        <v>4095.67</v>
      </c>
      <c r="L162" s="39"/>
      <c r="M162" s="39"/>
      <c r="N162" s="39"/>
      <c r="O162" s="39"/>
      <c r="P162" s="39">
        <v>4095.67</v>
      </c>
      <c r="Q162" s="39"/>
      <c r="R162" s="98">
        <f t="shared" si="9"/>
        <v>4095.67</v>
      </c>
      <c r="S162" s="103"/>
      <c r="T162" s="95">
        <f t="shared" si="10"/>
        <v>0</v>
      </c>
    </row>
    <row r="163" spans="1:20" ht="24.75" customHeight="1" x14ac:dyDescent="0.3">
      <c r="A163" s="42" t="s">
        <v>328</v>
      </c>
      <c r="B163" s="110" t="s">
        <v>26</v>
      </c>
      <c r="C163" s="111">
        <f t="shared" si="11"/>
        <v>20</v>
      </c>
      <c r="D163" s="109"/>
      <c r="E163" s="109"/>
      <c r="F163" s="109"/>
      <c r="G163" s="109"/>
      <c r="H163" s="109"/>
      <c r="I163" s="109">
        <v>20</v>
      </c>
      <c r="J163" s="109"/>
      <c r="K163" s="112">
        <f t="shared" si="8"/>
        <v>534</v>
      </c>
      <c r="L163" s="39"/>
      <c r="M163" s="39"/>
      <c r="N163" s="39"/>
      <c r="O163" s="39"/>
      <c r="P163" s="39"/>
      <c r="Q163" s="39">
        <v>534</v>
      </c>
      <c r="R163" s="98">
        <f t="shared" si="9"/>
        <v>534</v>
      </c>
      <c r="S163" s="103"/>
      <c r="T163" s="95">
        <f t="shared" si="10"/>
        <v>0</v>
      </c>
    </row>
    <row r="164" spans="1:20" ht="24.75" customHeight="1" x14ac:dyDescent="0.3">
      <c r="A164" s="42" t="s">
        <v>329</v>
      </c>
      <c r="B164" s="110" t="s">
        <v>10</v>
      </c>
      <c r="C164" s="111">
        <f t="shared" si="11"/>
        <v>16</v>
      </c>
      <c r="D164" s="109"/>
      <c r="E164" s="109"/>
      <c r="F164" s="109"/>
      <c r="G164" s="109"/>
      <c r="H164" s="109"/>
      <c r="I164" s="109">
        <v>16</v>
      </c>
      <c r="J164" s="109"/>
      <c r="K164" s="112">
        <f t="shared" si="8"/>
        <v>42.3</v>
      </c>
      <c r="L164" s="39"/>
      <c r="M164" s="39"/>
      <c r="N164" s="39"/>
      <c r="O164" s="39"/>
      <c r="P164" s="39"/>
      <c r="Q164" s="39">
        <v>42.3</v>
      </c>
      <c r="R164" s="98">
        <f t="shared" si="9"/>
        <v>42.3</v>
      </c>
      <c r="S164" s="103"/>
      <c r="T164" s="95">
        <f t="shared" si="10"/>
        <v>0</v>
      </c>
    </row>
    <row r="165" spans="1:20" ht="24.75" customHeight="1" x14ac:dyDescent="0.3">
      <c r="A165" s="42" t="s">
        <v>330</v>
      </c>
      <c r="B165" s="110" t="s">
        <v>10</v>
      </c>
      <c r="C165" s="111">
        <f t="shared" si="11"/>
        <v>12</v>
      </c>
      <c r="D165" s="109"/>
      <c r="E165" s="109"/>
      <c r="F165" s="109"/>
      <c r="G165" s="109"/>
      <c r="H165" s="109"/>
      <c r="I165" s="109">
        <v>12</v>
      </c>
      <c r="J165" s="109"/>
      <c r="K165" s="112">
        <f t="shared" si="8"/>
        <v>101</v>
      </c>
      <c r="L165" s="39"/>
      <c r="M165" s="39"/>
      <c r="N165" s="39"/>
      <c r="O165" s="39"/>
      <c r="P165" s="39"/>
      <c r="Q165" s="39">
        <v>101</v>
      </c>
      <c r="R165" s="98">
        <f t="shared" si="9"/>
        <v>101</v>
      </c>
      <c r="S165" s="103"/>
      <c r="T165" s="95">
        <f t="shared" si="10"/>
        <v>0</v>
      </c>
    </row>
    <row r="166" spans="1:20" ht="24.75" customHeight="1" x14ac:dyDescent="0.3">
      <c r="A166" s="42" t="s">
        <v>331</v>
      </c>
      <c r="B166" s="110" t="s">
        <v>26</v>
      </c>
      <c r="C166" s="111">
        <f t="shared" si="11"/>
        <v>2</v>
      </c>
      <c r="D166" s="109"/>
      <c r="E166" s="109"/>
      <c r="F166" s="109"/>
      <c r="G166" s="109"/>
      <c r="H166" s="109"/>
      <c r="I166" s="109">
        <v>2</v>
      </c>
      <c r="J166" s="109"/>
      <c r="K166" s="112">
        <f t="shared" si="8"/>
        <v>1089</v>
      </c>
      <c r="L166" s="39"/>
      <c r="M166" s="39"/>
      <c r="N166" s="39"/>
      <c r="O166" s="39"/>
      <c r="P166" s="39"/>
      <c r="Q166" s="39">
        <v>1089</v>
      </c>
      <c r="R166" s="98">
        <f t="shared" si="9"/>
        <v>1089</v>
      </c>
      <c r="S166" s="103"/>
      <c r="T166" s="95">
        <f t="shared" si="10"/>
        <v>0</v>
      </c>
    </row>
    <row r="167" spans="1:20" ht="24.75" customHeight="1" x14ac:dyDescent="0.3">
      <c r="A167" s="42" t="s">
        <v>332</v>
      </c>
      <c r="B167" s="110" t="s">
        <v>10</v>
      </c>
      <c r="C167" s="111" t="e">
        <f t="shared" si="11"/>
        <v>#VALUE!</v>
      </c>
      <c r="D167" s="109">
        <v>15</v>
      </c>
      <c r="E167" s="109"/>
      <c r="F167" s="109"/>
      <c r="G167" s="109"/>
      <c r="H167" s="109"/>
      <c r="I167" s="109" t="s">
        <v>333</v>
      </c>
      <c r="J167" s="109"/>
      <c r="K167" s="112">
        <f t="shared" si="8"/>
        <v>152.30000000000001</v>
      </c>
      <c r="L167" s="39">
        <v>152.30000000000001</v>
      </c>
      <c r="M167" s="39"/>
      <c r="N167" s="39"/>
      <c r="O167" s="39"/>
      <c r="P167" s="39"/>
      <c r="Q167" s="39"/>
      <c r="R167" s="98">
        <f t="shared" si="9"/>
        <v>152.30000000000001</v>
      </c>
      <c r="S167" s="103"/>
      <c r="T167" s="95">
        <f t="shared" si="10"/>
        <v>0</v>
      </c>
    </row>
    <row r="168" spans="1:20" ht="24.75" customHeight="1" x14ac:dyDescent="0.3">
      <c r="A168" s="42" t="s">
        <v>334</v>
      </c>
      <c r="B168" s="110" t="s">
        <v>10</v>
      </c>
      <c r="C168" s="111">
        <f t="shared" si="11"/>
        <v>10</v>
      </c>
      <c r="D168" s="109"/>
      <c r="E168" s="109"/>
      <c r="F168" s="109"/>
      <c r="G168" s="109"/>
      <c r="H168" s="109"/>
      <c r="I168" s="109">
        <v>10</v>
      </c>
      <c r="J168" s="109"/>
      <c r="K168" s="112">
        <f t="shared" si="8"/>
        <v>769.5</v>
      </c>
      <c r="L168" s="39"/>
      <c r="M168" s="39"/>
      <c r="N168" s="39"/>
      <c r="O168" s="39"/>
      <c r="P168" s="39"/>
      <c r="Q168" s="39">
        <v>769.5</v>
      </c>
      <c r="R168" s="98">
        <f t="shared" si="9"/>
        <v>769.5</v>
      </c>
      <c r="S168" s="103"/>
      <c r="T168" s="95">
        <f t="shared" si="10"/>
        <v>0</v>
      </c>
    </row>
    <row r="169" spans="1:20" ht="24.75" customHeight="1" x14ac:dyDescent="0.3">
      <c r="A169" s="42" t="s">
        <v>335</v>
      </c>
      <c r="B169" s="110" t="s">
        <v>10</v>
      </c>
      <c r="C169" s="111">
        <f t="shared" si="11"/>
        <v>20</v>
      </c>
      <c r="D169" s="109"/>
      <c r="E169" s="109"/>
      <c r="F169" s="109"/>
      <c r="G169" s="109"/>
      <c r="H169" s="109"/>
      <c r="I169" s="109">
        <v>20</v>
      </c>
      <c r="J169" s="109"/>
      <c r="K169" s="112">
        <f t="shared" si="8"/>
        <v>50.3</v>
      </c>
      <c r="L169" s="39"/>
      <c r="M169" s="39"/>
      <c r="N169" s="39"/>
      <c r="O169" s="39"/>
      <c r="P169" s="39"/>
      <c r="Q169" s="39">
        <v>50.3</v>
      </c>
      <c r="R169" s="98">
        <f t="shared" si="9"/>
        <v>50.3</v>
      </c>
      <c r="S169" s="103"/>
      <c r="T169" s="95">
        <f t="shared" si="10"/>
        <v>0</v>
      </c>
    </row>
    <row r="170" spans="1:20" ht="24.75" customHeight="1" x14ac:dyDescent="0.3">
      <c r="A170" s="42" t="s">
        <v>336</v>
      </c>
      <c r="B170" s="110" t="s">
        <v>10</v>
      </c>
      <c r="C170" s="111">
        <f t="shared" si="11"/>
        <v>45</v>
      </c>
      <c r="D170" s="109"/>
      <c r="E170" s="109"/>
      <c r="F170" s="109"/>
      <c r="G170" s="109"/>
      <c r="H170" s="109"/>
      <c r="I170" s="109">
        <v>45</v>
      </c>
      <c r="J170" s="109"/>
      <c r="K170" s="112">
        <f t="shared" si="8"/>
        <v>57</v>
      </c>
      <c r="L170" s="39"/>
      <c r="M170" s="39"/>
      <c r="N170" s="39"/>
      <c r="O170" s="39"/>
      <c r="P170" s="39"/>
      <c r="Q170" s="39">
        <v>57</v>
      </c>
      <c r="R170" s="98">
        <f t="shared" si="9"/>
        <v>57</v>
      </c>
      <c r="S170" s="103"/>
      <c r="T170" s="95">
        <f t="shared" si="10"/>
        <v>0</v>
      </c>
    </row>
    <row r="171" spans="1:20" ht="24.75" customHeight="1" x14ac:dyDescent="0.3">
      <c r="A171" s="42" t="s">
        <v>337</v>
      </c>
      <c r="B171" s="110" t="s">
        <v>10</v>
      </c>
      <c r="C171" s="111">
        <f t="shared" si="11"/>
        <v>3</v>
      </c>
      <c r="D171" s="109"/>
      <c r="E171" s="109"/>
      <c r="F171" s="109"/>
      <c r="G171" s="109"/>
      <c r="H171" s="109"/>
      <c r="I171" s="109">
        <v>3</v>
      </c>
      <c r="J171" s="109"/>
      <c r="K171" s="112">
        <f t="shared" si="8"/>
        <v>33.5</v>
      </c>
      <c r="L171" s="39"/>
      <c r="M171" s="39"/>
      <c r="N171" s="39"/>
      <c r="O171" s="39"/>
      <c r="P171" s="39"/>
      <c r="Q171" s="39">
        <v>33.5</v>
      </c>
      <c r="R171" s="98">
        <f t="shared" si="9"/>
        <v>33.5</v>
      </c>
      <c r="S171" s="103"/>
      <c r="T171" s="95">
        <f t="shared" si="10"/>
        <v>0</v>
      </c>
    </row>
    <row r="172" spans="1:20" ht="24.75" customHeight="1" x14ac:dyDescent="0.3">
      <c r="A172" s="42" t="s">
        <v>338</v>
      </c>
      <c r="B172" s="110" t="s">
        <v>26</v>
      </c>
      <c r="C172" s="111">
        <f t="shared" si="11"/>
        <v>115</v>
      </c>
      <c r="D172" s="109">
        <v>15</v>
      </c>
      <c r="E172" s="109">
        <v>20</v>
      </c>
      <c r="F172" s="109"/>
      <c r="G172" s="109">
        <v>30</v>
      </c>
      <c r="H172" s="109">
        <v>30</v>
      </c>
      <c r="I172" s="109">
        <v>20</v>
      </c>
      <c r="J172" s="109"/>
      <c r="K172" s="112">
        <f t="shared" si="8"/>
        <v>25.64</v>
      </c>
      <c r="L172" s="39">
        <v>25.64</v>
      </c>
      <c r="M172" s="39">
        <v>25.64</v>
      </c>
      <c r="N172" s="39"/>
      <c r="O172" s="39">
        <v>115</v>
      </c>
      <c r="P172" s="39">
        <v>115</v>
      </c>
      <c r="Q172" s="39">
        <v>36</v>
      </c>
      <c r="R172" s="98">
        <f t="shared" si="9"/>
        <v>115</v>
      </c>
      <c r="S172" s="103">
        <f>R172/K172-1</f>
        <v>3.4851794071762869</v>
      </c>
      <c r="T172" s="95">
        <f t="shared" si="10"/>
        <v>1</v>
      </c>
    </row>
    <row r="173" spans="1:20" ht="24.75" customHeight="1" x14ac:dyDescent="0.3">
      <c r="A173" s="42" t="s">
        <v>339</v>
      </c>
      <c r="B173" s="110" t="s">
        <v>26</v>
      </c>
      <c r="C173" s="111">
        <f t="shared" si="11"/>
        <v>70</v>
      </c>
      <c r="D173" s="109">
        <v>10</v>
      </c>
      <c r="E173" s="109"/>
      <c r="F173" s="109"/>
      <c r="G173" s="109">
        <v>10</v>
      </c>
      <c r="H173" s="109">
        <v>10</v>
      </c>
      <c r="I173" s="109">
        <v>40</v>
      </c>
      <c r="J173" s="109"/>
      <c r="K173" s="112">
        <f t="shared" si="8"/>
        <v>15.64</v>
      </c>
      <c r="L173" s="39">
        <v>15.64</v>
      </c>
      <c r="M173" s="39"/>
      <c r="N173" s="39"/>
      <c r="O173" s="39">
        <v>19.565999999999999</v>
      </c>
      <c r="P173" s="39">
        <v>19.57</v>
      </c>
      <c r="Q173" s="39">
        <v>26.3</v>
      </c>
      <c r="R173" s="98">
        <f t="shared" si="9"/>
        <v>26.3</v>
      </c>
      <c r="S173" s="103">
        <f>R173/K173-1</f>
        <v>0.68158567774936052</v>
      </c>
      <c r="T173" s="95">
        <f t="shared" si="10"/>
        <v>0</v>
      </c>
    </row>
    <row r="174" spans="1:20" ht="24.75" customHeight="1" x14ac:dyDescent="0.3">
      <c r="A174" s="42" t="s">
        <v>340</v>
      </c>
      <c r="B174" s="110" t="s">
        <v>26</v>
      </c>
      <c r="C174" s="111">
        <f t="shared" si="11"/>
        <v>35</v>
      </c>
      <c r="D174" s="109">
        <v>15</v>
      </c>
      <c r="E174" s="109"/>
      <c r="F174" s="109"/>
      <c r="G174" s="109"/>
      <c r="H174" s="109"/>
      <c r="I174" s="109">
        <v>20</v>
      </c>
      <c r="J174" s="109"/>
      <c r="K174" s="112">
        <f t="shared" si="8"/>
        <v>29.67</v>
      </c>
      <c r="L174" s="39">
        <v>29.67</v>
      </c>
      <c r="M174" s="39"/>
      <c r="N174" s="39"/>
      <c r="O174" s="39"/>
      <c r="P174" s="39"/>
      <c r="Q174" s="39">
        <v>45.3</v>
      </c>
      <c r="R174" s="98">
        <f t="shared" si="9"/>
        <v>45.3</v>
      </c>
      <c r="S174" s="103">
        <f>R174/K174-1</f>
        <v>0.52679474216380173</v>
      </c>
      <c r="T174" s="95">
        <f t="shared" si="10"/>
        <v>0</v>
      </c>
    </row>
    <row r="175" spans="1:20" ht="24.75" customHeight="1" x14ac:dyDescent="0.3">
      <c r="A175" s="42" t="s">
        <v>29</v>
      </c>
      <c r="B175" s="110" t="s">
        <v>10</v>
      </c>
      <c r="C175" s="111">
        <f t="shared" si="11"/>
        <v>5</v>
      </c>
      <c r="D175" s="109"/>
      <c r="E175" s="109">
        <v>5</v>
      </c>
      <c r="F175" s="109"/>
      <c r="G175" s="109"/>
      <c r="H175" s="109"/>
      <c r="I175" s="109"/>
      <c r="J175" s="109"/>
      <c r="K175" s="112">
        <f t="shared" si="8"/>
        <v>245</v>
      </c>
      <c r="L175" s="39"/>
      <c r="M175" s="39">
        <v>245</v>
      </c>
      <c r="N175" s="39"/>
      <c r="O175" s="39"/>
      <c r="P175" s="39"/>
      <c r="Q175" s="39"/>
      <c r="R175" s="98">
        <f t="shared" si="9"/>
        <v>245</v>
      </c>
      <c r="S175" s="103"/>
      <c r="T175" s="95">
        <f t="shared" si="10"/>
        <v>0</v>
      </c>
    </row>
    <row r="176" spans="1:20" ht="24.75" customHeight="1" x14ac:dyDescent="0.3">
      <c r="A176" s="42" t="s">
        <v>341</v>
      </c>
      <c r="B176" s="110" t="s">
        <v>26</v>
      </c>
      <c r="C176" s="111">
        <f t="shared" si="11"/>
        <v>30</v>
      </c>
      <c r="D176" s="109"/>
      <c r="E176" s="109">
        <v>10</v>
      </c>
      <c r="F176" s="109"/>
      <c r="G176" s="109">
        <v>10</v>
      </c>
      <c r="H176" s="109">
        <v>10</v>
      </c>
      <c r="I176" s="109"/>
      <c r="J176" s="109"/>
      <c r="K176" s="112">
        <f t="shared" si="8"/>
        <v>24.466000000000001</v>
      </c>
      <c r="L176" s="39"/>
      <c r="M176" s="39">
        <v>24.47</v>
      </c>
      <c r="N176" s="39"/>
      <c r="O176" s="39">
        <v>24.466000000000001</v>
      </c>
      <c r="P176" s="39">
        <v>24.47</v>
      </c>
      <c r="Q176" s="39"/>
      <c r="R176" s="98">
        <f t="shared" si="9"/>
        <v>24.47</v>
      </c>
      <c r="S176" s="103"/>
      <c r="T176" s="95">
        <f t="shared" si="10"/>
        <v>0</v>
      </c>
    </row>
    <row r="177" spans="1:20" ht="24.75" customHeight="1" x14ac:dyDescent="0.3">
      <c r="A177" s="42" t="s">
        <v>342</v>
      </c>
      <c r="B177" s="110" t="s">
        <v>10</v>
      </c>
      <c r="C177" s="111">
        <f t="shared" si="11"/>
        <v>45</v>
      </c>
      <c r="D177" s="109"/>
      <c r="E177" s="109"/>
      <c r="F177" s="109"/>
      <c r="G177" s="109">
        <v>10</v>
      </c>
      <c r="H177" s="109">
        <v>10</v>
      </c>
      <c r="I177" s="109">
        <v>25</v>
      </c>
      <c r="J177" s="109"/>
      <c r="K177" s="112">
        <f t="shared" si="8"/>
        <v>22.43</v>
      </c>
      <c r="L177" s="39"/>
      <c r="M177" s="39"/>
      <c r="N177" s="39"/>
      <c r="O177" s="39">
        <v>25.66</v>
      </c>
      <c r="P177" s="39">
        <v>25.66</v>
      </c>
      <c r="Q177" s="39">
        <v>22.43</v>
      </c>
      <c r="R177" s="98">
        <f t="shared" si="9"/>
        <v>25.66</v>
      </c>
      <c r="S177" s="103">
        <f>R177/K177-1</f>
        <v>0.14400356665180558</v>
      </c>
      <c r="T177" s="95">
        <f t="shared" si="10"/>
        <v>0</v>
      </c>
    </row>
    <row r="178" spans="1:20" ht="24.75" customHeight="1" x14ac:dyDescent="0.3">
      <c r="A178" s="42" t="s">
        <v>310</v>
      </c>
      <c r="B178" s="110" t="s">
        <v>10</v>
      </c>
      <c r="C178" s="111">
        <f t="shared" si="11"/>
        <v>5</v>
      </c>
      <c r="D178" s="109">
        <v>5</v>
      </c>
      <c r="E178" s="109"/>
      <c r="F178" s="109"/>
      <c r="G178" s="109"/>
      <c r="H178" s="109"/>
      <c r="I178" s="109"/>
      <c r="J178" s="109"/>
      <c r="K178" s="112">
        <f t="shared" si="8"/>
        <v>43.34</v>
      </c>
      <c r="L178" s="39">
        <v>43.34</v>
      </c>
      <c r="M178" s="39"/>
      <c r="N178" s="39"/>
      <c r="O178" s="39"/>
      <c r="P178" s="39"/>
      <c r="Q178" s="39"/>
      <c r="R178" s="98">
        <f t="shared" si="9"/>
        <v>43.34</v>
      </c>
      <c r="S178" s="103"/>
      <c r="T178" s="95">
        <f t="shared" si="10"/>
        <v>0</v>
      </c>
    </row>
    <row r="179" spans="1:20" ht="24.75" customHeight="1" x14ac:dyDescent="0.3">
      <c r="A179" s="42" t="s">
        <v>343</v>
      </c>
      <c r="B179" s="110" t="s">
        <v>10</v>
      </c>
      <c r="C179" s="111">
        <f t="shared" si="11"/>
        <v>64</v>
      </c>
      <c r="D179" s="109">
        <v>6</v>
      </c>
      <c r="E179" s="109">
        <v>16</v>
      </c>
      <c r="F179" s="109"/>
      <c r="G179" s="109">
        <v>20</v>
      </c>
      <c r="H179" s="109">
        <v>20</v>
      </c>
      <c r="I179" s="109">
        <v>2</v>
      </c>
      <c r="J179" s="109"/>
      <c r="K179" s="112">
        <f t="shared" si="8"/>
        <v>29.8</v>
      </c>
      <c r="L179" s="39">
        <v>52.34</v>
      </c>
      <c r="M179" s="39">
        <v>108.3</v>
      </c>
      <c r="N179" s="39"/>
      <c r="O179" s="39">
        <v>61.33</v>
      </c>
      <c r="P179" s="39">
        <v>61.33</v>
      </c>
      <c r="Q179" s="39">
        <v>29.8</v>
      </c>
      <c r="R179" s="98">
        <f t="shared" si="9"/>
        <v>108.3</v>
      </c>
      <c r="S179" s="103">
        <f>R179/K179-1</f>
        <v>2.6342281879194629</v>
      </c>
      <c r="T179" s="95">
        <f t="shared" si="10"/>
        <v>1</v>
      </c>
    </row>
    <row r="180" spans="1:20" ht="24.75" customHeight="1" x14ac:dyDescent="0.3">
      <c r="A180" s="42" t="s">
        <v>344</v>
      </c>
      <c r="B180" s="110" t="s">
        <v>345</v>
      </c>
      <c r="C180" s="111">
        <f t="shared" si="11"/>
        <v>202</v>
      </c>
      <c r="D180" s="109"/>
      <c r="E180" s="109">
        <v>200</v>
      </c>
      <c r="F180" s="109"/>
      <c r="G180" s="109"/>
      <c r="H180" s="109"/>
      <c r="I180" s="109">
        <v>2</v>
      </c>
      <c r="J180" s="109"/>
      <c r="K180" s="112">
        <f t="shared" si="8"/>
        <v>275.60000000000002</v>
      </c>
      <c r="L180" s="39"/>
      <c r="M180" s="39">
        <v>275.60000000000002</v>
      </c>
      <c r="N180" s="39"/>
      <c r="O180" s="39"/>
      <c r="P180" s="39"/>
      <c r="Q180" s="39">
        <v>275.60000000000002</v>
      </c>
      <c r="R180" s="98">
        <f t="shared" si="9"/>
        <v>275.60000000000002</v>
      </c>
      <c r="S180" s="103"/>
      <c r="T180" s="95">
        <f t="shared" si="10"/>
        <v>0</v>
      </c>
    </row>
    <row r="181" spans="1:20" ht="24.75" customHeight="1" x14ac:dyDescent="0.3">
      <c r="A181" s="42" t="s">
        <v>346</v>
      </c>
      <c r="B181" s="110" t="s">
        <v>10</v>
      </c>
      <c r="C181" s="111">
        <f t="shared" si="11"/>
        <v>8</v>
      </c>
      <c r="D181" s="109">
        <v>8</v>
      </c>
      <c r="E181" s="109"/>
      <c r="F181" s="109"/>
      <c r="G181" s="109"/>
      <c r="H181" s="109"/>
      <c r="I181" s="109"/>
      <c r="J181" s="109"/>
      <c r="K181" s="112">
        <f t="shared" si="8"/>
        <v>98</v>
      </c>
      <c r="L181" s="39">
        <v>98</v>
      </c>
      <c r="M181" s="39"/>
      <c r="N181" s="39"/>
      <c r="O181" s="39"/>
      <c r="P181" s="39"/>
      <c r="Q181" s="39"/>
      <c r="R181" s="98">
        <f t="shared" si="9"/>
        <v>98</v>
      </c>
      <c r="S181" s="103"/>
      <c r="T181" s="95">
        <f t="shared" si="10"/>
        <v>0</v>
      </c>
    </row>
    <row r="182" spans="1:20" ht="24.75" customHeight="1" x14ac:dyDescent="0.3">
      <c r="A182" s="42" t="s">
        <v>347</v>
      </c>
      <c r="B182" s="110" t="s">
        <v>10</v>
      </c>
      <c r="C182" s="111">
        <f t="shared" si="11"/>
        <v>90</v>
      </c>
      <c r="D182" s="109"/>
      <c r="E182" s="109">
        <v>50</v>
      </c>
      <c r="F182" s="109"/>
      <c r="G182" s="109">
        <v>20</v>
      </c>
      <c r="H182" s="109">
        <v>20</v>
      </c>
      <c r="I182" s="109"/>
      <c r="J182" s="109"/>
      <c r="K182" s="112">
        <f t="shared" si="8"/>
        <v>201.83</v>
      </c>
      <c r="L182" s="39"/>
      <c r="M182" s="39">
        <v>201.83</v>
      </c>
      <c r="N182" s="39"/>
      <c r="O182" s="39">
        <v>201.83</v>
      </c>
      <c r="P182" s="39">
        <v>201.83</v>
      </c>
      <c r="Q182" s="39"/>
      <c r="R182" s="98">
        <f t="shared" si="9"/>
        <v>201.83</v>
      </c>
      <c r="S182" s="103"/>
      <c r="T182" s="95">
        <f t="shared" si="10"/>
        <v>0</v>
      </c>
    </row>
    <row r="183" spans="1:20" ht="24.75" customHeight="1" x14ac:dyDescent="0.3">
      <c r="A183" s="42" t="s">
        <v>348</v>
      </c>
      <c r="B183" s="110" t="s">
        <v>10</v>
      </c>
      <c r="C183" s="111">
        <f t="shared" si="11"/>
        <v>94</v>
      </c>
      <c r="D183" s="109"/>
      <c r="E183" s="109">
        <v>30</v>
      </c>
      <c r="F183" s="109"/>
      <c r="G183" s="109">
        <v>20</v>
      </c>
      <c r="H183" s="109">
        <v>20</v>
      </c>
      <c r="I183" s="109">
        <v>24</v>
      </c>
      <c r="J183" s="109"/>
      <c r="K183" s="112">
        <f t="shared" si="8"/>
        <v>62.13</v>
      </c>
      <c r="L183" s="39"/>
      <c r="M183" s="39">
        <v>62.13</v>
      </c>
      <c r="N183" s="39"/>
      <c r="O183" s="39">
        <v>62.133000000000003</v>
      </c>
      <c r="P183" s="39">
        <v>62.13</v>
      </c>
      <c r="Q183" s="39">
        <v>158.69999999999999</v>
      </c>
      <c r="R183" s="98">
        <f t="shared" si="9"/>
        <v>158.69999999999999</v>
      </c>
      <c r="S183" s="103">
        <f>R183/K183-1</f>
        <v>1.5543215837759532</v>
      </c>
      <c r="T183" s="95">
        <f t="shared" si="10"/>
        <v>1</v>
      </c>
    </row>
    <row r="184" spans="1:20" ht="24.75" customHeight="1" x14ac:dyDescent="0.3">
      <c r="A184" s="42" t="s">
        <v>349</v>
      </c>
      <c r="B184" s="110" t="s">
        <v>10</v>
      </c>
      <c r="C184" s="111">
        <f t="shared" si="11"/>
        <v>148</v>
      </c>
      <c r="D184" s="109"/>
      <c r="E184" s="109">
        <v>50</v>
      </c>
      <c r="F184" s="109"/>
      <c r="G184" s="109">
        <v>20</v>
      </c>
      <c r="H184" s="109">
        <v>20</v>
      </c>
      <c r="I184" s="109">
        <v>58</v>
      </c>
      <c r="J184" s="109"/>
      <c r="K184" s="112">
        <f t="shared" si="8"/>
        <v>13.2</v>
      </c>
      <c r="L184" s="39"/>
      <c r="M184" s="39">
        <v>17.93</v>
      </c>
      <c r="N184" s="39"/>
      <c r="O184" s="39">
        <v>17.93</v>
      </c>
      <c r="P184" s="39">
        <v>17.93</v>
      </c>
      <c r="Q184" s="39">
        <v>13.2</v>
      </c>
      <c r="R184" s="98">
        <f t="shared" si="9"/>
        <v>17.93</v>
      </c>
      <c r="S184" s="103">
        <f>R184/K184-1</f>
        <v>0.35833333333333339</v>
      </c>
      <c r="T184" s="95">
        <f t="shared" si="10"/>
        <v>0</v>
      </c>
    </row>
    <row r="185" spans="1:20" ht="24.75" customHeight="1" x14ac:dyDescent="0.3">
      <c r="A185" s="42" t="s">
        <v>350</v>
      </c>
      <c r="B185" s="110" t="s">
        <v>26</v>
      </c>
      <c r="C185" s="111">
        <f t="shared" si="11"/>
        <v>170</v>
      </c>
      <c r="D185" s="109">
        <v>20</v>
      </c>
      <c r="E185" s="109">
        <v>100</v>
      </c>
      <c r="F185" s="109"/>
      <c r="G185" s="109"/>
      <c r="H185" s="109"/>
      <c r="I185" s="109">
        <v>50</v>
      </c>
      <c r="J185" s="109"/>
      <c r="K185" s="112">
        <f t="shared" si="8"/>
        <v>8.98</v>
      </c>
      <c r="L185" s="39">
        <v>12.47</v>
      </c>
      <c r="M185" s="39">
        <v>8.98</v>
      </c>
      <c r="N185" s="39"/>
      <c r="O185" s="39"/>
      <c r="P185" s="39"/>
      <c r="Q185" s="39">
        <v>3151.5</v>
      </c>
      <c r="R185" s="98">
        <f t="shared" si="9"/>
        <v>3151.5</v>
      </c>
      <c r="S185" s="103">
        <f>R185/K185-1</f>
        <v>349.94654788418705</v>
      </c>
      <c r="T185" s="95">
        <f t="shared" si="10"/>
        <v>1</v>
      </c>
    </row>
    <row r="186" spans="1:20" ht="24.75" customHeight="1" x14ac:dyDescent="0.3">
      <c r="A186" s="42" t="s">
        <v>351</v>
      </c>
      <c r="B186" s="110" t="s">
        <v>10</v>
      </c>
      <c r="C186" s="111">
        <f t="shared" si="11"/>
        <v>20</v>
      </c>
      <c r="D186" s="109"/>
      <c r="E186" s="109"/>
      <c r="F186" s="109"/>
      <c r="G186" s="109"/>
      <c r="H186" s="109"/>
      <c r="I186" s="109">
        <v>20</v>
      </c>
      <c r="J186" s="109"/>
      <c r="K186" s="112">
        <f t="shared" ref="K186:K215" si="12">MIN(L186:Q186)</f>
        <v>93.8</v>
      </c>
      <c r="L186" s="39"/>
      <c r="M186" s="39"/>
      <c r="N186" s="39"/>
      <c r="O186" s="39"/>
      <c r="P186" s="39"/>
      <c r="Q186" s="39">
        <v>93.8</v>
      </c>
      <c r="R186" s="98">
        <f t="shared" ref="R186:R215" si="13">MAX(L186:Q186)</f>
        <v>93.8</v>
      </c>
      <c r="S186" s="103"/>
      <c r="T186" s="95">
        <f t="shared" ref="T186:T215" si="14">IF(S186&gt;1,1,0)</f>
        <v>0</v>
      </c>
    </row>
    <row r="187" spans="1:20" ht="24.75" customHeight="1" x14ac:dyDescent="0.3">
      <c r="A187" s="42" t="s">
        <v>352</v>
      </c>
      <c r="B187" s="110" t="s">
        <v>10</v>
      </c>
      <c r="C187" s="111">
        <f t="shared" ref="C187:C245" si="15">D187+E187+F187+G187+H187+I187</f>
        <v>10</v>
      </c>
      <c r="D187" s="109"/>
      <c r="E187" s="109"/>
      <c r="F187" s="109"/>
      <c r="G187" s="109"/>
      <c r="H187" s="109"/>
      <c r="I187" s="109">
        <v>10</v>
      </c>
      <c r="J187" s="109"/>
      <c r="K187" s="112">
        <f t="shared" si="12"/>
        <v>93</v>
      </c>
      <c r="L187" s="39"/>
      <c r="M187" s="39"/>
      <c r="N187" s="39"/>
      <c r="O187" s="39"/>
      <c r="P187" s="39"/>
      <c r="Q187" s="39">
        <v>93</v>
      </c>
      <c r="R187" s="98">
        <f t="shared" si="13"/>
        <v>93</v>
      </c>
      <c r="S187" s="103"/>
      <c r="T187" s="95">
        <f t="shared" si="14"/>
        <v>0</v>
      </c>
    </row>
    <row r="188" spans="1:20" ht="24.75" customHeight="1" x14ac:dyDescent="0.3">
      <c r="A188" s="42" t="s">
        <v>63</v>
      </c>
      <c r="B188" s="110" t="s">
        <v>10</v>
      </c>
      <c r="C188" s="111">
        <f t="shared" si="15"/>
        <v>20</v>
      </c>
      <c r="D188" s="109"/>
      <c r="E188" s="109"/>
      <c r="F188" s="109"/>
      <c r="G188" s="109"/>
      <c r="H188" s="109"/>
      <c r="I188" s="109">
        <v>20</v>
      </c>
      <c r="J188" s="109"/>
      <c r="K188" s="112">
        <f t="shared" si="12"/>
        <v>6845</v>
      </c>
      <c r="L188" s="39"/>
      <c r="M188" s="39"/>
      <c r="N188" s="39"/>
      <c r="O188" s="39"/>
      <c r="P188" s="39"/>
      <c r="Q188" s="39">
        <v>6845</v>
      </c>
      <c r="R188" s="98">
        <f t="shared" si="13"/>
        <v>6845</v>
      </c>
      <c r="S188" s="103"/>
      <c r="T188" s="95">
        <f t="shared" si="14"/>
        <v>0</v>
      </c>
    </row>
    <row r="189" spans="1:20" ht="24.75" customHeight="1" x14ac:dyDescent="0.3">
      <c r="A189" s="42" t="s">
        <v>353</v>
      </c>
      <c r="B189" s="110" t="s">
        <v>10</v>
      </c>
      <c r="C189" s="111">
        <f t="shared" si="15"/>
        <v>90</v>
      </c>
      <c r="D189" s="109">
        <v>80</v>
      </c>
      <c r="E189" s="109"/>
      <c r="F189" s="109"/>
      <c r="G189" s="109"/>
      <c r="H189" s="109">
        <v>10</v>
      </c>
      <c r="I189" s="109"/>
      <c r="J189" s="109"/>
      <c r="K189" s="112">
        <f t="shared" si="12"/>
        <v>4120</v>
      </c>
      <c r="L189" s="39">
        <v>5613.34</v>
      </c>
      <c r="M189" s="39"/>
      <c r="N189" s="39"/>
      <c r="O189" s="39"/>
      <c r="P189" s="39">
        <v>4120</v>
      </c>
      <c r="Q189" s="39"/>
      <c r="R189" s="98">
        <f t="shared" si="13"/>
        <v>5613.34</v>
      </c>
      <c r="S189" s="103">
        <f>R189/K189-1</f>
        <v>0.36246116504854364</v>
      </c>
      <c r="T189" s="95">
        <f t="shared" si="14"/>
        <v>0</v>
      </c>
    </row>
    <row r="190" spans="1:20" ht="24.75" customHeight="1" x14ac:dyDescent="0.3">
      <c r="A190" s="42" t="s">
        <v>354</v>
      </c>
      <c r="B190" s="110" t="s">
        <v>10</v>
      </c>
      <c r="C190" s="111">
        <f t="shared" si="15"/>
        <v>1</v>
      </c>
      <c r="D190" s="109"/>
      <c r="E190" s="109"/>
      <c r="F190" s="109"/>
      <c r="G190" s="109"/>
      <c r="H190" s="109">
        <v>1</v>
      </c>
      <c r="I190" s="109"/>
      <c r="J190" s="109"/>
      <c r="K190" s="112">
        <f t="shared" si="12"/>
        <v>1274.67</v>
      </c>
      <c r="L190" s="39"/>
      <c r="M190" s="39"/>
      <c r="N190" s="39"/>
      <c r="O190" s="39"/>
      <c r="P190" s="39">
        <v>1274.67</v>
      </c>
      <c r="Q190" s="39"/>
      <c r="R190" s="98">
        <f t="shared" si="13"/>
        <v>1274.67</v>
      </c>
      <c r="S190" s="103"/>
      <c r="T190" s="95">
        <f t="shared" si="14"/>
        <v>0</v>
      </c>
    </row>
    <row r="191" spans="1:20" ht="24.75" customHeight="1" x14ac:dyDescent="0.3">
      <c r="A191" s="42" t="s">
        <v>355</v>
      </c>
      <c r="B191" s="110" t="s">
        <v>10</v>
      </c>
      <c r="C191" s="111">
        <f t="shared" si="15"/>
        <v>2</v>
      </c>
      <c r="D191" s="109"/>
      <c r="E191" s="109"/>
      <c r="F191" s="109"/>
      <c r="G191" s="109"/>
      <c r="H191" s="109"/>
      <c r="I191" s="109">
        <v>2</v>
      </c>
      <c r="J191" s="109"/>
      <c r="K191" s="112">
        <f t="shared" si="12"/>
        <v>3978</v>
      </c>
      <c r="L191" s="39"/>
      <c r="M191" s="39"/>
      <c r="N191" s="39"/>
      <c r="O191" s="39"/>
      <c r="P191" s="39"/>
      <c r="Q191" s="39">
        <v>3978</v>
      </c>
      <c r="R191" s="98">
        <f t="shared" si="13"/>
        <v>3978</v>
      </c>
      <c r="S191" s="103"/>
      <c r="T191" s="95">
        <f t="shared" si="14"/>
        <v>0</v>
      </c>
    </row>
    <row r="192" spans="1:20" ht="24.75" customHeight="1" x14ac:dyDescent="0.3">
      <c r="A192" s="42" t="s">
        <v>356</v>
      </c>
      <c r="B192" s="110" t="s">
        <v>10</v>
      </c>
      <c r="C192" s="111">
        <f t="shared" si="15"/>
        <v>12</v>
      </c>
      <c r="D192" s="109"/>
      <c r="E192" s="109"/>
      <c r="F192" s="109"/>
      <c r="G192" s="109"/>
      <c r="H192" s="109"/>
      <c r="I192" s="109">
        <v>12</v>
      </c>
      <c r="J192" s="109"/>
      <c r="K192" s="112">
        <f t="shared" si="12"/>
        <v>870</v>
      </c>
      <c r="L192" s="39"/>
      <c r="M192" s="39"/>
      <c r="N192" s="39"/>
      <c r="O192" s="39"/>
      <c r="P192" s="39"/>
      <c r="Q192" s="39">
        <v>870</v>
      </c>
      <c r="R192" s="98">
        <f t="shared" si="13"/>
        <v>870</v>
      </c>
      <c r="S192" s="103"/>
      <c r="T192" s="95">
        <f t="shared" si="14"/>
        <v>0</v>
      </c>
    </row>
    <row r="193" spans="1:20" ht="24.75" customHeight="1" x14ac:dyDescent="0.3">
      <c r="A193" s="42" t="s">
        <v>403</v>
      </c>
      <c r="B193" s="110" t="s">
        <v>10</v>
      </c>
      <c r="C193" s="111">
        <f>D193+E193+F193+G193+H193+I193</f>
        <v>20</v>
      </c>
      <c r="D193" s="109">
        <v>20</v>
      </c>
      <c r="E193" s="109"/>
      <c r="F193" s="109"/>
      <c r="G193" s="109"/>
      <c r="H193" s="109"/>
      <c r="I193" s="109"/>
      <c r="J193" s="109"/>
      <c r="K193" s="112">
        <f t="shared" si="12"/>
        <v>851.34</v>
      </c>
      <c r="L193" s="39">
        <v>851.34</v>
      </c>
      <c r="M193" s="39"/>
      <c r="N193" s="39"/>
      <c r="O193" s="39"/>
      <c r="P193" s="39"/>
      <c r="Q193" s="39"/>
      <c r="R193" s="98">
        <f t="shared" si="13"/>
        <v>851.34</v>
      </c>
      <c r="S193" s="103"/>
      <c r="T193" s="95">
        <f t="shared" si="14"/>
        <v>0</v>
      </c>
    </row>
    <row r="194" spans="1:20" ht="24.75" customHeight="1" x14ac:dyDescent="0.3">
      <c r="A194" s="42" t="s">
        <v>134</v>
      </c>
      <c r="B194" s="110" t="s">
        <v>10</v>
      </c>
      <c r="C194" s="111">
        <f t="shared" si="15"/>
        <v>3</v>
      </c>
      <c r="D194" s="109">
        <v>3</v>
      </c>
      <c r="E194" s="109"/>
      <c r="F194" s="109"/>
      <c r="G194" s="109"/>
      <c r="H194" s="109"/>
      <c r="I194" s="109"/>
      <c r="J194" s="109"/>
      <c r="K194" s="112">
        <f t="shared" si="12"/>
        <v>8696.67</v>
      </c>
      <c r="L194" s="39">
        <v>8696.67</v>
      </c>
      <c r="M194" s="39"/>
      <c r="N194" s="39"/>
      <c r="O194" s="39"/>
      <c r="P194" s="39"/>
      <c r="Q194" s="39"/>
      <c r="R194" s="98">
        <f t="shared" si="13"/>
        <v>8696.67</v>
      </c>
      <c r="S194" s="103"/>
      <c r="T194" s="95">
        <f t="shared" si="14"/>
        <v>0</v>
      </c>
    </row>
    <row r="195" spans="1:20" ht="24.75" customHeight="1" x14ac:dyDescent="0.3">
      <c r="A195" s="42" t="s">
        <v>13</v>
      </c>
      <c r="B195" s="110" t="s">
        <v>10</v>
      </c>
      <c r="C195" s="111">
        <f t="shared" si="15"/>
        <v>10</v>
      </c>
      <c r="D195" s="109">
        <v>10</v>
      </c>
      <c r="E195" s="109"/>
      <c r="F195" s="109"/>
      <c r="G195" s="109"/>
      <c r="H195" s="109"/>
      <c r="I195" s="109"/>
      <c r="J195" s="109"/>
      <c r="K195" s="112">
        <f t="shared" si="12"/>
        <v>1830</v>
      </c>
      <c r="L195" s="39">
        <v>1830</v>
      </c>
      <c r="M195" s="39"/>
      <c r="N195" s="39"/>
      <c r="O195" s="39"/>
      <c r="P195" s="39"/>
      <c r="Q195" s="39"/>
      <c r="R195" s="98">
        <f t="shared" si="13"/>
        <v>1830</v>
      </c>
      <c r="S195" s="103"/>
      <c r="T195" s="95">
        <f t="shared" si="14"/>
        <v>0</v>
      </c>
    </row>
    <row r="196" spans="1:20" ht="24.75" customHeight="1" x14ac:dyDescent="0.3">
      <c r="A196" s="42" t="s">
        <v>357</v>
      </c>
      <c r="B196" s="110" t="s">
        <v>10</v>
      </c>
      <c r="C196" s="111">
        <f t="shared" si="15"/>
        <v>20</v>
      </c>
      <c r="D196" s="109">
        <v>20</v>
      </c>
      <c r="E196" s="109"/>
      <c r="F196" s="109"/>
      <c r="G196" s="109"/>
      <c r="H196" s="109"/>
      <c r="I196" s="109"/>
      <c r="J196" s="109"/>
      <c r="K196" s="112">
        <f t="shared" si="12"/>
        <v>9230</v>
      </c>
      <c r="L196" s="39">
        <v>9230</v>
      </c>
      <c r="M196" s="39"/>
      <c r="N196" s="39"/>
      <c r="O196" s="39"/>
      <c r="P196" s="39"/>
      <c r="Q196" s="39"/>
      <c r="R196" s="98">
        <f t="shared" si="13"/>
        <v>9230</v>
      </c>
      <c r="S196" s="103"/>
      <c r="T196" s="95">
        <f t="shared" si="14"/>
        <v>0</v>
      </c>
    </row>
    <row r="197" spans="1:20" ht="24.75" customHeight="1" x14ac:dyDescent="0.3">
      <c r="A197" s="42" t="s">
        <v>358</v>
      </c>
      <c r="B197" s="110" t="s">
        <v>10</v>
      </c>
      <c r="C197" s="111">
        <f t="shared" si="15"/>
        <v>6</v>
      </c>
      <c r="D197" s="109">
        <v>6</v>
      </c>
      <c r="E197" s="109"/>
      <c r="F197" s="109"/>
      <c r="G197" s="109"/>
      <c r="H197" s="109"/>
      <c r="I197" s="109"/>
      <c r="J197" s="109"/>
      <c r="K197" s="112">
        <f t="shared" si="12"/>
        <v>7546.67</v>
      </c>
      <c r="L197" s="39">
        <v>7546.67</v>
      </c>
      <c r="M197" s="39"/>
      <c r="N197" s="39"/>
      <c r="O197" s="39"/>
      <c r="P197" s="39"/>
      <c r="Q197" s="39"/>
      <c r="R197" s="98">
        <f t="shared" si="13"/>
        <v>7546.67</v>
      </c>
      <c r="S197" s="103"/>
      <c r="T197" s="95">
        <f t="shared" si="14"/>
        <v>0</v>
      </c>
    </row>
    <row r="198" spans="1:20" ht="24.75" customHeight="1" x14ac:dyDescent="0.3">
      <c r="A198" s="42" t="s">
        <v>359</v>
      </c>
      <c r="B198" s="110" t="s">
        <v>10</v>
      </c>
      <c r="C198" s="111">
        <f t="shared" si="15"/>
        <v>17</v>
      </c>
      <c r="D198" s="109"/>
      <c r="E198" s="109"/>
      <c r="F198" s="109"/>
      <c r="G198" s="109"/>
      <c r="H198" s="109">
        <v>2</v>
      </c>
      <c r="I198" s="109">
        <v>15</v>
      </c>
      <c r="J198" s="109"/>
      <c r="K198" s="112">
        <f t="shared" si="12"/>
        <v>2116.67</v>
      </c>
      <c r="L198" s="39"/>
      <c r="M198" s="39"/>
      <c r="N198" s="39"/>
      <c r="O198" s="39"/>
      <c r="P198" s="39">
        <v>2116.67</v>
      </c>
      <c r="Q198" s="39">
        <v>6530</v>
      </c>
      <c r="R198" s="98">
        <f t="shared" si="13"/>
        <v>6530</v>
      </c>
      <c r="S198" s="103">
        <f>R198/K198-1</f>
        <v>2.0850345117566742</v>
      </c>
      <c r="T198" s="95">
        <f t="shared" si="14"/>
        <v>1</v>
      </c>
    </row>
    <row r="199" spans="1:20" ht="24.75" customHeight="1" x14ac:dyDescent="0.3">
      <c r="A199" s="42" t="s">
        <v>360</v>
      </c>
      <c r="B199" s="110" t="s">
        <v>10</v>
      </c>
      <c r="C199" s="111">
        <f t="shared" si="15"/>
        <v>60</v>
      </c>
      <c r="D199" s="109"/>
      <c r="E199" s="109"/>
      <c r="F199" s="109"/>
      <c r="G199" s="109"/>
      <c r="H199" s="109"/>
      <c r="I199" s="109">
        <v>60</v>
      </c>
      <c r="J199" s="109"/>
      <c r="K199" s="112">
        <f t="shared" si="12"/>
        <v>2768</v>
      </c>
      <c r="L199" s="39"/>
      <c r="M199" s="39"/>
      <c r="N199" s="39"/>
      <c r="O199" s="39"/>
      <c r="P199" s="39"/>
      <c r="Q199" s="39">
        <v>2768</v>
      </c>
      <c r="R199" s="98">
        <f t="shared" si="13"/>
        <v>2768</v>
      </c>
      <c r="S199" s="103"/>
      <c r="T199" s="95">
        <f t="shared" si="14"/>
        <v>0</v>
      </c>
    </row>
    <row r="200" spans="1:20" ht="24.75" customHeight="1" x14ac:dyDescent="0.3">
      <c r="A200" s="42" t="s">
        <v>361</v>
      </c>
      <c r="B200" s="110" t="s">
        <v>10</v>
      </c>
      <c r="C200" s="111">
        <f t="shared" si="15"/>
        <v>2</v>
      </c>
      <c r="D200" s="109"/>
      <c r="E200" s="109"/>
      <c r="F200" s="109"/>
      <c r="G200" s="109"/>
      <c r="H200" s="109">
        <v>2</v>
      </c>
      <c r="I200" s="109"/>
      <c r="J200" s="109"/>
      <c r="K200" s="112">
        <f t="shared" si="12"/>
        <v>13118.67</v>
      </c>
      <c r="L200" s="39"/>
      <c r="M200" s="39"/>
      <c r="N200" s="39"/>
      <c r="O200" s="39"/>
      <c r="P200" s="39">
        <v>13118.67</v>
      </c>
      <c r="Q200" s="39"/>
      <c r="R200" s="98">
        <f t="shared" si="13"/>
        <v>13118.67</v>
      </c>
      <c r="S200" s="103"/>
      <c r="T200" s="95">
        <f t="shared" si="14"/>
        <v>0</v>
      </c>
    </row>
    <row r="201" spans="1:20" ht="24.75" customHeight="1" x14ac:dyDescent="0.3">
      <c r="A201" s="42" t="s">
        <v>362</v>
      </c>
      <c r="B201" s="110" t="s">
        <v>10</v>
      </c>
      <c r="C201" s="111">
        <f t="shared" si="15"/>
        <v>90</v>
      </c>
      <c r="D201" s="109"/>
      <c r="E201" s="109"/>
      <c r="F201" s="109"/>
      <c r="G201" s="109"/>
      <c r="H201" s="109"/>
      <c r="I201" s="109">
        <v>90</v>
      </c>
      <c r="J201" s="109"/>
      <c r="K201" s="112">
        <f t="shared" si="12"/>
        <v>1222</v>
      </c>
      <c r="L201" s="39"/>
      <c r="M201" s="39"/>
      <c r="N201" s="39"/>
      <c r="O201" s="39"/>
      <c r="P201" s="39"/>
      <c r="Q201" s="39">
        <v>1222</v>
      </c>
      <c r="R201" s="98">
        <f t="shared" si="13"/>
        <v>1222</v>
      </c>
      <c r="S201" s="103"/>
      <c r="T201" s="95">
        <f t="shared" si="14"/>
        <v>0</v>
      </c>
    </row>
    <row r="202" spans="1:20" ht="24.75" customHeight="1" x14ac:dyDescent="0.3">
      <c r="A202" s="42" t="s">
        <v>363</v>
      </c>
      <c r="B202" s="110" t="s">
        <v>10</v>
      </c>
      <c r="C202" s="111">
        <f t="shared" si="15"/>
        <v>45</v>
      </c>
      <c r="D202" s="109"/>
      <c r="E202" s="109"/>
      <c r="F202" s="109"/>
      <c r="G202" s="109"/>
      <c r="H202" s="109">
        <v>30</v>
      </c>
      <c r="I202" s="109">
        <v>15</v>
      </c>
      <c r="J202" s="109"/>
      <c r="K202" s="112">
        <f t="shared" si="12"/>
        <v>2782.5</v>
      </c>
      <c r="L202" s="39"/>
      <c r="M202" s="39"/>
      <c r="N202" s="39"/>
      <c r="O202" s="39"/>
      <c r="P202" s="39">
        <v>2782.5</v>
      </c>
      <c r="Q202" s="39">
        <v>3841.8</v>
      </c>
      <c r="R202" s="98">
        <f t="shared" si="13"/>
        <v>3841.8</v>
      </c>
      <c r="S202" s="103">
        <f>R202/K202-1</f>
        <v>0.38070080862533695</v>
      </c>
      <c r="T202" s="95">
        <f t="shared" si="14"/>
        <v>0</v>
      </c>
    </row>
    <row r="203" spans="1:20" ht="24.75" customHeight="1" x14ac:dyDescent="0.3">
      <c r="A203" s="42" t="s">
        <v>364</v>
      </c>
      <c r="B203" s="110" t="s">
        <v>10</v>
      </c>
      <c r="C203" s="111">
        <f t="shared" si="15"/>
        <v>20</v>
      </c>
      <c r="D203" s="109"/>
      <c r="E203" s="109"/>
      <c r="F203" s="109"/>
      <c r="G203" s="109"/>
      <c r="H203" s="109"/>
      <c r="I203" s="109">
        <v>20</v>
      </c>
      <c r="J203" s="109"/>
      <c r="K203" s="112">
        <f t="shared" si="12"/>
        <v>2249</v>
      </c>
      <c r="L203" s="39"/>
      <c r="M203" s="39"/>
      <c r="N203" s="39"/>
      <c r="O203" s="39"/>
      <c r="P203" s="39"/>
      <c r="Q203" s="39">
        <v>2249</v>
      </c>
      <c r="R203" s="98">
        <f t="shared" si="13"/>
        <v>2249</v>
      </c>
      <c r="S203" s="103"/>
      <c r="T203" s="95">
        <f t="shared" si="14"/>
        <v>0</v>
      </c>
    </row>
    <row r="204" spans="1:20" ht="24.75" customHeight="1" x14ac:dyDescent="0.3">
      <c r="A204" s="42" t="s">
        <v>365</v>
      </c>
      <c r="B204" s="110" t="s">
        <v>10</v>
      </c>
      <c r="C204" s="111">
        <f t="shared" si="15"/>
        <v>4</v>
      </c>
      <c r="D204" s="109"/>
      <c r="E204" s="109"/>
      <c r="F204" s="109"/>
      <c r="G204" s="109"/>
      <c r="H204" s="109"/>
      <c r="I204" s="109">
        <v>4</v>
      </c>
      <c r="J204" s="109"/>
      <c r="K204" s="112">
        <f t="shared" si="12"/>
        <v>12866.67</v>
      </c>
      <c r="L204" s="39"/>
      <c r="M204" s="39"/>
      <c r="N204" s="39"/>
      <c r="O204" s="39"/>
      <c r="P204" s="39"/>
      <c r="Q204" s="39">
        <v>12866.67</v>
      </c>
      <c r="R204" s="98">
        <f t="shared" si="13"/>
        <v>12866.67</v>
      </c>
      <c r="S204" s="103"/>
      <c r="T204" s="95">
        <f t="shared" si="14"/>
        <v>0</v>
      </c>
    </row>
    <row r="205" spans="1:20" ht="24.75" customHeight="1" x14ac:dyDescent="0.3">
      <c r="A205" s="42" t="s">
        <v>366</v>
      </c>
      <c r="B205" s="110" t="s">
        <v>10</v>
      </c>
      <c r="C205" s="111">
        <f t="shared" si="15"/>
        <v>1</v>
      </c>
      <c r="D205" s="109">
        <v>1</v>
      </c>
      <c r="E205" s="109"/>
      <c r="F205" s="109"/>
      <c r="G205" s="109"/>
      <c r="H205" s="109"/>
      <c r="I205" s="109"/>
      <c r="J205" s="109"/>
      <c r="K205" s="112">
        <f t="shared" si="12"/>
        <v>12600</v>
      </c>
      <c r="L205" s="39">
        <v>12600</v>
      </c>
      <c r="M205" s="39"/>
      <c r="N205" s="39"/>
      <c r="O205" s="39"/>
      <c r="P205" s="39"/>
      <c r="Q205" s="39"/>
      <c r="R205" s="98">
        <f t="shared" si="13"/>
        <v>12600</v>
      </c>
      <c r="S205" s="103"/>
      <c r="T205" s="95">
        <f t="shared" si="14"/>
        <v>0</v>
      </c>
    </row>
    <row r="206" spans="1:20" ht="24.75" customHeight="1" x14ac:dyDescent="0.3">
      <c r="A206" s="42" t="s">
        <v>367</v>
      </c>
      <c r="B206" s="110" t="s">
        <v>10</v>
      </c>
      <c r="C206" s="111">
        <f t="shared" si="15"/>
        <v>1</v>
      </c>
      <c r="D206" s="109">
        <v>1</v>
      </c>
      <c r="E206" s="109"/>
      <c r="F206" s="109"/>
      <c r="G206" s="109"/>
      <c r="H206" s="109"/>
      <c r="I206" s="109"/>
      <c r="J206" s="109"/>
      <c r="K206" s="112">
        <f t="shared" si="12"/>
        <v>9483.34</v>
      </c>
      <c r="L206" s="39">
        <v>9483.34</v>
      </c>
      <c r="M206" s="39"/>
      <c r="N206" s="39"/>
      <c r="O206" s="39"/>
      <c r="P206" s="39"/>
      <c r="Q206" s="39"/>
      <c r="R206" s="98">
        <f t="shared" si="13"/>
        <v>9483.34</v>
      </c>
      <c r="S206" s="103"/>
      <c r="T206" s="95">
        <f t="shared" si="14"/>
        <v>0</v>
      </c>
    </row>
    <row r="207" spans="1:20" ht="24.75" customHeight="1" x14ac:dyDescent="0.3">
      <c r="A207" s="42" t="s">
        <v>368</v>
      </c>
      <c r="B207" s="110" t="s">
        <v>10</v>
      </c>
      <c r="C207" s="111">
        <f t="shared" si="15"/>
        <v>1</v>
      </c>
      <c r="D207" s="109">
        <v>1</v>
      </c>
      <c r="E207" s="109"/>
      <c r="F207" s="109"/>
      <c r="G207" s="109"/>
      <c r="H207" s="109"/>
      <c r="I207" s="109"/>
      <c r="J207" s="109"/>
      <c r="K207" s="112">
        <f t="shared" si="12"/>
        <v>6900</v>
      </c>
      <c r="L207" s="39">
        <v>6900</v>
      </c>
      <c r="M207" s="39"/>
      <c r="N207" s="39"/>
      <c r="O207" s="39"/>
      <c r="P207" s="39"/>
      <c r="Q207" s="39"/>
      <c r="R207" s="98">
        <f t="shared" si="13"/>
        <v>6900</v>
      </c>
      <c r="S207" s="103"/>
      <c r="T207" s="95">
        <f t="shared" si="14"/>
        <v>0</v>
      </c>
    </row>
    <row r="208" spans="1:20" ht="24.75" customHeight="1" x14ac:dyDescent="0.3">
      <c r="A208" s="42" t="s">
        <v>369</v>
      </c>
      <c r="B208" s="110" t="s">
        <v>10</v>
      </c>
      <c r="C208" s="111">
        <f t="shared" si="15"/>
        <v>10</v>
      </c>
      <c r="D208" s="109">
        <v>10</v>
      </c>
      <c r="E208" s="109"/>
      <c r="F208" s="109"/>
      <c r="G208" s="109"/>
      <c r="H208" s="109"/>
      <c r="I208" s="109"/>
      <c r="J208" s="109"/>
      <c r="K208" s="112">
        <f t="shared" si="12"/>
        <v>843.34</v>
      </c>
      <c r="L208" s="39">
        <v>843.34</v>
      </c>
      <c r="M208" s="39"/>
      <c r="N208" s="39"/>
      <c r="O208" s="39"/>
      <c r="P208" s="39"/>
      <c r="Q208" s="39"/>
      <c r="R208" s="98">
        <f t="shared" si="13"/>
        <v>843.34</v>
      </c>
      <c r="S208" s="103"/>
      <c r="T208" s="95">
        <f t="shared" si="14"/>
        <v>0</v>
      </c>
    </row>
    <row r="209" spans="1:20" ht="24.75" customHeight="1" x14ac:dyDescent="0.3">
      <c r="A209" s="42" t="s">
        <v>370</v>
      </c>
      <c r="B209" s="110" t="s">
        <v>10</v>
      </c>
      <c r="C209" s="111">
        <f t="shared" si="15"/>
        <v>10</v>
      </c>
      <c r="D209" s="109"/>
      <c r="E209" s="109">
        <v>10</v>
      </c>
      <c r="F209" s="109"/>
      <c r="G209" s="109"/>
      <c r="H209" s="109"/>
      <c r="I209" s="109"/>
      <c r="J209" s="109"/>
      <c r="K209" s="112">
        <f t="shared" si="12"/>
        <v>68.13</v>
      </c>
      <c r="L209" s="39"/>
      <c r="M209" s="39">
        <v>68.13</v>
      </c>
      <c r="N209" s="39"/>
      <c r="O209" s="39"/>
      <c r="P209" s="39"/>
      <c r="Q209" s="39"/>
      <c r="R209" s="98">
        <f t="shared" si="13"/>
        <v>68.13</v>
      </c>
      <c r="S209" s="103"/>
      <c r="T209" s="95">
        <f t="shared" si="14"/>
        <v>0</v>
      </c>
    </row>
    <row r="210" spans="1:20" ht="24.75" customHeight="1" x14ac:dyDescent="0.3">
      <c r="A210" s="42" t="s">
        <v>371</v>
      </c>
      <c r="B210" s="110" t="s">
        <v>10</v>
      </c>
      <c r="C210" s="111">
        <f t="shared" si="15"/>
        <v>5</v>
      </c>
      <c r="D210" s="109"/>
      <c r="E210" s="109">
        <v>5</v>
      </c>
      <c r="F210" s="109"/>
      <c r="G210" s="109"/>
      <c r="H210" s="109"/>
      <c r="I210" s="109"/>
      <c r="J210" s="109"/>
      <c r="K210" s="112">
        <f t="shared" si="12"/>
        <v>99.09</v>
      </c>
      <c r="L210" s="39"/>
      <c r="M210" s="39">
        <v>99.09</v>
      </c>
      <c r="N210" s="39"/>
      <c r="O210" s="39"/>
      <c r="P210" s="39"/>
      <c r="Q210" s="39"/>
      <c r="R210" s="98">
        <f t="shared" si="13"/>
        <v>99.09</v>
      </c>
      <c r="S210" s="103"/>
      <c r="T210" s="95">
        <f t="shared" si="14"/>
        <v>0</v>
      </c>
    </row>
    <row r="211" spans="1:20" ht="24.75" customHeight="1" x14ac:dyDescent="0.3">
      <c r="A211" s="42" t="s">
        <v>372</v>
      </c>
      <c r="B211" s="110" t="s">
        <v>10</v>
      </c>
      <c r="C211" s="111">
        <f t="shared" si="15"/>
        <v>15</v>
      </c>
      <c r="D211" s="109">
        <v>15</v>
      </c>
      <c r="E211" s="109"/>
      <c r="F211" s="109"/>
      <c r="G211" s="109"/>
      <c r="H211" s="109"/>
      <c r="I211" s="109"/>
      <c r="J211" s="109"/>
      <c r="K211" s="112">
        <f t="shared" si="12"/>
        <v>283.33999999999997</v>
      </c>
      <c r="L211" s="39">
        <v>283.33999999999997</v>
      </c>
      <c r="M211" s="39"/>
      <c r="N211" s="39"/>
      <c r="O211" s="39"/>
      <c r="P211" s="39"/>
      <c r="Q211" s="39"/>
      <c r="R211" s="98">
        <f t="shared" si="13"/>
        <v>283.33999999999997</v>
      </c>
      <c r="S211" s="103"/>
      <c r="T211" s="95">
        <f t="shared" si="14"/>
        <v>0</v>
      </c>
    </row>
    <row r="212" spans="1:20" ht="24.75" customHeight="1" x14ac:dyDescent="0.3">
      <c r="A212" s="42" t="s">
        <v>373</v>
      </c>
      <c r="B212" s="110" t="s">
        <v>10</v>
      </c>
      <c r="C212" s="111">
        <f t="shared" si="15"/>
        <v>10</v>
      </c>
      <c r="D212" s="109">
        <v>10</v>
      </c>
      <c r="E212" s="109"/>
      <c r="F212" s="109"/>
      <c r="G212" s="109"/>
      <c r="H212" s="109"/>
      <c r="I212" s="109"/>
      <c r="J212" s="109"/>
      <c r="K212" s="112">
        <f t="shared" si="12"/>
        <v>483.34</v>
      </c>
      <c r="L212" s="39">
        <v>483.34</v>
      </c>
      <c r="M212" s="39"/>
      <c r="N212" s="39"/>
      <c r="O212" s="39"/>
      <c r="P212" s="39"/>
      <c r="Q212" s="39"/>
      <c r="R212" s="98">
        <f t="shared" si="13"/>
        <v>483.34</v>
      </c>
      <c r="S212" s="103"/>
      <c r="T212" s="95">
        <f t="shared" si="14"/>
        <v>0</v>
      </c>
    </row>
    <row r="213" spans="1:20" ht="24.75" customHeight="1" x14ac:dyDescent="0.3">
      <c r="A213" s="42" t="s">
        <v>374</v>
      </c>
      <c r="B213" s="110" t="s">
        <v>10</v>
      </c>
      <c r="C213" s="111">
        <f t="shared" si="15"/>
        <v>15</v>
      </c>
      <c r="D213" s="109">
        <v>15</v>
      </c>
      <c r="E213" s="109"/>
      <c r="F213" s="109"/>
      <c r="G213" s="109"/>
      <c r="H213" s="109"/>
      <c r="I213" s="109"/>
      <c r="J213" s="109"/>
      <c r="K213" s="112">
        <f t="shared" si="12"/>
        <v>233.34</v>
      </c>
      <c r="L213" s="39">
        <v>233.34</v>
      </c>
      <c r="M213" s="39"/>
      <c r="N213" s="39"/>
      <c r="O213" s="39"/>
      <c r="P213" s="39"/>
      <c r="Q213" s="39"/>
      <c r="R213" s="98">
        <f t="shared" si="13"/>
        <v>233.34</v>
      </c>
      <c r="S213" s="103"/>
      <c r="T213" s="95">
        <f t="shared" si="14"/>
        <v>0</v>
      </c>
    </row>
    <row r="214" spans="1:20" ht="24.75" customHeight="1" x14ac:dyDescent="0.3">
      <c r="A214" s="42" t="s">
        <v>375</v>
      </c>
      <c r="B214" s="110" t="s">
        <v>10</v>
      </c>
      <c r="C214" s="111">
        <f t="shared" si="15"/>
        <v>10</v>
      </c>
      <c r="D214" s="109">
        <v>10</v>
      </c>
      <c r="E214" s="109"/>
      <c r="F214" s="109"/>
      <c r="G214" s="109"/>
      <c r="H214" s="109"/>
      <c r="I214" s="109"/>
      <c r="J214" s="109"/>
      <c r="K214" s="112">
        <f t="shared" si="12"/>
        <v>230</v>
      </c>
      <c r="L214" s="39">
        <v>230</v>
      </c>
      <c r="M214" s="39"/>
      <c r="N214" s="39"/>
      <c r="O214" s="39"/>
      <c r="P214" s="39"/>
      <c r="Q214" s="39"/>
      <c r="R214" s="98">
        <f t="shared" si="13"/>
        <v>230</v>
      </c>
      <c r="S214" s="103"/>
      <c r="T214" s="95">
        <f t="shared" si="14"/>
        <v>0</v>
      </c>
    </row>
    <row r="215" spans="1:20" ht="24.75" customHeight="1" x14ac:dyDescent="0.3">
      <c r="A215" s="42" t="s">
        <v>376</v>
      </c>
      <c r="B215" s="110" t="s">
        <v>10</v>
      </c>
      <c r="C215" s="111">
        <f t="shared" si="15"/>
        <v>10</v>
      </c>
      <c r="D215" s="109">
        <v>10</v>
      </c>
      <c r="E215" s="109"/>
      <c r="F215" s="109"/>
      <c r="G215" s="109"/>
      <c r="H215" s="109"/>
      <c r="I215" s="109"/>
      <c r="J215" s="109"/>
      <c r="K215" s="112">
        <f t="shared" si="12"/>
        <v>1846.67</v>
      </c>
      <c r="L215" s="39">
        <v>1846.67</v>
      </c>
      <c r="M215" s="39"/>
      <c r="N215" s="39"/>
      <c r="O215" s="39"/>
      <c r="P215" s="39"/>
      <c r="Q215" s="39"/>
      <c r="R215" s="98">
        <f t="shared" si="13"/>
        <v>1846.67</v>
      </c>
      <c r="S215" s="103"/>
      <c r="T215" s="95">
        <f t="shared" si="14"/>
        <v>0</v>
      </c>
    </row>
    <row r="216" spans="1:20" ht="24.75" customHeight="1" x14ac:dyDescent="0.3">
      <c r="A216" s="42" t="s">
        <v>377</v>
      </c>
      <c r="B216" s="110" t="s">
        <v>10</v>
      </c>
      <c r="C216" s="111">
        <f t="shared" si="15"/>
        <v>50</v>
      </c>
      <c r="D216" s="109">
        <v>10</v>
      </c>
      <c r="E216" s="109"/>
      <c r="F216" s="109"/>
      <c r="G216" s="109"/>
      <c r="H216" s="109">
        <v>20</v>
      </c>
      <c r="I216" s="109">
        <v>20</v>
      </c>
      <c r="J216" s="109"/>
      <c r="K216" s="112">
        <f t="shared" ref="K216:K253" si="16">MIN(L216:Q216)</f>
        <v>125.89</v>
      </c>
      <c r="L216" s="39">
        <v>153.66999999999999</v>
      </c>
      <c r="M216" s="39"/>
      <c r="N216" s="39"/>
      <c r="O216" s="39"/>
      <c r="P216" s="39">
        <v>125.89</v>
      </c>
      <c r="Q216" s="39">
        <v>212.7</v>
      </c>
      <c r="R216" s="98">
        <f t="shared" ref="R216:R253" si="17">MAX(L216:Q216)</f>
        <v>212.7</v>
      </c>
      <c r="S216" s="103">
        <f>R216/K216-1</f>
        <v>0.68957025975057573</v>
      </c>
      <c r="T216" s="95">
        <f t="shared" ref="T216:T253" si="18">IF(S216&gt;1,1,0)</f>
        <v>0</v>
      </c>
    </row>
    <row r="217" spans="1:20" ht="24.75" customHeight="1" x14ac:dyDescent="0.3">
      <c r="A217" s="42" t="s">
        <v>378</v>
      </c>
      <c r="B217" s="110" t="s">
        <v>10</v>
      </c>
      <c r="C217" s="111">
        <f t="shared" si="15"/>
        <v>15</v>
      </c>
      <c r="D217" s="109">
        <v>15</v>
      </c>
      <c r="E217" s="109"/>
      <c r="F217" s="109"/>
      <c r="G217" s="109"/>
      <c r="H217" s="109"/>
      <c r="I217" s="109"/>
      <c r="J217" s="109"/>
      <c r="K217" s="112">
        <f t="shared" si="16"/>
        <v>232</v>
      </c>
      <c r="L217" s="39">
        <v>232</v>
      </c>
      <c r="M217" s="39"/>
      <c r="N217" s="39"/>
      <c r="O217" s="39"/>
      <c r="P217" s="39"/>
      <c r="Q217" s="39"/>
      <c r="R217" s="98">
        <f t="shared" si="17"/>
        <v>232</v>
      </c>
      <c r="S217" s="103"/>
      <c r="T217" s="95">
        <f t="shared" si="18"/>
        <v>0</v>
      </c>
    </row>
    <row r="218" spans="1:20" ht="24.75" customHeight="1" x14ac:dyDescent="0.3">
      <c r="A218" s="42" t="s">
        <v>24</v>
      </c>
      <c r="B218" s="110" t="s">
        <v>10</v>
      </c>
      <c r="C218" s="111">
        <f t="shared" si="15"/>
        <v>40</v>
      </c>
      <c r="D218" s="109">
        <v>15</v>
      </c>
      <c r="E218" s="109"/>
      <c r="F218" s="109"/>
      <c r="G218" s="109"/>
      <c r="H218" s="109"/>
      <c r="I218" s="109">
        <v>25</v>
      </c>
      <c r="J218" s="109"/>
      <c r="K218" s="112">
        <f t="shared" si="16"/>
        <v>57.67</v>
      </c>
      <c r="L218" s="39">
        <v>57.67</v>
      </c>
      <c r="M218" s="39"/>
      <c r="N218" s="39"/>
      <c r="O218" s="39"/>
      <c r="P218" s="39"/>
      <c r="Q218" s="39">
        <v>170.1</v>
      </c>
      <c r="R218" s="98">
        <f t="shared" si="17"/>
        <v>170.1</v>
      </c>
      <c r="S218" s="103">
        <f>R218/K218-1</f>
        <v>1.9495404889890757</v>
      </c>
      <c r="T218" s="95">
        <f t="shared" si="18"/>
        <v>1</v>
      </c>
    </row>
    <row r="219" spans="1:20" ht="24.75" customHeight="1" x14ac:dyDescent="0.3">
      <c r="A219" s="42" t="s">
        <v>379</v>
      </c>
      <c r="B219" s="110" t="s">
        <v>10</v>
      </c>
      <c r="C219" s="111">
        <f t="shared" si="15"/>
        <v>15</v>
      </c>
      <c r="D219" s="109">
        <v>15</v>
      </c>
      <c r="E219" s="109"/>
      <c r="F219" s="109"/>
      <c r="G219" s="109"/>
      <c r="H219" s="109"/>
      <c r="I219" s="109"/>
      <c r="J219" s="109"/>
      <c r="K219" s="112">
        <f t="shared" si="16"/>
        <v>1066.67</v>
      </c>
      <c r="L219" s="39">
        <v>1066.67</v>
      </c>
      <c r="M219" s="39"/>
      <c r="N219" s="39"/>
      <c r="O219" s="39"/>
      <c r="P219" s="39"/>
      <c r="Q219" s="39"/>
      <c r="R219" s="98">
        <f t="shared" si="17"/>
        <v>1066.67</v>
      </c>
      <c r="S219" s="103"/>
      <c r="T219" s="95">
        <f t="shared" si="18"/>
        <v>0</v>
      </c>
    </row>
    <row r="220" spans="1:20" ht="24.75" customHeight="1" x14ac:dyDescent="0.3">
      <c r="A220" s="42" t="s">
        <v>380</v>
      </c>
      <c r="B220" s="110" t="s">
        <v>10</v>
      </c>
      <c r="C220" s="111">
        <f t="shared" si="15"/>
        <v>5</v>
      </c>
      <c r="D220" s="109">
        <v>5</v>
      </c>
      <c r="E220" s="109"/>
      <c r="F220" s="109"/>
      <c r="G220" s="109"/>
      <c r="H220" s="109"/>
      <c r="I220" s="109"/>
      <c r="J220" s="109"/>
      <c r="K220" s="112">
        <f t="shared" si="16"/>
        <v>838.34</v>
      </c>
      <c r="L220" s="39">
        <v>838.34</v>
      </c>
      <c r="M220" s="39"/>
      <c r="N220" s="39"/>
      <c r="O220" s="39"/>
      <c r="P220" s="39"/>
      <c r="Q220" s="39"/>
      <c r="R220" s="98">
        <f t="shared" si="17"/>
        <v>838.34</v>
      </c>
      <c r="S220" s="103"/>
      <c r="T220" s="95">
        <f t="shared" si="18"/>
        <v>0</v>
      </c>
    </row>
    <row r="221" spans="1:20" ht="24.75" customHeight="1" x14ac:dyDescent="0.3">
      <c r="A221" s="42" t="s">
        <v>381</v>
      </c>
      <c r="B221" s="110" t="s">
        <v>10</v>
      </c>
      <c r="C221" s="111">
        <f t="shared" si="15"/>
        <v>5</v>
      </c>
      <c r="D221" s="109">
        <v>5</v>
      </c>
      <c r="E221" s="109"/>
      <c r="F221" s="109"/>
      <c r="G221" s="109"/>
      <c r="H221" s="109"/>
      <c r="I221" s="109"/>
      <c r="J221" s="109"/>
      <c r="K221" s="112">
        <f t="shared" si="16"/>
        <v>49.34</v>
      </c>
      <c r="L221" s="39">
        <v>49.34</v>
      </c>
      <c r="M221" s="39"/>
      <c r="N221" s="39"/>
      <c r="O221" s="39"/>
      <c r="P221" s="39"/>
      <c r="Q221" s="39"/>
      <c r="R221" s="98">
        <f t="shared" si="17"/>
        <v>49.34</v>
      </c>
      <c r="S221" s="103"/>
      <c r="T221" s="95">
        <f t="shared" si="18"/>
        <v>0</v>
      </c>
    </row>
    <row r="222" spans="1:20" ht="24.75" customHeight="1" x14ac:dyDescent="0.3">
      <c r="A222" s="42" t="s">
        <v>382</v>
      </c>
      <c r="B222" s="110" t="s">
        <v>10</v>
      </c>
      <c r="C222" s="111">
        <f t="shared" si="15"/>
        <v>9</v>
      </c>
      <c r="D222" s="109">
        <v>5</v>
      </c>
      <c r="E222" s="109"/>
      <c r="F222" s="109"/>
      <c r="G222" s="109"/>
      <c r="H222" s="109"/>
      <c r="I222" s="109">
        <v>4</v>
      </c>
      <c r="J222" s="109"/>
      <c r="K222" s="112">
        <f t="shared" si="16"/>
        <v>504.34</v>
      </c>
      <c r="L222" s="39">
        <v>504.34</v>
      </c>
      <c r="M222" s="39"/>
      <c r="N222" s="39"/>
      <c r="O222" s="39"/>
      <c r="P222" s="39"/>
      <c r="Q222" s="39">
        <v>850</v>
      </c>
      <c r="R222" s="98">
        <f t="shared" si="17"/>
        <v>850</v>
      </c>
      <c r="S222" s="103">
        <f>R222/K222-1</f>
        <v>0.68537097989451579</v>
      </c>
      <c r="T222" s="95">
        <f t="shared" si="18"/>
        <v>0</v>
      </c>
    </row>
    <row r="223" spans="1:20" ht="24.75" customHeight="1" x14ac:dyDescent="0.3">
      <c r="A223" s="42" t="s">
        <v>383</v>
      </c>
      <c r="B223" s="110" t="s">
        <v>10</v>
      </c>
      <c r="C223" s="111">
        <f t="shared" si="15"/>
        <v>20</v>
      </c>
      <c r="D223" s="109">
        <v>10</v>
      </c>
      <c r="E223" s="109"/>
      <c r="F223" s="109"/>
      <c r="G223" s="109"/>
      <c r="H223" s="109"/>
      <c r="I223" s="109">
        <v>10</v>
      </c>
      <c r="J223" s="109"/>
      <c r="K223" s="112">
        <f t="shared" si="16"/>
        <v>212.7</v>
      </c>
      <c r="L223" s="39">
        <v>532.34</v>
      </c>
      <c r="M223" s="39"/>
      <c r="N223" s="39"/>
      <c r="O223" s="39"/>
      <c r="P223" s="39"/>
      <c r="Q223" s="39">
        <v>212.7</v>
      </c>
      <c r="R223" s="98">
        <f t="shared" si="17"/>
        <v>532.34</v>
      </c>
      <c r="S223" s="103">
        <f>R223/K223-1</f>
        <v>1.5027738598965681</v>
      </c>
      <c r="T223" s="95">
        <f t="shared" si="18"/>
        <v>1</v>
      </c>
    </row>
    <row r="224" spans="1:20" ht="24.75" customHeight="1" x14ac:dyDescent="0.3">
      <c r="A224" s="42" t="s">
        <v>384</v>
      </c>
      <c r="B224" s="110" t="s">
        <v>10</v>
      </c>
      <c r="C224" s="111">
        <f t="shared" si="15"/>
        <v>10</v>
      </c>
      <c r="D224" s="109">
        <v>10</v>
      </c>
      <c r="E224" s="109"/>
      <c r="F224" s="109"/>
      <c r="G224" s="109"/>
      <c r="H224" s="109"/>
      <c r="I224" s="109"/>
      <c r="J224" s="109"/>
      <c r="K224" s="112">
        <f t="shared" si="16"/>
        <v>532.34</v>
      </c>
      <c r="L224" s="39">
        <v>532.34</v>
      </c>
      <c r="M224" s="39"/>
      <c r="N224" s="39"/>
      <c r="O224" s="39"/>
      <c r="P224" s="39"/>
      <c r="Q224" s="39"/>
      <c r="R224" s="98">
        <f t="shared" si="17"/>
        <v>532.34</v>
      </c>
      <c r="S224" s="103"/>
      <c r="T224" s="95">
        <f t="shared" si="18"/>
        <v>0</v>
      </c>
    </row>
    <row r="225" spans="1:20" ht="24.75" customHeight="1" x14ac:dyDescent="0.3">
      <c r="A225" s="42" t="s">
        <v>385</v>
      </c>
      <c r="B225" s="110" t="s">
        <v>10</v>
      </c>
      <c r="C225" s="111">
        <f t="shared" si="15"/>
        <v>100</v>
      </c>
      <c r="D225" s="109"/>
      <c r="E225" s="109"/>
      <c r="F225" s="109"/>
      <c r="G225" s="109"/>
      <c r="H225" s="109"/>
      <c r="I225" s="109">
        <v>100</v>
      </c>
      <c r="J225" s="109"/>
      <c r="K225" s="112">
        <f t="shared" si="16"/>
        <v>28.7</v>
      </c>
      <c r="L225" s="39"/>
      <c r="M225" s="39"/>
      <c r="N225" s="39"/>
      <c r="O225" s="39"/>
      <c r="P225" s="39"/>
      <c r="Q225" s="39">
        <v>28.7</v>
      </c>
      <c r="R225" s="98">
        <f t="shared" si="17"/>
        <v>28.7</v>
      </c>
      <c r="S225" s="103"/>
      <c r="T225" s="95">
        <f t="shared" si="18"/>
        <v>0</v>
      </c>
    </row>
    <row r="226" spans="1:20" ht="24.75" customHeight="1" x14ac:dyDescent="0.3">
      <c r="A226" s="42" t="s">
        <v>386</v>
      </c>
      <c r="B226" s="110" t="s">
        <v>10</v>
      </c>
      <c r="C226" s="111">
        <f t="shared" si="15"/>
        <v>24</v>
      </c>
      <c r="D226" s="109"/>
      <c r="E226" s="109"/>
      <c r="F226" s="109"/>
      <c r="G226" s="109"/>
      <c r="H226" s="109"/>
      <c r="I226" s="109">
        <v>24</v>
      </c>
      <c r="J226" s="109"/>
      <c r="K226" s="112">
        <f t="shared" si="16"/>
        <v>159.5</v>
      </c>
      <c r="L226" s="39"/>
      <c r="M226" s="39"/>
      <c r="N226" s="39"/>
      <c r="O226" s="39"/>
      <c r="P226" s="39"/>
      <c r="Q226" s="39">
        <v>159.5</v>
      </c>
      <c r="R226" s="98">
        <f t="shared" si="17"/>
        <v>159.5</v>
      </c>
      <c r="S226" s="103"/>
      <c r="T226" s="95">
        <f t="shared" si="18"/>
        <v>0</v>
      </c>
    </row>
    <row r="227" spans="1:20" ht="24.75" customHeight="1" x14ac:dyDescent="0.3">
      <c r="A227" s="42" t="s">
        <v>387</v>
      </c>
      <c r="B227" s="110" t="s">
        <v>10</v>
      </c>
      <c r="C227" s="111">
        <f t="shared" si="15"/>
        <v>12</v>
      </c>
      <c r="D227" s="109"/>
      <c r="E227" s="109"/>
      <c r="F227" s="109"/>
      <c r="G227" s="109"/>
      <c r="H227" s="109"/>
      <c r="I227" s="109">
        <v>12</v>
      </c>
      <c r="J227" s="109"/>
      <c r="K227" s="112">
        <f t="shared" si="16"/>
        <v>307.39999999999998</v>
      </c>
      <c r="L227" s="39"/>
      <c r="M227" s="39"/>
      <c r="N227" s="39"/>
      <c r="O227" s="39"/>
      <c r="P227" s="39"/>
      <c r="Q227" s="39">
        <v>307.39999999999998</v>
      </c>
      <c r="R227" s="98">
        <f t="shared" si="17"/>
        <v>307.39999999999998</v>
      </c>
      <c r="S227" s="103"/>
      <c r="T227" s="95">
        <f t="shared" si="18"/>
        <v>0</v>
      </c>
    </row>
    <row r="228" spans="1:20" ht="24.75" customHeight="1" x14ac:dyDescent="0.3">
      <c r="A228" s="42" t="s">
        <v>388</v>
      </c>
      <c r="B228" s="110" t="s">
        <v>10</v>
      </c>
      <c r="C228" s="111">
        <f t="shared" si="15"/>
        <v>50</v>
      </c>
      <c r="D228" s="109">
        <v>50</v>
      </c>
      <c r="E228" s="109"/>
      <c r="F228" s="109"/>
      <c r="G228" s="109"/>
      <c r="H228" s="109"/>
      <c r="I228" s="109"/>
      <c r="J228" s="109"/>
      <c r="K228" s="112">
        <f t="shared" si="16"/>
        <v>18</v>
      </c>
      <c r="L228" s="39">
        <v>18</v>
      </c>
      <c r="M228" s="39"/>
      <c r="N228" s="39"/>
      <c r="O228" s="39"/>
      <c r="P228" s="39"/>
      <c r="Q228" s="39"/>
      <c r="R228" s="98">
        <f t="shared" si="17"/>
        <v>18</v>
      </c>
      <c r="S228" s="103"/>
      <c r="T228" s="95">
        <f t="shared" si="18"/>
        <v>0</v>
      </c>
    </row>
    <row r="229" spans="1:20" ht="24.75" customHeight="1" x14ac:dyDescent="0.3">
      <c r="A229" s="42" t="s">
        <v>389</v>
      </c>
      <c r="B229" s="110" t="s">
        <v>390</v>
      </c>
      <c r="C229" s="111">
        <f t="shared" si="15"/>
        <v>110</v>
      </c>
      <c r="D229" s="109"/>
      <c r="E229" s="109"/>
      <c r="F229" s="109"/>
      <c r="G229" s="109"/>
      <c r="H229" s="109"/>
      <c r="I229" s="109">
        <v>110</v>
      </c>
      <c r="J229" s="109"/>
      <c r="K229" s="112">
        <f t="shared" si="16"/>
        <v>63.6</v>
      </c>
      <c r="L229" s="39"/>
      <c r="M229" s="39"/>
      <c r="N229" s="39"/>
      <c r="O229" s="39"/>
      <c r="P229" s="39"/>
      <c r="Q229" s="39">
        <v>63.6</v>
      </c>
      <c r="R229" s="98">
        <f t="shared" si="17"/>
        <v>63.6</v>
      </c>
      <c r="S229" s="103"/>
      <c r="T229" s="95">
        <f t="shared" si="18"/>
        <v>0</v>
      </c>
    </row>
    <row r="230" spans="1:20" ht="24.75" customHeight="1" x14ac:dyDescent="0.3">
      <c r="A230" s="42" t="s">
        <v>391</v>
      </c>
      <c r="B230" s="110" t="s">
        <v>390</v>
      </c>
      <c r="C230" s="111">
        <f t="shared" si="15"/>
        <v>15</v>
      </c>
      <c r="D230" s="109"/>
      <c r="E230" s="109"/>
      <c r="F230" s="109"/>
      <c r="G230" s="109"/>
      <c r="H230" s="109"/>
      <c r="I230" s="109">
        <v>15</v>
      </c>
      <c r="J230" s="109"/>
      <c r="K230" s="112">
        <f t="shared" si="16"/>
        <v>85</v>
      </c>
      <c r="L230" s="39"/>
      <c r="M230" s="39"/>
      <c r="N230" s="39"/>
      <c r="O230" s="39"/>
      <c r="P230" s="39"/>
      <c r="Q230" s="39">
        <v>85</v>
      </c>
      <c r="R230" s="98">
        <f t="shared" si="17"/>
        <v>85</v>
      </c>
      <c r="S230" s="103"/>
      <c r="T230" s="95">
        <f t="shared" si="18"/>
        <v>0</v>
      </c>
    </row>
    <row r="231" spans="1:20" ht="24.75" customHeight="1" x14ac:dyDescent="0.3">
      <c r="A231" s="42" t="s">
        <v>392</v>
      </c>
      <c r="B231" s="110" t="s">
        <v>30</v>
      </c>
      <c r="C231" s="111">
        <f t="shared" si="15"/>
        <v>100</v>
      </c>
      <c r="D231" s="109">
        <v>100</v>
      </c>
      <c r="E231" s="109"/>
      <c r="F231" s="109"/>
      <c r="G231" s="109"/>
      <c r="H231" s="109"/>
      <c r="I231" s="109"/>
      <c r="J231" s="109"/>
      <c r="K231" s="112">
        <f t="shared" si="16"/>
        <v>60.67</v>
      </c>
      <c r="L231" s="39">
        <v>60.67</v>
      </c>
      <c r="M231" s="39"/>
      <c r="N231" s="39"/>
      <c r="O231" s="39"/>
      <c r="P231" s="39"/>
      <c r="Q231" s="39"/>
      <c r="R231" s="98">
        <f t="shared" si="17"/>
        <v>60.67</v>
      </c>
      <c r="S231" s="103"/>
      <c r="T231" s="95">
        <f t="shared" si="18"/>
        <v>0</v>
      </c>
    </row>
    <row r="232" spans="1:20" ht="24.75" customHeight="1" x14ac:dyDescent="0.3">
      <c r="A232" s="42" t="s">
        <v>393</v>
      </c>
      <c r="B232" s="110" t="s">
        <v>30</v>
      </c>
      <c r="C232" s="111" t="e">
        <f t="shared" si="15"/>
        <v>#VALUE!</v>
      </c>
      <c r="D232" s="109"/>
      <c r="E232" s="109"/>
      <c r="F232" s="109"/>
      <c r="G232" s="109"/>
      <c r="H232" s="109"/>
      <c r="I232" s="109" t="s">
        <v>305</v>
      </c>
      <c r="J232" s="109"/>
      <c r="K232" s="112">
        <f t="shared" si="16"/>
        <v>0</v>
      </c>
      <c r="L232" s="39"/>
      <c r="M232" s="39"/>
      <c r="N232" s="39"/>
      <c r="O232" s="39"/>
      <c r="P232" s="39"/>
      <c r="Q232" s="39"/>
      <c r="R232" s="98">
        <f t="shared" si="17"/>
        <v>0</v>
      </c>
      <c r="S232" s="103"/>
      <c r="T232" s="95">
        <f t="shared" si="18"/>
        <v>0</v>
      </c>
    </row>
    <row r="233" spans="1:20" ht="24.75" customHeight="1" x14ac:dyDescent="0.3">
      <c r="A233" s="42" t="s">
        <v>394</v>
      </c>
      <c r="B233" s="110" t="s">
        <v>30</v>
      </c>
      <c r="C233" s="111">
        <f t="shared" si="15"/>
        <v>252</v>
      </c>
      <c r="D233" s="109">
        <v>100</v>
      </c>
      <c r="E233" s="109"/>
      <c r="F233" s="109"/>
      <c r="G233" s="109"/>
      <c r="H233" s="109">
        <v>20</v>
      </c>
      <c r="I233" s="109">
        <v>132</v>
      </c>
      <c r="J233" s="109"/>
      <c r="K233" s="112">
        <f t="shared" si="16"/>
        <v>31.34</v>
      </c>
      <c r="L233" s="39">
        <v>31.34</v>
      </c>
      <c r="M233" s="39"/>
      <c r="N233" s="39"/>
      <c r="O233" s="39"/>
      <c r="P233" s="39">
        <v>44.9</v>
      </c>
      <c r="Q233" s="39">
        <v>63.6</v>
      </c>
      <c r="R233" s="98">
        <f t="shared" si="17"/>
        <v>63.6</v>
      </c>
      <c r="S233" s="103">
        <f>R233/K233-1</f>
        <v>1.0293554562858969</v>
      </c>
      <c r="T233" s="95">
        <f t="shared" si="18"/>
        <v>1</v>
      </c>
    </row>
    <row r="234" spans="1:20" ht="24.75" customHeight="1" x14ac:dyDescent="0.3">
      <c r="A234" s="42" t="s">
        <v>395</v>
      </c>
      <c r="B234" s="110" t="s">
        <v>10</v>
      </c>
      <c r="C234" s="111">
        <f t="shared" si="15"/>
        <v>50</v>
      </c>
      <c r="D234" s="109">
        <v>50</v>
      </c>
      <c r="E234" s="109"/>
      <c r="F234" s="109"/>
      <c r="G234" s="109"/>
      <c r="H234" s="109"/>
      <c r="I234" s="109"/>
      <c r="J234" s="109"/>
      <c r="K234" s="112">
        <f t="shared" si="16"/>
        <v>110.67</v>
      </c>
      <c r="L234" s="39">
        <v>110.67</v>
      </c>
      <c r="M234" s="39"/>
      <c r="N234" s="39"/>
      <c r="O234" s="39"/>
      <c r="P234" s="39"/>
      <c r="Q234" s="39"/>
      <c r="R234" s="98">
        <f t="shared" si="17"/>
        <v>110.67</v>
      </c>
      <c r="S234" s="103"/>
      <c r="T234" s="95">
        <f t="shared" si="18"/>
        <v>0</v>
      </c>
    </row>
    <row r="235" spans="1:20" ht="24.75" customHeight="1" x14ac:dyDescent="0.3">
      <c r="A235" s="42" t="s">
        <v>396</v>
      </c>
      <c r="B235" s="110" t="s">
        <v>46</v>
      </c>
      <c r="C235" s="111">
        <f t="shared" si="15"/>
        <v>50</v>
      </c>
      <c r="D235" s="109"/>
      <c r="E235" s="109"/>
      <c r="F235" s="109"/>
      <c r="G235" s="109"/>
      <c r="H235" s="109"/>
      <c r="I235" s="109">
        <v>50</v>
      </c>
      <c r="J235" s="109"/>
      <c r="K235" s="112">
        <f t="shared" si="16"/>
        <v>74.2</v>
      </c>
      <c r="L235" s="39"/>
      <c r="M235" s="39"/>
      <c r="N235" s="39"/>
      <c r="O235" s="39"/>
      <c r="P235" s="39"/>
      <c r="Q235" s="39">
        <v>74.2</v>
      </c>
      <c r="R235" s="98">
        <f t="shared" si="17"/>
        <v>74.2</v>
      </c>
      <c r="S235" s="103"/>
      <c r="T235" s="95">
        <f t="shared" si="18"/>
        <v>0</v>
      </c>
    </row>
    <row r="236" spans="1:20" ht="24.75" customHeight="1" x14ac:dyDescent="0.3">
      <c r="A236" s="42" t="s">
        <v>397</v>
      </c>
      <c r="B236" s="110" t="s">
        <v>10</v>
      </c>
      <c r="C236" s="111">
        <f t="shared" si="15"/>
        <v>80</v>
      </c>
      <c r="D236" s="109">
        <v>50</v>
      </c>
      <c r="E236" s="109"/>
      <c r="F236" s="109"/>
      <c r="G236" s="109"/>
      <c r="H236" s="109">
        <v>30</v>
      </c>
      <c r="I236" s="109"/>
      <c r="J236" s="109"/>
      <c r="K236" s="112">
        <f t="shared" si="16"/>
        <v>86.4</v>
      </c>
      <c r="L236" s="39">
        <v>126.34</v>
      </c>
      <c r="M236" s="39"/>
      <c r="N236" s="39"/>
      <c r="O236" s="39"/>
      <c r="P236" s="39">
        <v>86.4</v>
      </c>
      <c r="Q236" s="39"/>
      <c r="R236" s="98">
        <f t="shared" si="17"/>
        <v>126.34</v>
      </c>
      <c r="S236" s="103">
        <f>R236/K236-1</f>
        <v>0.46226851851851847</v>
      </c>
      <c r="T236" s="95">
        <f t="shared" si="18"/>
        <v>0</v>
      </c>
    </row>
    <row r="237" spans="1:20" ht="24.75" customHeight="1" x14ac:dyDescent="0.3">
      <c r="A237" s="42" t="s">
        <v>398</v>
      </c>
      <c r="B237" s="110" t="s">
        <v>10</v>
      </c>
      <c r="C237" s="111">
        <f t="shared" si="15"/>
        <v>30</v>
      </c>
      <c r="D237" s="109">
        <v>30</v>
      </c>
      <c r="E237" s="109"/>
      <c r="F237" s="109"/>
      <c r="G237" s="109"/>
      <c r="H237" s="109"/>
      <c r="I237" s="109"/>
      <c r="J237" s="109"/>
      <c r="K237" s="112">
        <f t="shared" si="16"/>
        <v>131.66999999999999</v>
      </c>
      <c r="L237" s="39">
        <v>131.66999999999999</v>
      </c>
      <c r="M237" s="39"/>
      <c r="N237" s="39"/>
      <c r="O237" s="39"/>
      <c r="P237" s="39"/>
      <c r="Q237" s="39"/>
      <c r="R237" s="98">
        <f t="shared" si="17"/>
        <v>131.66999999999999</v>
      </c>
      <c r="S237" s="103"/>
      <c r="T237" s="95">
        <f t="shared" si="18"/>
        <v>0</v>
      </c>
    </row>
    <row r="238" spans="1:20" ht="24.75" customHeight="1" x14ac:dyDescent="0.3">
      <c r="A238" s="42" t="s">
        <v>399</v>
      </c>
      <c r="B238" s="110" t="s">
        <v>10</v>
      </c>
      <c r="C238" s="111">
        <f t="shared" si="15"/>
        <v>30</v>
      </c>
      <c r="D238" s="109"/>
      <c r="E238" s="109"/>
      <c r="F238" s="109"/>
      <c r="G238" s="109"/>
      <c r="H238" s="109">
        <v>30</v>
      </c>
      <c r="I238" s="109"/>
      <c r="J238" s="109"/>
      <c r="K238" s="112">
        <f t="shared" si="16"/>
        <v>64.84</v>
      </c>
      <c r="L238" s="39"/>
      <c r="M238" s="39"/>
      <c r="N238" s="39"/>
      <c r="O238" s="39"/>
      <c r="P238" s="39">
        <v>64.84</v>
      </c>
      <c r="Q238" s="39"/>
      <c r="R238" s="98">
        <f t="shared" si="17"/>
        <v>64.84</v>
      </c>
      <c r="S238" s="103"/>
      <c r="T238" s="95">
        <f t="shared" si="18"/>
        <v>0</v>
      </c>
    </row>
    <row r="239" spans="1:20" ht="24.75" customHeight="1" x14ac:dyDescent="0.3">
      <c r="A239" s="42" t="s">
        <v>400</v>
      </c>
      <c r="B239" s="110" t="s">
        <v>10</v>
      </c>
      <c r="C239" s="111">
        <f t="shared" si="15"/>
        <v>15</v>
      </c>
      <c r="D239" s="109">
        <v>15</v>
      </c>
      <c r="E239" s="109"/>
      <c r="F239" s="109"/>
      <c r="G239" s="109"/>
      <c r="H239" s="109"/>
      <c r="I239" s="109"/>
      <c r="J239" s="109"/>
      <c r="K239" s="112">
        <f t="shared" si="16"/>
        <v>792</v>
      </c>
      <c r="L239" s="39">
        <v>792</v>
      </c>
      <c r="M239" s="39"/>
      <c r="N239" s="39"/>
      <c r="O239" s="39"/>
      <c r="P239" s="39"/>
      <c r="Q239" s="39"/>
      <c r="R239" s="98">
        <f t="shared" si="17"/>
        <v>792</v>
      </c>
      <c r="S239" s="103"/>
      <c r="T239" s="95">
        <f t="shared" si="18"/>
        <v>0</v>
      </c>
    </row>
    <row r="240" spans="1:20" ht="24.75" customHeight="1" x14ac:dyDescent="0.3">
      <c r="A240" s="42" t="s">
        <v>401</v>
      </c>
      <c r="B240" s="110" t="s">
        <v>10</v>
      </c>
      <c r="C240" s="111">
        <f t="shared" si="15"/>
        <v>30</v>
      </c>
      <c r="D240" s="109">
        <v>30</v>
      </c>
      <c r="E240" s="109"/>
      <c r="F240" s="109"/>
      <c r="G240" s="109"/>
      <c r="H240" s="109"/>
      <c r="I240" s="109"/>
      <c r="J240" s="109"/>
      <c r="K240" s="112">
        <f t="shared" si="16"/>
        <v>1513.34</v>
      </c>
      <c r="L240" s="39">
        <v>1513.34</v>
      </c>
      <c r="M240" s="39"/>
      <c r="N240" s="39"/>
      <c r="O240" s="39"/>
      <c r="P240" s="39"/>
      <c r="Q240" s="39"/>
      <c r="R240" s="98">
        <f t="shared" si="17"/>
        <v>1513.34</v>
      </c>
      <c r="S240" s="103"/>
      <c r="T240" s="95">
        <f t="shared" si="18"/>
        <v>0</v>
      </c>
    </row>
    <row r="241" spans="1:20" ht="24.75" customHeight="1" x14ac:dyDescent="0.3">
      <c r="A241" s="42" t="s">
        <v>402</v>
      </c>
      <c r="B241" s="110" t="s">
        <v>10</v>
      </c>
      <c r="C241" s="111">
        <f t="shared" si="15"/>
        <v>20</v>
      </c>
      <c r="D241" s="109">
        <v>20</v>
      </c>
      <c r="E241" s="109"/>
      <c r="F241" s="109"/>
      <c r="G241" s="109"/>
      <c r="H241" s="109"/>
      <c r="I241" s="109"/>
      <c r="J241" s="109"/>
      <c r="K241" s="112">
        <f t="shared" si="16"/>
        <v>689.67</v>
      </c>
      <c r="L241" s="39">
        <v>689.67</v>
      </c>
      <c r="M241" s="39"/>
      <c r="N241" s="39"/>
      <c r="O241" s="39"/>
      <c r="P241" s="39"/>
      <c r="Q241" s="39"/>
      <c r="R241" s="98">
        <f t="shared" si="17"/>
        <v>689.67</v>
      </c>
      <c r="S241" s="103"/>
      <c r="T241" s="95">
        <f t="shared" si="18"/>
        <v>0</v>
      </c>
    </row>
    <row r="242" spans="1:20" ht="24.75" customHeight="1" x14ac:dyDescent="0.3">
      <c r="A242" s="42" t="s">
        <v>404</v>
      </c>
      <c r="B242" s="110" t="s">
        <v>10</v>
      </c>
      <c r="C242" s="111">
        <f t="shared" si="15"/>
        <v>5</v>
      </c>
      <c r="D242" s="109"/>
      <c r="E242" s="109"/>
      <c r="F242" s="109"/>
      <c r="G242" s="109"/>
      <c r="H242" s="109">
        <v>5</v>
      </c>
      <c r="I242" s="109"/>
      <c r="J242" s="109"/>
      <c r="K242" s="112">
        <f t="shared" si="16"/>
        <v>239.27</v>
      </c>
      <c r="L242" s="39"/>
      <c r="M242" s="39"/>
      <c r="N242" s="39"/>
      <c r="O242" s="39"/>
      <c r="P242" s="39">
        <v>239.27</v>
      </c>
      <c r="Q242" s="39"/>
      <c r="R242" s="98">
        <f t="shared" si="17"/>
        <v>239.27</v>
      </c>
      <c r="S242" s="103"/>
      <c r="T242" s="95">
        <f t="shared" si="18"/>
        <v>0</v>
      </c>
    </row>
    <row r="243" spans="1:20" ht="24.75" customHeight="1" x14ac:dyDescent="0.3">
      <c r="A243" s="42" t="s">
        <v>405</v>
      </c>
      <c r="B243" s="110" t="s">
        <v>10</v>
      </c>
      <c r="C243" s="111">
        <f t="shared" si="15"/>
        <v>5</v>
      </c>
      <c r="D243" s="109"/>
      <c r="E243" s="109"/>
      <c r="F243" s="109"/>
      <c r="G243" s="109"/>
      <c r="H243" s="109">
        <v>5</v>
      </c>
      <c r="I243" s="109"/>
      <c r="J243" s="109"/>
      <c r="K243" s="112">
        <f t="shared" si="16"/>
        <v>455</v>
      </c>
      <c r="L243" s="39"/>
      <c r="M243" s="39"/>
      <c r="N243" s="39"/>
      <c r="O243" s="39"/>
      <c r="P243" s="39">
        <v>455</v>
      </c>
      <c r="Q243" s="39"/>
      <c r="R243" s="98">
        <f t="shared" si="17"/>
        <v>455</v>
      </c>
      <c r="S243" s="103"/>
      <c r="T243" s="95">
        <f t="shared" si="18"/>
        <v>0</v>
      </c>
    </row>
    <row r="244" spans="1:20" ht="24.75" customHeight="1" x14ac:dyDescent="0.3">
      <c r="A244" s="42" t="s">
        <v>406</v>
      </c>
      <c r="B244" s="110" t="s">
        <v>10</v>
      </c>
      <c r="C244" s="111">
        <f t="shared" si="15"/>
        <v>20</v>
      </c>
      <c r="D244" s="109"/>
      <c r="E244" s="109"/>
      <c r="F244" s="109"/>
      <c r="G244" s="109"/>
      <c r="H244" s="109"/>
      <c r="I244" s="109">
        <v>20</v>
      </c>
      <c r="J244" s="109"/>
      <c r="K244" s="112">
        <f t="shared" si="16"/>
        <v>13</v>
      </c>
      <c r="L244" s="39"/>
      <c r="M244" s="39"/>
      <c r="N244" s="39"/>
      <c r="O244" s="39"/>
      <c r="P244" s="39"/>
      <c r="Q244" s="39">
        <v>13</v>
      </c>
      <c r="R244" s="98">
        <f t="shared" si="17"/>
        <v>13</v>
      </c>
      <c r="S244" s="103"/>
      <c r="T244" s="95">
        <f t="shared" si="18"/>
        <v>0</v>
      </c>
    </row>
    <row r="245" spans="1:20" ht="24.75" customHeight="1" x14ac:dyDescent="0.3">
      <c r="A245" s="42" t="s">
        <v>407</v>
      </c>
      <c r="B245" s="110" t="s">
        <v>10</v>
      </c>
      <c r="C245" s="111">
        <f t="shared" si="15"/>
        <v>30</v>
      </c>
      <c r="D245" s="109"/>
      <c r="E245" s="109"/>
      <c r="F245" s="109"/>
      <c r="G245" s="109"/>
      <c r="H245" s="109"/>
      <c r="I245" s="109">
        <v>30</v>
      </c>
      <c r="J245" s="109"/>
      <c r="K245" s="112">
        <f t="shared" si="16"/>
        <v>9</v>
      </c>
      <c r="L245" s="39"/>
      <c r="M245" s="39"/>
      <c r="N245" s="39"/>
      <c r="O245" s="39"/>
      <c r="P245" s="39"/>
      <c r="Q245" s="39">
        <v>9</v>
      </c>
      <c r="R245" s="98">
        <f t="shared" si="17"/>
        <v>9</v>
      </c>
      <c r="S245" s="103"/>
      <c r="T245" s="95">
        <f t="shared" si="18"/>
        <v>0</v>
      </c>
    </row>
    <row r="246" spans="1:20" ht="24.75" customHeight="1" x14ac:dyDescent="0.3">
      <c r="A246" s="42" t="s">
        <v>408</v>
      </c>
      <c r="B246" s="110" t="s">
        <v>10</v>
      </c>
      <c r="C246" s="111">
        <f t="shared" ref="C246:C261" si="19">D246+E246+F246+G246+H246+I246</f>
        <v>3</v>
      </c>
      <c r="D246" s="109"/>
      <c r="E246" s="109"/>
      <c r="F246" s="109"/>
      <c r="G246" s="109"/>
      <c r="H246" s="109"/>
      <c r="I246" s="109">
        <v>3</v>
      </c>
      <c r="J246" s="109"/>
      <c r="K246" s="112">
        <f t="shared" si="16"/>
        <v>35</v>
      </c>
      <c r="L246" s="39"/>
      <c r="M246" s="39"/>
      <c r="N246" s="39"/>
      <c r="O246" s="39"/>
      <c r="P246" s="39"/>
      <c r="Q246" s="39">
        <v>35</v>
      </c>
      <c r="R246" s="98">
        <f t="shared" si="17"/>
        <v>35</v>
      </c>
      <c r="S246" s="103"/>
      <c r="T246" s="95">
        <f t="shared" si="18"/>
        <v>0</v>
      </c>
    </row>
    <row r="247" spans="1:20" ht="24.75" customHeight="1" x14ac:dyDescent="0.3">
      <c r="A247" s="42" t="s">
        <v>409</v>
      </c>
      <c r="B247" s="110" t="s">
        <v>10</v>
      </c>
      <c r="C247" s="111">
        <f t="shared" si="19"/>
        <v>10</v>
      </c>
      <c r="D247" s="109"/>
      <c r="E247" s="109"/>
      <c r="F247" s="109"/>
      <c r="G247" s="109"/>
      <c r="H247" s="109"/>
      <c r="I247" s="109">
        <v>10</v>
      </c>
      <c r="J247" s="109"/>
      <c r="K247" s="112">
        <f t="shared" si="16"/>
        <v>8</v>
      </c>
      <c r="L247" s="39"/>
      <c r="M247" s="39"/>
      <c r="N247" s="39"/>
      <c r="O247" s="39"/>
      <c r="P247" s="39"/>
      <c r="Q247" s="39">
        <v>8</v>
      </c>
      <c r="R247" s="98">
        <f t="shared" si="17"/>
        <v>8</v>
      </c>
      <c r="S247" s="103"/>
      <c r="T247" s="95">
        <f t="shared" si="18"/>
        <v>0</v>
      </c>
    </row>
    <row r="248" spans="1:20" ht="24.75" customHeight="1" x14ac:dyDescent="0.3">
      <c r="A248" s="42" t="s">
        <v>410</v>
      </c>
      <c r="B248" s="110" t="s">
        <v>10</v>
      </c>
      <c r="C248" s="111">
        <f t="shared" si="19"/>
        <v>35</v>
      </c>
      <c r="D248" s="109"/>
      <c r="E248" s="109"/>
      <c r="F248" s="109"/>
      <c r="G248" s="109"/>
      <c r="H248" s="109"/>
      <c r="I248" s="109">
        <v>35</v>
      </c>
      <c r="J248" s="109"/>
      <c r="K248" s="112">
        <f t="shared" si="16"/>
        <v>17</v>
      </c>
      <c r="L248" s="39"/>
      <c r="M248" s="39"/>
      <c r="N248" s="39"/>
      <c r="O248" s="39"/>
      <c r="P248" s="39"/>
      <c r="Q248" s="39">
        <v>17</v>
      </c>
      <c r="R248" s="98">
        <f t="shared" si="17"/>
        <v>17</v>
      </c>
      <c r="S248" s="103"/>
      <c r="T248" s="95">
        <f t="shared" si="18"/>
        <v>0</v>
      </c>
    </row>
    <row r="249" spans="1:20" ht="24.75" customHeight="1" x14ac:dyDescent="0.3">
      <c r="A249" s="42" t="s">
        <v>411</v>
      </c>
      <c r="B249" s="110" t="s">
        <v>10</v>
      </c>
      <c r="C249" s="111">
        <f t="shared" si="19"/>
        <v>35</v>
      </c>
      <c r="D249" s="109"/>
      <c r="E249" s="109"/>
      <c r="F249" s="109"/>
      <c r="G249" s="109"/>
      <c r="H249" s="109"/>
      <c r="I249" s="109">
        <v>35</v>
      </c>
      <c r="J249" s="109"/>
      <c r="K249" s="112">
        <f t="shared" si="16"/>
        <v>32</v>
      </c>
      <c r="L249" s="39"/>
      <c r="M249" s="39"/>
      <c r="N249" s="39"/>
      <c r="O249" s="39"/>
      <c r="P249" s="39"/>
      <c r="Q249" s="39">
        <v>32</v>
      </c>
      <c r="R249" s="98">
        <f t="shared" si="17"/>
        <v>32</v>
      </c>
      <c r="S249" s="103"/>
      <c r="T249" s="95">
        <f t="shared" si="18"/>
        <v>0</v>
      </c>
    </row>
    <row r="250" spans="1:20" ht="24.75" customHeight="1" x14ac:dyDescent="0.3">
      <c r="A250" s="42" t="s">
        <v>412</v>
      </c>
      <c r="B250" s="110" t="s">
        <v>10</v>
      </c>
      <c r="C250" s="111">
        <f t="shared" si="19"/>
        <v>2</v>
      </c>
      <c r="D250" s="109"/>
      <c r="E250" s="109"/>
      <c r="F250" s="109"/>
      <c r="G250" s="109"/>
      <c r="H250" s="109"/>
      <c r="I250" s="109">
        <v>2</v>
      </c>
      <c r="J250" s="109"/>
      <c r="K250" s="112">
        <f t="shared" si="16"/>
        <v>130</v>
      </c>
      <c r="L250" s="39"/>
      <c r="M250" s="39"/>
      <c r="N250" s="39"/>
      <c r="O250" s="39"/>
      <c r="P250" s="39"/>
      <c r="Q250" s="39">
        <v>130</v>
      </c>
      <c r="R250" s="98">
        <f t="shared" si="17"/>
        <v>130</v>
      </c>
      <c r="S250" s="103"/>
      <c r="T250" s="95">
        <f t="shared" si="18"/>
        <v>0</v>
      </c>
    </row>
    <row r="251" spans="1:20" ht="24.75" customHeight="1" x14ac:dyDescent="0.3">
      <c r="A251" s="42" t="s">
        <v>413</v>
      </c>
      <c r="B251" s="110" t="s">
        <v>10</v>
      </c>
      <c r="C251" s="111">
        <f t="shared" si="19"/>
        <v>20</v>
      </c>
      <c r="D251" s="109"/>
      <c r="E251" s="109"/>
      <c r="F251" s="109"/>
      <c r="G251" s="109"/>
      <c r="H251" s="109"/>
      <c r="I251" s="109">
        <v>20</v>
      </c>
      <c r="J251" s="109"/>
      <c r="K251" s="112">
        <f t="shared" si="16"/>
        <v>30</v>
      </c>
      <c r="L251" s="39"/>
      <c r="M251" s="39"/>
      <c r="N251" s="39"/>
      <c r="O251" s="39"/>
      <c r="P251" s="39"/>
      <c r="Q251" s="39">
        <v>30</v>
      </c>
      <c r="R251" s="98">
        <f t="shared" si="17"/>
        <v>30</v>
      </c>
      <c r="S251" s="103"/>
      <c r="T251" s="95">
        <f t="shared" si="18"/>
        <v>0</v>
      </c>
    </row>
    <row r="252" spans="1:20" ht="24.75" customHeight="1" x14ac:dyDescent="0.3">
      <c r="A252" s="42" t="s">
        <v>414</v>
      </c>
      <c r="B252" s="110" t="s">
        <v>10</v>
      </c>
      <c r="C252" s="111">
        <f t="shared" si="19"/>
        <v>200</v>
      </c>
      <c r="D252" s="109"/>
      <c r="E252" s="109"/>
      <c r="F252" s="109"/>
      <c r="G252" s="109"/>
      <c r="H252" s="109"/>
      <c r="I252" s="109">
        <v>200</v>
      </c>
      <c r="J252" s="109"/>
      <c r="K252" s="112">
        <f t="shared" si="16"/>
        <v>3.5</v>
      </c>
      <c r="L252" s="39"/>
      <c r="M252" s="39"/>
      <c r="N252" s="39"/>
      <c r="O252" s="39"/>
      <c r="P252" s="39"/>
      <c r="Q252" s="39">
        <v>3.5</v>
      </c>
      <c r="R252" s="98">
        <f t="shared" si="17"/>
        <v>3.5</v>
      </c>
      <c r="S252" s="103"/>
      <c r="T252" s="95">
        <f t="shared" si="18"/>
        <v>0</v>
      </c>
    </row>
    <row r="253" spans="1:20" ht="24.75" customHeight="1" x14ac:dyDescent="0.3">
      <c r="A253" s="42" t="s">
        <v>415</v>
      </c>
      <c r="B253" s="110" t="s">
        <v>10</v>
      </c>
      <c r="C253" s="111">
        <f t="shared" si="19"/>
        <v>2</v>
      </c>
      <c r="D253" s="109"/>
      <c r="E253" s="109"/>
      <c r="F253" s="109"/>
      <c r="G253" s="109"/>
      <c r="H253" s="109"/>
      <c r="I253" s="109">
        <v>2</v>
      </c>
      <c r="J253" s="109"/>
      <c r="K253" s="112">
        <f t="shared" si="16"/>
        <v>60</v>
      </c>
      <c r="L253" s="39"/>
      <c r="M253" s="39"/>
      <c r="N253" s="39"/>
      <c r="O253" s="39"/>
      <c r="P253" s="39"/>
      <c r="Q253" s="39">
        <v>60</v>
      </c>
      <c r="R253" s="98">
        <f t="shared" si="17"/>
        <v>60</v>
      </c>
      <c r="S253" s="103"/>
      <c r="T253" s="95">
        <f t="shared" si="18"/>
        <v>0</v>
      </c>
    </row>
    <row r="254" spans="1:20" ht="24.75" customHeight="1" x14ac:dyDescent="0.3">
      <c r="A254" s="42" t="s">
        <v>416</v>
      </c>
      <c r="B254" s="110" t="s">
        <v>10</v>
      </c>
      <c r="C254" s="111">
        <f t="shared" si="19"/>
        <v>2</v>
      </c>
      <c r="D254" s="109"/>
      <c r="E254" s="109"/>
      <c r="F254" s="109"/>
      <c r="G254" s="109"/>
      <c r="H254" s="109"/>
      <c r="I254" s="109">
        <v>2</v>
      </c>
      <c r="J254" s="109"/>
      <c r="K254" s="112">
        <f t="shared" ref="K254:K261" si="20">MIN(L254:Q254)</f>
        <v>150</v>
      </c>
      <c r="L254" s="39"/>
      <c r="M254" s="39"/>
      <c r="N254" s="39"/>
      <c r="O254" s="39"/>
      <c r="P254" s="39"/>
      <c r="Q254" s="39">
        <v>150</v>
      </c>
      <c r="R254" s="98">
        <f t="shared" ref="R254:R304" si="21">MAX(L254:Q254)</f>
        <v>150</v>
      </c>
      <c r="S254" s="103"/>
      <c r="T254" s="95">
        <f t="shared" ref="T254:T304" si="22">IF(S254&gt;1,1,0)</f>
        <v>0</v>
      </c>
    </row>
    <row r="255" spans="1:20" ht="24.75" customHeight="1" x14ac:dyDescent="0.3">
      <c r="A255" s="42" t="s">
        <v>417</v>
      </c>
      <c r="B255" s="110" t="s">
        <v>10</v>
      </c>
      <c r="C255" s="111">
        <f t="shared" si="19"/>
        <v>2</v>
      </c>
      <c r="D255" s="109"/>
      <c r="E255" s="109"/>
      <c r="F255" s="109"/>
      <c r="G255" s="109"/>
      <c r="H255" s="109"/>
      <c r="I255" s="109">
        <v>2</v>
      </c>
      <c r="J255" s="109"/>
      <c r="K255" s="112">
        <f t="shared" si="20"/>
        <v>110</v>
      </c>
      <c r="L255" s="39"/>
      <c r="M255" s="39"/>
      <c r="N255" s="39"/>
      <c r="O255" s="39"/>
      <c r="P255" s="39"/>
      <c r="Q255" s="39">
        <v>110</v>
      </c>
      <c r="R255" s="98">
        <f t="shared" si="21"/>
        <v>110</v>
      </c>
      <c r="S255" s="103"/>
      <c r="T255" s="95">
        <f t="shared" si="22"/>
        <v>0</v>
      </c>
    </row>
    <row r="256" spans="1:20" ht="24.75" customHeight="1" x14ac:dyDescent="0.3">
      <c r="A256" s="42" t="s">
        <v>418</v>
      </c>
      <c r="B256" s="110" t="s">
        <v>10</v>
      </c>
      <c r="C256" s="111">
        <f t="shared" si="19"/>
        <v>3</v>
      </c>
      <c r="D256" s="109"/>
      <c r="E256" s="109"/>
      <c r="F256" s="109"/>
      <c r="G256" s="109"/>
      <c r="H256" s="109"/>
      <c r="I256" s="109">
        <v>3</v>
      </c>
      <c r="J256" s="109"/>
      <c r="K256" s="112">
        <f t="shared" si="20"/>
        <v>150</v>
      </c>
      <c r="L256" s="39"/>
      <c r="M256" s="39"/>
      <c r="N256" s="39"/>
      <c r="O256" s="39"/>
      <c r="P256" s="39"/>
      <c r="Q256" s="39">
        <v>150</v>
      </c>
      <c r="R256" s="98">
        <f t="shared" si="21"/>
        <v>150</v>
      </c>
      <c r="S256" s="103"/>
      <c r="T256" s="95">
        <f t="shared" si="22"/>
        <v>0</v>
      </c>
    </row>
    <row r="257" spans="1:20" ht="24.75" customHeight="1" x14ac:dyDescent="0.3">
      <c r="A257" s="42" t="s">
        <v>419</v>
      </c>
      <c r="B257" s="110" t="s">
        <v>26</v>
      </c>
      <c r="C257" s="111">
        <f t="shared" si="19"/>
        <v>8</v>
      </c>
      <c r="D257" s="109"/>
      <c r="E257" s="109"/>
      <c r="F257" s="109"/>
      <c r="G257" s="109"/>
      <c r="H257" s="109"/>
      <c r="I257" s="109">
        <v>8</v>
      </c>
      <c r="J257" s="109"/>
      <c r="K257" s="112">
        <f t="shared" si="20"/>
        <v>15</v>
      </c>
      <c r="L257" s="39"/>
      <c r="M257" s="39"/>
      <c r="N257" s="39"/>
      <c r="O257" s="39"/>
      <c r="P257" s="39"/>
      <c r="Q257" s="39">
        <v>15</v>
      </c>
      <c r="R257" s="98">
        <f t="shared" si="21"/>
        <v>15</v>
      </c>
      <c r="S257" s="103"/>
      <c r="T257" s="95">
        <f t="shared" si="22"/>
        <v>0</v>
      </c>
    </row>
    <row r="258" spans="1:20" ht="24.75" customHeight="1" x14ac:dyDescent="0.3">
      <c r="A258" s="42" t="s">
        <v>420</v>
      </c>
      <c r="B258" s="110" t="s">
        <v>10</v>
      </c>
      <c r="C258" s="111">
        <f t="shared" si="19"/>
        <v>150</v>
      </c>
      <c r="D258" s="109"/>
      <c r="E258" s="109"/>
      <c r="F258" s="109"/>
      <c r="G258" s="109"/>
      <c r="H258" s="109"/>
      <c r="I258" s="109">
        <v>150</v>
      </c>
      <c r="J258" s="109"/>
      <c r="K258" s="112">
        <f t="shared" si="20"/>
        <v>23</v>
      </c>
      <c r="L258" s="39"/>
      <c r="M258" s="39"/>
      <c r="N258" s="39"/>
      <c r="O258" s="39"/>
      <c r="P258" s="39"/>
      <c r="Q258" s="39">
        <v>23</v>
      </c>
      <c r="R258" s="98">
        <f t="shared" si="21"/>
        <v>23</v>
      </c>
      <c r="S258" s="103"/>
      <c r="T258" s="95">
        <f t="shared" si="22"/>
        <v>0</v>
      </c>
    </row>
    <row r="259" spans="1:20" ht="24.75" customHeight="1" x14ac:dyDescent="0.3">
      <c r="A259" s="42" t="s">
        <v>421</v>
      </c>
      <c r="B259" s="110" t="s">
        <v>10</v>
      </c>
      <c r="C259" s="111">
        <f t="shared" si="19"/>
        <v>4</v>
      </c>
      <c r="D259" s="109"/>
      <c r="E259" s="109"/>
      <c r="F259" s="109"/>
      <c r="G259" s="109"/>
      <c r="H259" s="109"/>
      <c r="I259" s="109">
        <v>4</v>
      </c>
      <c r="J259" s="109"/>
      <c r="K259" s="112">
        <f t="shared" si="20"/>
        <v>90</v>
      </c>
      <c r="L259" s="39"/>
      <c r="M259" s="39"/>
      <c r="N259" s="39"/>
      <c r="O259" s="39"/>
      <c r="P259" s="39"/>
      <c r="Q259" s="39">
        <v>90</v>
      </c>
      <c r="R259" s="98">
        <f t="shared" si="21"/>
        <v>90</v>
      </c>
      <c r="S259" s="103"/>
      <c r="T259" s="95">
        <f t="shared" si="22"/>
        <v>0</v>
      </c>
    </row>
    <row r="260" spans="1:20" ht="24.75" customHeight="1" x14ac:dyDescent="0.3">
      <c r="A260" s="42" t="s">
        <v>422</v>
      </c>
      <c r="B260" s="110" t="s">
        <v>26</v>
      </c>
      <c r="C260" s="111">
        <f t="shared" si="19"/>
        <v>20</v>
      </c>
      <c r="D260" s="109"/>
      <c r="E260" s="109"/>
      <c r="F260" s="109"/>
      <c r="G260" s="109"/>
      <c r="H260" s="109"/>
      <c r="I260" s="109">
        <v>20</v>
      </c>
      <c r="J260" s="109"/>
      <c r="K260" s="112">
        <f t="shared" si="20"/>
        <v>40</v>
      </c>
      <c r="L260" s="39"/>
      <c r="M260" s="39"/>
      <c r="N260" s="39"/>
      <c r="O260" s="39"/>
      <c r="P260" s="39"/>
      <c r="Q260" s="39">
        <v>40</v>
      </c>
      <c r="R260" s="98">
        <f t="shared" si="21"/>
        <v>40</v>
      </c>
      <c r="S260" s="103"/>
      <c r="T260" s="95">
        <f t="shared" si="22"/>
        <v>0</v>
      </c>
    </row>
    <row r="261" spans="1:20" ht="24.75" customHeight="1" x14ac:dyDescent="0.3">
      <c r="A261" s="42" t="s">
        <v>423</v>
      </c>
      <c r="B261" s="110" t="s">
        <v>10</v>
      </c>
      <c r="C261" s="111">
        <f t="shared" si="19"/>
        <v>10</v>
      </c>
      <c r="D261" s="109"/>
      <c r="E261" s="109"/>
      <c r="F261" s="109"/>
      <c r="G261" s="109"/>
      <c r="H261" s="109"/>
      <c r="I261" s="109">
        <v>10</v>
      </c>
      <c r="J261" s="109"/>
      <c r="K261" s="112">
        <f t="shared" si="20"/>
        <v>10</v>
      </c>
      <c r="L261" s="39"/>
      <c r="M261" s="39"/>
      <c r="N261" s="39"/>
      <c r="O261" s="39"/>
      <c r="P261" s="39"/>
      <c r="Q261" s="39">
        <v>10</v>
      </c>
      <c r="R261" s="98">
        <f t="shared" si="21"/>
        <v>10</v>
      </c>
      <c r="S261" s="103"/>
      <c r="T261" s="95">
        <f t="shared" si="22"/>
        <v>0</v>
      </c>
    </row>
    <row r="262" spans="1:20" ht="76.5" customHeight="1" x14ac:dyDescent="0.3">
      <c r="A262" s="22" t="s">
        <v>14</v>
      </c>
      <c r="B262" s="23" t="s">
        <v>3</v>
      </c>
      <c r="C262" s="19" t="e">
        <f t="shared" ref="C262:I262" si="23">SUM(C263:C304)</f>
        <v>#VALUE!</v>
      </c>
      <c r="D262" s="24">
        <f t="shared" si="23"/>
        <v>10137.31</v>
      </c>
      <c r="E262" s="24">
        <f t="shared" si="23"/>
        <v>9932.9079000000002</v>
      </c>
      <c r="F262" s="24">
        <f t="shared" si="23"/>
        <v>14137.14</v>
      </c>
      <c r="G262" s="24">
        <f t="shared" si="23"/>
        <v>9591.24</v>
      </c>
      <c r="H262" s="24">
        <f t="shared" si="23"/>
        <v>2151.21</v>
      </c>
      <c r="I262" s="24">
        <f t="shared" si="23"/>
        <v>12592.5</v>
      </c>
      <c r="J262" s="24"/>
      <c r="K262" s="100">
        <f t="shared" ref="K262:K304" si="24">MIN(L262:Q262)</f>
        <v>18630.228600000002</v>
      </c>
      <c r="L262" s="24">
        <v>52684.05999999999</v>
      </c>
      <c r="M262" s="24">
        <v>33183.530500000008</v>
      </c>
      <c r="N262" s="24">
        <v>66628.840000000011</v>
      </c>
      <c r="O262" s="24">
        <v>18630.228600000002</v>
      </c>
      <c r="P262" s="24">
        <v>34900.600000000006</v>
      </c>
      <c r="Q262" s="24">
        <v>31389.55000000001</v>
      </c>
      <c r="R262" s="98">
        <f t="shared" si="21"/>
        <v>66628.840000000011</v>
      </c>
      <c r="S262" s="103">
        <f t="shared" ref="S262:S304" si="25">R262/K262-1</f>
        <v>2.5763833837229462</v>
      </c>
      <c r="T262" s="95">
        <f t="shared" si="22"/>
        <v>1</v>
      </c>
    </row>
    <row r="263" spans="1:20" ht="24.75" customHeight="1" x14ac:dyDescent="0.3">
      <c r="A263" s="42" t="s">
        <v>424</v>
      </c>
      <c r="B263" s="110" t="s">
        <v>10</v>
      </c>
      <c r="C263" s="111">
        <f t="shared" ref="C263:C281" si="26">D263+E263+F263+G263+H263+I263</f>
        <v>473</v>
      </c>
      <c r="D263" s="109"/>
      <c r="E263" s="109">
        <v>150</v>
      </c>
      <c r="F263" s="109">
        <v>43</v>
      </c>
      <c r="G263" s="109">
        <v>30</v>
      </c>
      <c r="H263" s="109">
        <v>22</v>
      </c>
      <c r="I263" s="109">
        <v>228</v>
      </c>
      <c r="J263" s="109"/>
      <c r="K263" s="112">
        <f t="shared" si="24"/>
        <v>400</v>
      </c>
      <c r="L263" s="39"/>
      <c r="M263" s="39">
        <v>400</v>
      </c>
      <c r="N263" s="39">
        <v>691</v>
      </c>
      <c r="O263" s="39">
        <v>550</v>
      </c>
      <c r="P263" s="39">
        <v>883.34</v>
      </c>
      <c r="Q263" s="39">
        <v>1004</v>
      </c>
      <c r="R263" s="98">
        <f t="shared" si="21"/>
        <v>1004</v>
      </c>
      <c r="S263" s="103">
        <f t="shared" si="25"/>
        <v>1.5099999999999998</v>
      </c>
      <c r="T263" s="95">
        <f t="shared" si="22"/>
        <v>1</v>
      </c>
    </row>
    <row r="264" spans="1:20" ht="24.75" customHeight="1" x14ac:dyDescent="0.3">
      <c r="A264" s="42" t="s">
        <v>40</v>
      </c>
      <c r="B264" s="110" t="s">
        <v>10</v>
      </c>
      <c r="C264" s="111">
        <f t="shared" si="26"/>
        <v>267</v>
      </c>
      <c r="D264" s="109">
        <v>43</v>
      </c>
      <c r="E264" s="109">
        <v>34</v>
      </c>
      <c r="F264" s="109">
        <v>74</v>
      </c>
      <c r="G264" s="109">
        <v>23</v>
      </c>
      <c r="H264" s="109">
        <v>43</v>
      </c>
      <c r="I264" s="109">
        <v>50</v>
      </c>
      <c r="J264" s="109"/>
      <c r="K264" s="112">
        <f t="shared" si="24"/>
        <v>383.6</v>
      </c>
      <c r="L264" s="39">
        <v>399.16</v>
      </c>
      <c r="M264" s="39">
        <v>433.3</v>
      </c>
      <c r="N264" s="39">
        <v>383.6</v>
      </c>
      <c r="O264" s="39">
        <v>383.6</v>
      </c>
      <c r="P264" s="39">
        <v>399.15</v>
      </c>
      <c r="Q264" s="39">
        <v>399</v>
      </c>
      <c r="R264" s="98">
        <f t="shared" si="21"/>
        <v>433.3</v>
      </c>
      <c r="S264" s="103">
        <f t="shared" si="25"/>
        <v>0.12956204379562042</v>
      </c>
      <c r="T264" s="95">
        <f t="shared" si="22"/>
        <v>0</v>
      </c>
    </row>
    <row r="265" spans="1:20" ht="24.75" customHeight="1" x14ac:dyDescent="0.3">
      <c r="A265" s="42" t="s">
        <v>425</v>
      </c>
      <c r="B265" s="110" t="s">
        <v>10</v>
      </c>
      <c r="C265" s="111" t="e">
        <f t="shared" si="26"/>
        <v>#VALUE!</v>
      </c>
      <c r="D265" s="109"/>
      <c r="E265" s="109"/>
      <c r="F265" s="109"/>
      <c r="G265" s="109"/>
      <c r="H265" s="109">
        <v>23</v>
      </c>
      <c r="I265" s="109" t="s">
        <v>305</v>
      </c>
      <c r="J265" s="109"/>
      <c r="K265" s="112">
        <f t="shared" si="24"/>
        <v>752</v>
      </c>
      <c r="L265" s="39"/>
      <c r="M265" s="39"/>
      <c r="N265" s="39"/>
      <c r="O265" s="39"/>
      <c r="P265" s="39">
        <v>752</v>
      </c>
      <c r="Q265" s="39"/>
      <c r="R265" s="98">
        <f t="shared" si="21"/>
        <v>752</v>
      </c>
      <c r="S265" s="103"/>
      <c r="T265" s="95">
        <f t="shared" si="22"/>
        <v>0</v>
      </c>
    </row>
    <row r="266" spans="1:20" ht="24.75" customHeight="1" x14ac:dyDescent="0.3">
      <c r="A266" s="42" t="s">
        <v>426</v>
      </c>
      <c r="B266" s="110" t="s">
        <v>38</v>
      </c>
      <c r="C266" s="111">
        <f t="shared" si="26"/>
        <v>2</v>
      </c>
      <c r="D266" s="109"/>
      <c r="E266" s="109"/>
      <c r="F266" s="109">
        <v>2</v>
      </c>
      <c r="G266" s="109"/>
      <c r="H266" s="109"/>
      <c r="I266" s="109"/>
      <c r="J266" s="109"/>
      <c r="K266" s="112">
        <f t="shared" si="24"/>
        <v>31336.3</v>
      </c>
      <c r="L266" s="39"/>
      <c r="M266" s="39"/>
      <c r="N266" s="39">
        <v>31336.3</v>
      </c>
      <c r="O266" s="39"/>
      <c r="P266" s="39"/>
      <c r="Q266" s="39"/>
      <c r="R266" s="98">
        <f t="shared" si="21"/>
        <v>31336.3</v>
      </c>
      <c r="S266" s="103"/>
      <c r="T266" s="95">
        <f t="shared" si="22"/>
        <v>0</v>
      </c>
    </row>
    <row r="267" spans="1:20" ht="24.75" customHeight="1" x14ac:dyDescent="0.3">
      <c r="A267" s="42" t="s">
        <v>427</v>
      </c>
      <c r="B267" s="110" t="s">
        <v>428</v>
      </c>
      <c r="C267" s="111">
        <f t="shared" si="26"/>
        <v>26</v>
      </c>
      <c r="D267" s="109">
        <v>10</v>
      </c>
      <c r="E267" s="109">
        <v>10</v>
      </c>
      <c r="F267" s="109">
        <v>6</v>
      </c>
      <c r="G267" s="109"/>
      <c r="H267" s="109"/>
      <c r="I267" s="109"/>
      <c r="J267" s="109"/>
      <c r="K267" s="112">
        <f t="shared" si="24"/>
        <v>268.5</v>
      </c>
      <c r="L267" s="39">
        <v>288.3</v>
      </c>
      <c r="M267" s="39">
        <v>268.5</v>
      </c>
      <c r="N267" s="39">
        <v>268.5</v>
      </c>
      <c r="O267" s="39"/>
      <c r="P267" s="39"/>
      <c r="Q267" s="39"/>
      <c r="R267" s="98">
        <f t="shared" si="21"/>
        <v>288.3</v>
      </c>
      <c r="S267" s="103">
        <f t="shared" si="25"/>
        <v>7.374301675977657E-2</v>
      </c>
      <c r="T267" s="95">
        <f t="shared" si="22"/>
        <v>0</v>
      </c>
    </row>
    <row r="268" spans="1:20" ht="24.75" customHeight="1" x14ac:dyDescent="0.3">
      <c r="A268" s="42" t="s">
        <v>429</v>
      </c>
      <c r="B268" s="110" t="s">
        <v>10</v>
      </c>
      <c r="C268" s="111">
        <f t="shared" si="26"/>
        <v>1980</v>
      </c>
      <c r="D268" s="109">
        <v>180</v>
      </c>
      <c r="E268" s="109">
        <v>500</v>
      </c>
      <c r="F268" s="109">
        <v>300</v>
      </c>
      <c r="G268" s="109">
        <v>100</v>
      </c>
      <c r="H268" s="109">
        <v>100</v>
      </c>
      <c r="I268" s="109">
        <v>800</v>
      </c>
      <c r="J268" s="109"/>
      <c r="K268" s="112">
        <f t="shared" si="24"/>
        <v>19.475999999999999</v>
      </c>
      <c r="L268" s="39">
        <v>25</v>
      </c>
      <c r="M268" s="39">
        <v>28</v>
      </c>
      <c r="N268" s="39">
        <v>30</v>
      </c>
      <c r="O268" s="39">
        <v>19.475999999999999</v>
      </c>
      <c r="P268" s="39">
        <v>19.48</v>
      </c>
      <c r="Q268" s="39">
        <v>19.48</v>
      </c>
      <c r="R268" s="98">
        <f t="shared" si="21"/>
        <v>30</v>
      </c>
      <c r="S268" s="103">
        <f t="shared" si="25"/>
        <v>0.5403573629081948</v>
      </c>
      <c r="T268" s="95">
        <f t="shared" si="22"/>
        <v>0</v>
      </c>
    </row>
    <row r="269" spans="1:20" ht="24.75" customHeight="1" x14ac:dyDescent="0.3">
      <c r="A269" s="42" t="s">
        <v>430</v>
      </c>
      <c r="B269" s="110" t="s">
        <v>431</v>
      </c>
      <c r="C269" s="111">
        <f t="shared" si="26"/>
        <v>72</v>
      </c>
      <c r="D269" s="109">
        <v>12</v>
      </c>
      <c r="E269" s="109">
        <v>12</v>
      </c>
      <c r="F269" s="109">
        <v>12</v>
      </c>
      <c r="G269" s="109">
        <v>12</v>
      </c>
      <c r="H269" s="109">
        <v>12</v>
      </c>
      <c r="I269" s="109">
        <v>12</v>
      </c>
      <c r="J269" s="109"/>
      <c r="K269" s="112">
        <f t="shared" si="24"/>
        <v>1237.33</v>
      </c>
      <c r="L269" s="39">
        <v>1237.33</v>
      </c>
      <c r="M269" s="39">
        <v>1345.6</v>
      </c>
      <c r="N269" s="39">
        <v>2564</v>
      </c>
      <c r="O269" s="39">
        <v>1500</v>
      </c>
      <c r="P269" s="39">
        <v>1500</v>
      </c>
      <c r="Q269" s="39">
        <v>1323</v>
      </c>
      <c r="R269" s="98">
        <f t="shared" si="21"/>
        <v>2564</v>
      </c>
      <c r="S269" s="103">
        <f t="shared" si="25"/>
        <v>1.072203858307808</v>
      </c>
      <c r="T269" s="95">
        <f t="shared" si="22"/>
        <v>1</v>
      </c>
    </row>
    <row r="270" spans="1:20" ht="24.75" customHeight="1" x14ac:dyDescent="0.3">
      <c r="A270" s="42" t="s">
        <v>432</v>
      </c>
      <c r="B270" s="110" t="s">
        <v>433</v>
      </c>
      <c r="C270" s="111">
        <f t="shared" si="26"/>
        <v>43800</v>
      </c>
      <c r="D270" s="109">
        <v>8760</v>
      </c>
      <c r="E270" s="109">
        <v>8760</v>
      </c>
      <c r="F270" s="109">
        <v>8760</v>
      </c>
      <c r="G270" s="109">
        <v>8760</v>
      </c>
      <c r="H270" s="109"/>
      <c r="I270" s="109">
        <v>8760</v>
      </c>
      <c r="J270" s="109"/>
      <c r="K270" s="112">
        <f t="shared" si="24"/>
        <v>4.96</v>
      </c>
      <c r="L270" s="39">
        <v>5.27</v>
      </c>
      <c r="M270" s="39">
        <v>4.96</v>
      </c>
      <c r="N270" s="39">
        <v>5.27</v>
      </c>
      <c r="O270" s="39">
        <v>5.27</v>
      </c>
      <c r="P270" s="39"/>
      <c r="Q270" s="39">
        <v>6.1</v>
      </c>
      <c r="R270" s="98">
        <f t="shared" si="21"/>
        <v>6.1</v>
      </c>
      <c r="S270" s="103">
        <f t="shared" si="25"/>
        <v>0.22983870967741926</v>
      </c>
      <c r="T270" s="95">
        <f t="shared" si="22"/>
        <v>0</v>
      </c>
    </row>
    <row r="271" spans="1:20" ht="24.75" customHeight="1" x14ac:dyDescent="0.3">
      <c r="A271" s="42" t="s">
        <v>43</v>
      </c>
      <c r="B271" s="110" t="s">
        <v>431</v>
      </c>
      <c r="C271" s="111">
        <f t="shared" si="26"/>
        <v>72</v>
      </c>
      <c r="D271" s="109">
        <v>12</v>
      </c>
      <c r="E271" s="109">
        <v>12</v>
      </c>
      <c r="F271" s="109">
        <v>12</v>
      </c>
      <c r="G271" s="109">
        <v>12</v>
      </c>
      <c r="H271" s="109">
        <v>12</v>
      </c>
      <c r="I271" s="109">
        <v>12</v>
      </c>
      <c r="J271" s="109"/>
      <c r="K271" s="112">
        <f t="shared" si="24"/>
        <v>6600</v>
      </c>
      <c r="L271" s="39">
        <v>8648.51</v>
      </c>
      <c r="M271" s="99">
        <v>11657.04</v>
      </c>
      <c r="N271" s="39">
        <v>7833.3</v>
      </c>
      <c r="O271" s="39">
        <v>7809.2066000000004</v>
      </c>
      <c r="P271" s="39">
        <v>7809.21</v>
      </c>
      <c r="Q271" s="39">
        <v>6600</v>
      </c>
      <c r="R271" s="98">
        <f t="shared" si="21"/>
        <v>11657.04</v>
      </c>
      <c r="S271" s="103">
        <f t="shared" si="25"/>
        <v>0.76621818181818191</v>
      </c>
      <c r="T271" s="95">
        <f t="shared" si="22"/>
        <v>0</v>
      </c>
    </row>
    <row r="272" spans="1:20" ht="24.75" customHeight="1" x14ac:dyDescent="0.3">
      <c r="A272" s="42" t="s">
        <v>434</v>
      </c>
      <c r="B272" s="110" t="s">
        <v>431</v>
      </c>
      <c r="C272" s="111">
        <f t="shared" si="26"/>
        <v>12</v>
      </c>
      <c r="D272" s="109">
        <v>12</v>
      </c>
      <c r="E272" s="109"/>
      <c r="F272" s="109"/>
      <c r="G272" s="109"/>
      <c r="H272" s="109"/>
      <c r="I272" s="109"/>
      <c r="J272" s="109"/>
      <c r="K272" s="112">
        <f t="shared" si="24"/>
        <v>575</v>
      </c>
      <c r="L272" s="39">
        <v>575</v>
      </c>
      <c r="M272" s="99"/>
      <c r="N272" s="39"/>
      <c r="O272" s="39"/>
      <c r="P272" s="39"/>
      <c r="Q272" s="39"/>
      <c r="R272" s="98">
        <f t="shared" si="21"/>
        <v>575</v>
      </c>
      <c r="S272" s="103">
        <f t="shared" si="25"/>
        <v>0</v>
      </c>
      <c r="T272" s="95">
        <f t="shared" si="22"/>
        <v>0</v>
      </c>
    </row>
    <row r="273" spans="1:22" ht="24.75" customHeight="1" x14ac:dyDescent="0.3">
      <c r="A273" s="42" t="s">
        <v>435</v>
      </c>
      <c r="B273" s="110" t="s">
        <v>431</v>
      </c>
      <c r="C273" s="111">
        <f t="shared" si="26"/>
        <v>72</v>
      </c>
      <c r="D273" s="109">
        <v>12</v>
      </c>
      <c r="E273" s="109">
        <v>12</v>
      </c>
      <c r="F273" s="109">
        <v>12</v>
      </c>
      <c r="G273" s="109">
        <v>12</v>
      </c>
      <c r="H273" s="109">
        <v>12</v>
      </c>
      <c r="I273" s="109">
        <v>12</v>
      </c>
      <c r="J273" s="109"/>
      <c r="K273" s="112">
        <f t="shared" si="24"/>
        <v>1726.83</v>
      </c>
      <c r="L273" s="39">
        <v>2738.34</v>
      </c>
      <c r="M273" s="39">
        <v>3312.8</v>
      </c>
      <c r="N273" s="39">
        <v>8215.14</v>
      </c>
      <c r="O273" s="39">
        <v>3196.1260000000002</v>
      </c>
      <c r="P273" s="39">
        <v>1726.83</v>
      </c>
      <c r="Q273" s="39">
        <v>2484</v>
      </c>
      <c r="R273" s="98">
        <f t="shared" si="21"/>
        <v>8215.14</v>
      </c>
      <c r="S273" s="103">
        <f t="shared" si="25"/>
        <v>3.7573530689181913</v>
      </c>
      <c r="T273" s="95">
        <f t="shared" si="22"/>
        <v>1</v>
      </c>
      <c r="V273" s="101" t="s">
        <v>483</v>
      </c>
    </row>
    <row r="274" spans="1:22" ht="24.75" customHeight="1" x14ac:dyDescent="0.3">
      <c r="A274" s="42" t="s">
        <v>39</v>
      </c>
      <c r="B274" s="110" t="s">
        <v>431</v>
      </c>
      <c r="C274" s="111">
        <f t="shared" si="26"/>
        <v>12</v>
      </c>
      <c r="D274" s="109"/>
      <c r="E274" s="109"/>
      <c r="F274" s="109"/>
      <c r="G274" s="109"/>
      <c r="H274" s="109">
        <v>12</v>
      </c>
      <c r="I274" s="109"/>
      <c r="J274" s="109"/>
      <c r="K274" s="112">
        <f t="shared" si="24"/>
        <v>1469.31</v>
      </c>
      <c r="L274" s="39"/>
      <c r="M274" s="39"/>
      <c r="N274" s="39"/>
      <c r="O274" s="39"/>
      <c r="P274" s="39">
        <v>1469.31</v>
      </c>
      <c r="Q274" s="39"/>
      <c r="R274" s="98">
        <f t="shared" si="21"/>
        <v>1469.31</v>
      </c>
      <c r="S274" s="103"/>
      <c r="T274" s="95">
        <f t="shared" si="22"/>
        <v>0</v>
      </c>
    </row>
    <row r="275" spans="1:22" ht="24.75" customHeight="1" x14ac:dyDescent="0.3">
      <c r="A275" s="42" t="s">
        <v>436</v>
      </c>
      <c r="B275" s="110" t="s">
        <v>431</v>
      </c>
      <c r="C275" s="111">
        <f t="shared" si="26"/>
        <v>36</v>
      </c>
      <c r="D275" s="109"/>
      <c r="E275" s="109"/>
      <c r="F275" s="109">
        <v>12</v>
      </c>
      <c r="G275" s="109"/>
      <c r="H275" s="109">
        <v>12</v>
      </c>
      <c r="I275" s="109">
        <v>12</v>
      </c>
      <c r="J275" s="109"/>
      <c r="K275" s="112">
        <f t="shared" si="24"/>
        <v>1766.67</v>
      </c>
      <c r="L275" s="39"/>
      <c r="M275" s="39"/>
      <c r="N275" s="39">
        <v>5433.3</v>
      </c>
      <c r="O275" s="39"/>
      <c r="P275" s="39">
        <v>1766.67</v>
      </c>
      <c r="Q275" s="39">
        <v>3083</v>
      </c>
      <c r="R275" s="98">
        <f t="shared" si="21"/>
        <v>5433.3</v>
      </c>
      <c r="S275" s="103">
        <f t="shared" si="25"/>
        <v>2.0754470274584387</v>
      </c>
      <c r="T275" s="95">
        <f t="shared" si="22"/>
        <v>1</v>
      </c>
    </row>
    <row r="276" spans="1:22" ht="24.75" customHeight="1" x14ac:dyDescent="0.3">
      <c r="A276" s="42" t="s">
        <v>35</v>
      </c>
      <c r="B276" s="110" t="s">
        <v>431</v>
      </c>
      <c r="C276" s="111">
        <f t="shared" si="26"/>
        <v>72</v>
      </c>
      <c r="D276" s="109">
        <v>12</v>
      </c>
      <c r="E276" s="109">
        <v>12</v>
      </c>
      <c r="F276" s="109">
        <v>12</v>
      </c>
      <c r="G276" s="109">
        <v>12</v>
      </c>
      <c r="H276" s="109">
        <v>12</v>
      </c>
      <c r="I276" s="109">
        <v>12</v>
      </c>
      <c r="J276" s="109"/>
      <c r="K276" s="112">
        <f t="shared" si="24"/>
        <v>333.1</v>
      </c>
      <c r="L276" s="39">
        <v>467.21</v>
      </c>
      <c r="M276" s="39">
        <v>710.5</v>
      </c>
      <c r="N276" s="39">
        <v>1200</v>
      </c>
      <c r="O276" s="39">
        <v>666.66</v>
      </c>
      <c r="P276" s="39">
        <v>666.67</v>
      </c>
      <c r="Q276" s="39">
        <v>333.1</v>
      </c>
      <c r="R276" s="98">
        <f t="shared" si="21"/>
        <v>1200</v>
      </c>
      <c r="S276" s="103">
        <f t="shared" si="25"/>
        <v>2.6025217652356649</v>
      </c>
      <c r="T276" s="95">
        <f t="shared" si="22"/>
        <v>1</v>
      </c>
    </row>
    <row r="277" spans="1:22" ht="24.75" customHeight="1" x14ac:dyDescent="0.3">
      <c r="A277" s="42" t="s">
        <v>437</v>
      </c>
      <c r="B277" s="110" t="s">
        <v>10</v>
      </c>
      <c r="C277" s="111">
        <f t="shared" si="26"/>
        <v>14</v>
      </c>
      <c r="D277" s="109">
        <v>14</v>
      </c>
      <c r="E277" s="109"/>
      <c r="F277" s="109"/>
      <c r="G277" s="109"/>
      <c r="H277" s="109"/>
      <c r="I277" s="109"/>
      <c r="J277" s="109"/>
      <c r="K277" s="112">
        <f t="shared" si="24"/>
        <v>2110</v>
      </c>
      <c r="L277" s="39">
        <v>2110</v>
      </c>
      <c r="M277" s="39"/>
      <c r="N277" s="39"/>
      <c r="O277" s="39"/>
      <c r="P277" s="39"/>
      <c r="Q277" s="39"/>
      <c r="R277" s="98">
        <f t="shared" si="21"/>
        <v>2110</v>
      </c>
      <c r="S277" s="103"/>
      <c r="T277" s="95">
        <f t="shared" si="22"/>
        <v>0</v>
      </c>
    </row>
    <row r="278" spans="1:22" ht="24.75" customHeight="1" x14ac:dyDescent="0.3">
      <c r="A278" s="42" t="s">
        <v>438</v>
      </c>
      <c r="B278" s="110" t="s">
        <v>38</v>
      </c>
      <c r="C278" s="111">
        <f t="shared" si="26"/>
        <v>1</v>
      </c>
      <c r="D278" s="109"/>
      <c r="E278" s="109"/>
      <c r="F278" s="109"/>
      <c r="G278" s="109"/>
      <c r="H278" s="109"/>
      <c r="I278" s="109">
        <v>1</v>
      </c>
      <c r="J278" s="109"/>
      <c r="K278" s="112">
        <f t="shared" si="24"/>
        <v>2795.8</v>
      </c>
      <c r="L278" s="39"/>
      <c r="M278" s="39"/>
      <c r="N278" s="39"/>
      <c r="O278" s="39"/>
      <c r="P278" s="39"/>
      <c r="Q278" s="39">
        <v>2795.8</v>
      </c>
      <c r="R278" s="98">
        <f t="shared" si="21"/>
        <v>2795.8</v>
      </c>
      <c r="S278" s="103"/>
      <c r="T278" s="95">
        <f t="shared" si="22"/>
        <v>0</v>
      </c>
    </row>
    <row r="279" spans="1:22" ht="24.75" customHeight="1" x14ac:dyDescent="0.3">
      <c r="A279" s="42" t="s">
        <v>41</v>
      </c>
      <c r="B279" s="110" t="s">
        <v>42</v>
      </c>
      <c r="C279" s="111">
        <f t="shared" si="26"/>
        <v>790</v>
      </c>
      <c r="D279" s="109">
        <v>18.5</v>
      </c>
      <c r="E279" s="109">
        <v>133</v>
      </c>
      <c r="F279" s="109">
        <v>292</v>
      </c>
      <c r="G279" s="109">
        <v>96</v>
      </c>
      <c r="H279" s="109">
        <v>96</v>
      </c>
      <c r="I279" s="109">
        <v>154.5</v>
      </c>
      <c r="J279" s="109"/>
      <c r="K279" s="112">
        <f t="shared" si="24"/>
        <v>651</v>
      </c>
      <c r="L279" s="39">
        <v>651</v>
      </c>
      <c r="M279" s="39">
        <v>651</v>
      </c>
      <c r="N279" s="39">
        <v>651</v>
      </c>
      <c r="O279" s="39">
        <v>651</v>
      </c>
      <c r="P279" s="39">
        <v>651</v>
      </c>
      <c r="Q279" s="39">
        <v>651</v>
      </c>
      <c r="R279" s="98">
        <f t="shared" si="21"/>
        <v>651</v>
      </c>
      <c r="S279" s="103"/>
      <c r="T279" s="95">
        <f t="shared" si="22"/>
        <v>0</v>
      </c>
    </row>
    <row r="280" spans="1:22" ht="24.75" customHeight="1" x14ac:dyDescent="0.3">
      <c r="A280" s="42" t="s">
        <v>439</v>
      </c>
      <c r="B280" s="110" t="s">
        <v>440</v>
      </c>
      <c r="C280" s="111">
        <f t="shared" si="26"/>
        <v>6</v>
      </c>
      <c r="D280" s="109">
        <v>1</v>
      </c>
      <c r="E280" s="109">
        <v>1</v>
      </c>
      <c r="F280" s="109">
        <v>1</v>
      </c>
      <c r="G280" s="109">
        <v>1</v>
      </c>
      <c r="H280" s="109">
        <v>1</v>
      </c>
      <c r="I280" s="109">
        <v>1</v>
      </c>
      <c r="J280" s="109"/>
      <c r="K280" s="112">
        <v>1850</v>
      </c>
      <c r="L280" s="39">
        <v>1850</v>
      </c>
      <c r="M280" s="39">
        <v>1533.3</v>
      </c>
      <c r="N280" s="39">
        <v>1850</v>
      </c>
      <c r="O280" s="39">
        <v>1850</v>
      </c>
      <c r="P280" s="39">
        <v>1850</v>
      </c>
      <c r="Q280" s="39">
        <v>1850</v>
      </c>
      <c r="R280" s="98">
        <f t="shared" si="21"/>
        <v>1850</v>
      </c>
      <c r="S280" s="103">
        <f t="shared" si="25"/>
        <v>0</v>
      </c>
      <c r="T280" s="95">
        <f t="shared" si="22"/>
        <v>0</v>
      </c>
    </row>
    <row r="281" spans="1:22" ht="24.75" customHeight="1" x14ac:dyDescent="0.3">
      <c r="A281" s="42" t="s">
        <v>32</v>
      </c>
      <c r="B281" s="110" t="s">
        <v>33</v>
      </c>
      <c r="C281" s="111">
        <f t="shared" si="26"/>
        <v>6145.4979000000003</v>
      </c>
      <c r="D281" s="109">
        <v>400</v>
      </c>
      <c r="E281" s="109">
        <v>183.90790000000001</v>
      </c>
      <c r="F281" s="109">
        <v>885.14</v>
      </c>
      <c r="G281" s="109">
        <v>425.24</v>
      </c>
      <c r="H281" s="109">
        <v>1751.21</v>
      </c>
      <c r="I281" s="109">
        <v>2500</v>
      </c>
      <c r="J281" s="109"/>
      <c r="K281" s="112">
        <f t="shared" si="24"/>
        <v>1.25</v>
      </c>
      <c r="L281" s="39">
        <v>1.25</v>
      </c>
      <c r="M281" s="39">
        <v>5.4734999999999996</v>
      </c>
      <c r="N281" s="39">
        <v>5.9</v>
      </c>
      <c r="O281" s="39">
        <v>5.47</v>
      </c>
      <c r="P281" s="39">
        <v>1.65</v>
      </c>
      <c r="Q281" s="39">
        <v>1.65</v>
      </c>
      <c r="R281" s="98">
        <f t="shared" si="21"/>
        <v>5.9</v>
      </c>
      <c r="S281" s="103">
        <f t="shared" si="25"/>
        <v>3.7200000000000006</v>
      </c>
      <c r="T281" s="95">
        <f t="shared" si="22"/>
        <v>1</v>
      </c>
    </row>
    <row r="282" spans="1:22" ht="24.75" customHeight="1" x14ac:dyDescent="0.3">
      <c r="A282" s="42" t="s">
        <v>34</v>
      </c>
      <c r="B282" s="110" t="s">
        <v>441</v>
      </c>
      <c r="C282" s="111">
        <f>D281+E282+F282+G282+H282+I282</f>
        <v>600</v>
      </c>
      <c r="D282" s="113">
        <v>400</v>
      </c>
      <c r="E282" s="109">
        <v>100</v>
      </c>
      <c r="F282" s="109"/>
      <c r="G282" s="109">
        <v>100</v>
      </c>
      <c r="H282" s="109"/>
      <c r="I282" s="109"/>
      <c r="J282" s="109"/>
      <c r="K282" s="112">
        <f t="shared" si="24"/>
        <v>2.99</v>
      </c>
      <c r="L282" s="39">
        <v>2.99</v>
      </c>
      <c r="M282" s="39">
        <v>14.115</v>
      </c>
      <c r="N282" s="39"/>
      <c r="O282" s="39">
        <v>14.12</v>
      </c>
      <c r="P282" s="39"/>
      <c r="Q282" s="39"/>
      <c r="R282" s="98">
        <f t="shared" si="21"/>
        <v>14.12</v>
      </c>
      <c r="S282" s="103">
        <f t="shared" si="25"/>
        <v>3.7224080267558524</v>
      </c>
      <c r="T282" s="95">
        <f t="shared" si="22"/>
        <v>1</v>
      </c>
    </row>
    <row r="283" spans="1:22" ht="24.75" customHeight="1" x14ac:dyDescent="0.3">
      <c r="A283" s="42" t="s">
        <v>442</v>
      </c>
      <c r="B283" s="110" t="s">
        <v>10</v>
      </c>
      <c r="C283" s="111">
        <f>D282+E283+F283+G283+H283+I283</f>
        <v>407</v>
      </c>
      <c r="D283" s="109">
        <v>2</v>
      </c>
      <c r="E283" s="109">
        <v>3</v>
      </c>
      <c r="F283" s="109"/>
      <c r="G283" s="109">
        <v>2</v>
      </c>
      <c r="H283" s="109">
        <v>1</v>
      </c>
      <c r="I283" s="109">
        <v>1</v>
      </c>
      <c r="J283" s="109"/>
      <c r="K283" s="112">
        <f t="shared" si="24"/>
        <v>164.726</v>
      </c>
      <c r="L283" s="39">
        <v>518.30999999999995</v>
      </c>
      <c r="M283" s="39">
        <v>164.726</v>
      </c>
      <c r="N283" s="39"/>
      <c r="O283" s="39">
        <v>164.73</v>
      </c>
      <c r="P283" s="39">
        <v>358.03</v>
      </c>
      <c r="Q283" s="39">
        <v>271.2</v>
      </c>
      <c r="R283" s="98">
        <f t="shared" si="21"/>
        <v>518.30999999999995</v>
      </c>
      <c r="S283" s="103">
        <f t="shared" si="25"/>
        <v>2.1464978206233378</v>
      </c>
      <c r="T283" s="95">
        <f t="shared" si="22"/>
        <v>1</v>
      </c>
    </row>
    <row r="284" spans="1:22" ht="24.75" customHeight="1" x14ac:dyDescent="0.3">
      <c r="A284" s="42" t="s">
        <v>481</v>
      </c>
      <c r="B284" s="110" t="s">
        <v>10</v>
      </c>
      <c r="C284" s="111">
        <f>D283+E284+F284+G284+H284+I284</f>
        <v>2</v>
      </c>
      <c r="D284" s="109">
        <v>3</v>
      </c>
      <c r="E284" s="109"/>
      <c r="F284" s="109"/>
      <c r="G284" s="109"/>
      <c r="H284" s="109"/>
      <c r="I284" s="109"/>
      <c r="J284" s="109"/>
      <c r="K284" s="112">
        <f t="shared" si="24"/>
        <v>5833.34</v>
      </c>
      <c r="L284" s="39">
        <v>5833.34</v>
      </c>
      <c r="M284" s="39"/>
      <c r="N284" s="39"/>
      <c r="O284" s="39"/>
      <c r="P284" s="39"/>
      <c r="Q284" s="39"/>
      <c r="R284" s="98">
        <f t="shared" si="21"/>
        <v>5833.34</v>
      </c>
      <c r="S284" s="103"/>
      <c r="T284" s="95">
        <f t="shared" si="22"/>
        <v>0</v>
      </c>
    </row>
    <row r="285" spans="1:22" ht="24.75" customHeight="1" x14ac:dyDescent="0.3">
      <c r="A285" s="42" t="s">
        <v>443</v>
      </c>
      <c r="B285" s="110" t="s">
        <v>10</v>
      </c>
      <c r="C285" s="111">
        <f t="shared" ref="C285:C304" si="27">D285+E285+F285+G285+H285+I285</f>
        <v>5</v>
      </c>
      <c r="D285" s="109"/>
      <c r="E285" s="109">
        <v>3</v>
      </c>
      <c r="F285" s="109"/>
      <c r="G285" s="109">
        <v>2</v>
      </c>
      <c r="H285" s="109"/>
      <c r="I285" s="109"/>
      <c r="J285" s="109"/>
      <c r="K285" s="112">
        <f t="shared" si="24"/>
        <v>835.476</v>
      </c>
      <c r="L285" s="39"/>
      <c r="M285" s="39">
        <v>835.476</v>
      </c>
      <c r="N285" s="39"/>
      <c r="O285" s="39">
        <v>835.48</v>
      </c>
      <c r="P285" s="39"/>
      <c r="Q285" s="39"/>
      <c r="R285" s="98">
        <f t="shared" si="21"/>
        <v>835.48</v>
      </c>
      <c r="S285" s="103"/>
      <c r="T285" s="95">
        <f t="shared" si="22"/>
        <v>0</v>
      </c>
    </row>
    <row r="286" spans="1:22" ht="24.75" customHeight="1" x14ac:dyDescent="0.3">
      <c r="A286" s="42" t="s">
        <v>444</v>
      </c>
      <c r="B286" s="110" t="s">
        <v>10</v>
      </c>
      <c r="C286" s="111">
        <f t="shared" si="27"/>
        <v>8</v>
      </c>
      <c r="D286" s="109">
        <v>2</v>
      </c>
      <c r="E286" s="109">
        <v>3</v>
      </c>
      <c r="F286" s="109"/>
      <c r="G286" s="109">
        <v>2</v>
      </c>
      <c r="H286" s="109">
        <v>1</v>
      </c>
      <c r="I286" s="109"/>
      <c r="J286" s="109"/>
      <c r="K286" s="112">
        <f t="shared" si="24"/>
        <v>754.69</v>
      </c>
      <c r="L286" s="39">
        <v>3231.58</v>
      </c>
      <c r="M286" s="39">
        <v>754.69</v>
      </c>
      <c r="N286" s="39"/>
      <c r="O286" s="39">
        <v>754.69</v>
      </c>
      <c r="P286" s="39">
        <v>2442</v>
      </c>
      <c r="Q286" s="39"/>
      <c r="R286" s="98">
        <f t="shared" si="21"/>
        <v>3231.58</v>
      </c>
      <c r="S286" s="103">
        <f t="shared" si="25"/>
        <v>3.2819965813777836</v>
      </c>
      <c r="T286" s="95">
        <f t="shared" si="22"/>
        <v>1</v>
      </c>
    </row>
    <row r="287" spans="1:22" ht="24.75" customHeight="1" x14ac:dyDescent="0.3">
      <c r="A287" s="42" t="s">
        <v>445</v>
      </c>
      <c r="B287" s="110" t="s">
        <v>10</v>
      </c>
      <c r="C287" s="111">
        <f t="shared" si="27"/>
        <v>1</v>
      </c>
      <c r="D287" s="109"/>
      <c r="E287" s="109"/>
      <c r="F287" s="109"/>
      <c r="G287" s="109"/>
      <c r="H287" s="109"/>
      <c r="I287" s="109">
        <v>1</v>
      </c>
      <c r="J287" s="109"/>
      <c r="K287" s="112">
        <f t="shared" si="24"/>
        <v>243.4</v>
      </c>
      <c r="L287" s="39"/>
      <c r="M287" s="39"/>
      <c r="N287" s="39"/>
      <c r="O287" s="39"/>
      <c r="P287" s="39"/>
      <c r="Q287" s="39">
        <v>243.4</v>
      </c>
      <c r="R287" s="98">
        <f t="shared" si="21"/>
        <v>243.4</v>
      </c>
      <c r="S287" s="103"/>
      <c r="T287" s="95">
        <f t="shared" si="22"/>
        <v>0</v>
      </c>
    </row>
    <row r="288" spans="1:22" ht="24.75" customHeight="1" x14ac:dyDescent="0.3">
      <c r="A288" s="42" t="s">
        <v>446</v>
      </c>
      <c r="B288" s="110" t="s">
        <v>10</v>
      </c>
      <c r="C288" s="111">
        <f t="shared" si="27"/>
        <v>6</v>
      </c>
      <c r="D288" s="109"/>
      <c r="E288" s="109"/>
      <c r="F288" s="109"/>
      <c r="G288" s="109"/>
      <c r="H288" s="109"/>
      <c r="I288" s="109">
        <v>6</v>
      </c>
      <c r="J288" s="109"/>
      <c r="K288" s="112">
        <f t="shared" si="24"/>
        <v>232</v>
      </c>
      <c r="L288" s="39"/>
      <c r="M288" s="39"/>
      <c r="N288" s="39"/>
      <c r="O288" s="39"/>
      <c r="P288" s="39"/>
      <c r="Q288" s="39">
        <v>232</v>
      </c>
      <c r="R288" s="98">
        <f t="shared" si="21"/>
        <v>232</v>
      </c>
      <c r="S288" s="103"/>
      <c r="T288" s="95">
        <f t="shared" si="22"/>
        <v>0</v>
      </c>
    </row>
    <row r="289" spans="1:20" ht="24.75" customHeight="1" x14ac:dyDescent="0.3">
      <c r="A289" s="42" t="s">
        <v>447</v>
      </c>
      <c r="B289" s="110" t="s">
        <v>10</v>
      </c>
      <c r="C289" s="111">
        <f t="shared" si="27"/>
        <v>19</v>
      </c>
      <c r="D289" s="109">
        <v>6</v>
      </c>
      <c r="E289" s="109">
        <v>3</v>
      </c>
      <c r="F289" s="109"/>
      <c r="G289" s="109">
        <v>2</v>
      </c>
      <c r="H289" s="109">
        <v>1</v>
      </c>
      <c r="I289" s="109">
        <v>7</v>
      </c>
      <c r="J289" s="109"/>
      <c r="K289" s="112">
        <f t="shared" si="24"/>
        <v>147.6</v>
      </c>
      <c r="L289" s="39">
        <v>302.99</v>
      </c>
      <c r="M289" s="39">
        <v>224.4</v>
      </c>
      <c r="N289" s="39"/>
      <c r="O289" s="39">
        <v>224.4</v>
      </c>
      <c r="P289" s="39">
        <v>224.4</v>
      </c>
      <c r="Q289" s="39">
        <v>147.6</v>
      </c>
      <c r="R289" s="98">
        <f t="shared" si="21"/>
        <v>302.99</v>
      </c>
      <c r="S289" s="103">
        <f t="shared" si="25"/>
        <v>1.052777777777778</v>
      </c>
      <c r="T289" s="95">
        <f t="shared" si="22"/>
        <v>1</v>
      </c>
    </row>
    <row r="290" spans="1:20" ht="24.75" customHeight="1" x14ac:dyDescent="0.3">
      <c r="A290" s="42" t="s">
        <v>448</v>
      </c>
      <c r="B290" s="110" t="s">
        <v>136</v>
      </c>
      <c r="C290" s="111">
        <f t="shared" si="27"/>
        <v>17</v>
      </c>
      <c r="D290" s="109"/>
      <c r="E290" s="109"/>
      <c r="F290" s="109"/>
      <c r="G290" s="109"/>
      <c r="H290" s="109"/>
      <c r="I290" s="109">
        <v>17</v>
      </c>
      <c r="J290" s="109"/>
      <c r="K290" s="112">
        <f t="shared" si="24"/>
        <v>210</v>
      </c>
      <c r="L290" s="39"/>
      <c r="M290" s="39"/>
      <c r="N290" s="39"/>
      <c r="O290" s="39"/>
      <c r="P290" s="39"/>
      <c r="Q290" s="39">
        <v>210</v>
      </c>
      <c r="R290" s="98">
        <f t="shared" si="21"/>
        <v>210</v>
      </c>
      <c r="S290" s="103"/>
      <c r="T290" s="95">
        <f t="shared" si="22"/>
        <v>0</v>
      </c>
    </row>
    <row r="291" spans="1:20" ht="24.75" customHeight="1" x14ac:dyDescent="0.3">
      <c r="A291" s="42" t="s">
        <v>449</v>
      </c>
      <c r="B291" s="110" t="s">
        <v>10</v>
      </c>
      <c r="C291" s="111">
        <f t="shared" si="27"/>
        <v>2</v>
      </c>
      <c r="D291" s="109">
        <v>2</v>
      </c>
      <c r="E291" s="109"/>
      <c r="F291" s="109"/>
      <c r="G291" s="109"/>
      <c r="H291" s="109"/>
      <c r="I291" s="109"/>
      <c r="J291" s="109"/>
      <c r="K291" s="112">
        <f t="shared" si="24"/>
        <v>292.64999999999998</v>
      </c>
      <c r="L291" s="39">
        <v>292.64999999999998</v>
      </c>
      <c r="M291" s="39"/>
      <c r="N291" s="39"/>
      <c r="O291" s="39"/>
      <c r="P291" s="39"/>
      <c r="Q291" s="39"/>
      <c r="R291" s="98">
        <f t="shared" si="21"/>
        <v>292.64999999999998</v>
      </c>
      <c r="S291" s="103"/>
      <c r="T291" s="95">
        <f t="shared" si="22"/>
        <v>0</v>
      </c>
    </row>
    <row r="292" spans="1:20" ht="24.75" customHeight="1" x14ac:dyDescent="0.3">
      <c r="A292" s="42" t="s">
        <v>450</v>
      </c>
      <c r="B292" s="110" t="s">
        <v>10</v>
      </c>
      <c r="C292" s="111">
        <f t="shared" si="27"/>
        <v>2</v>
      </c>
      <c r="D292" s="109">
        <v>2</v>
      </c>
      <c r="E292" s="109"/>
      <c r="F292" s="109"/>
      <c r="G292" s="109"/>
      <c r="H292" s="109"/>
      <c r="I292" s="109"/>
      <c r="J292" s="109"/>
      <c r="K292" s="112">
        <f t="shared" si="24"/>
        <v>452.96</v>
      </c>
      <c r="L292" s="39">
        <v>452.96</v>
      </c>
      <c r="M292" s="39"/>
      <c r="N292" s="39"/>
      <c r="O292" s="39"/>
      <c r="P292" s="39"/>
      <c r="Q292" s="39"/>
      <c r="R292" s="98">
        <f t="shared" si="21"/>
        <v>452.96</v>
      </c>
      <c r="S292" s="103"/>
      <c r="T292" s="95">
        <f t="shared" si="22"/>
        <v>0</v>
      </c>
    </row>
    <row r="293" spans="1:20" ht="24.75" customHeight="1" x14ac:dyDescent="0.3">
      <c r="A293" s="42" t="s">
        <v>451</v>
      </c>
      <c r="B293" s="110" t="s">
        <v>10</v>
      </c>
      <c r="C293" s="111">
        <f t="shared" si="27"/>
        <v>10</v>
      </c>
      <c r="D293" s="109">
        <v>9</v>
      </c>
      <c r="E293" s="109"/>
      <c r="F293" s="109"/>
      <c r="G293" s="109"/>
      <c r="H293" s="109"/>
      <c r="I293" s="109">
        <v>1</v>
      </c>
      <c r="J293" s="109"/>
      <c r="K293" s="112">
        <f t="shared" si="24"/>
        <v>1397.63</v>
      </c>
      <c r="L293" s="39">
        <v>1397.63</v>
      </c>
      <c r="M293" s="39"/>
      <c r="N293" s="39"/>
      <c r="O293" s="39"/>
      <c r="P293" s="39"/>
      <c r="Q293" s="39">
        <v>1838.5</v>
      </c>
      <c r="R293" s="98">
        <f t="shared" si="21"/>
        <v>1838.5</v>
      </c>
      <c r="S293" s="103">
        <f t="shared" si="25"/>
        <v>0.31544113964353926</v>
      </c>
      <c r="T293" s="95">
        <f t="shared" si="22"/>
        <v>0</v>
      </c>
    </row>
    <row r="294" spans="1:20" ht="24.75" customHeight="1" x14ac:dyDescent="0.3">
      <c r="A294" s="42" t="s">
        <v>452</v>
      </c>
      <c r="B294" s="110" t="s">
        <v>10</v>
      </c>
      <c r="C294" s="111">
        <f t="shared" si="27"/>
        <v>3</v>
      </c>
      <c r="D294" s="109"/>
      <c r="E294" s="109"/>
      <c r="F294" s="109"/>
      <c r="G294" s="109"/>
      <c r="H294" s="109"/>
      <c r="I294" s="109">
        <v>3</v>
      </c>
      <c r="J294" s="109"/>
      <c r="K294" s="112">
        <f t="shared" si="24"/>
        <v>2311.9</v>
      </c>
      <c r="L294" s="39"/>
      <c r="M294" s="39"/>
      <c r="N294" s="39"/>
      <c r="O294" s="39"/>
      <c r="P294" s="39"/>
      <c r="Q294" s="39">
        <v>2311.9</v>
      </c>
      <c r="R294" s="98">
        <f t="shared" si="21"/>
        <v>2311.9</v>
      </c>
      <c r="S294" s="103"/>
      <c r="T294" s="95">
        <f t="shared" si="22"/>
        <v>0</v>
      </c>
    </row>
    <row r="295" spans="1:20" ht="24.75" customHeight="1" x14ac:dyDescent="0.3">
      <c r="A295" s="42" t="s">
        <v>453</v>
      </c>
      <c r="B295" s="110" t="s">
        <v>10</v>
      </c>
      <c r="C295" s="111">
        <f t="shared" si="27"/>
        <v>1</v>
      </c>
      <c r="D295" s="109"/>
      <c r="E295" s="109"/>
      <c r="F295" s="109"/>
      <c r="G295" s="109"/>
      <c r="H295" s="109"/>
      <c r="I295" s="109">
        <v>1</v>
      </c>
      <c r="J295" s="109"/>
      <c r="K295" s="112">
        <f t="shared" si="24"/>
        <v>1256.22</v>
      </c>
      <c r="L295" s="39"/>
      <c r="M295" s="39"/>
      <c r="N295" s="39"/>
      <c r="O295" s="39"/>
      <c r="P295" s="39"/>
      <c r="Q295" s="39">
        <v>1256.22</v>
      </c>
      <c r="R295" s="98">
        <f t="shared" si="21"/>
        <v>1256.22</v>
      </c>
      <c r="S295" s="103"/>
      <c r="T295" s="95">
        <f t="shared" si="22"/>
        <v>0</v>
      </c>
    </row>
    <row r="296" spans="1:20" ht="24.75" customHeight="1" x14ac:dyDescent="0.3">
      <c r="A296" s="42" t="s">
        <v>454</v>
      </c>
      <c r="B296" s="110" t="s">
        <v>10</v>
      </c>
      <c r="C296" s="111">
        <f t="shared" si="27"/>
        <v>3</v>
      </c>
      <c r="D296" s="109">
        <v>2</v>
      </c>
      <c r="E296" s="109"/>
      <c r="F296" s="109"/>
      <c r="G296" s="109"/>
      <c r="H296" s="109"/>
      <c r="I296" s="109">
        <v>1</v>
      </c>
      <c r="J296" s="109"/>
      <c r="K296" s="112">
        <f t="shared" si="24"/>
        <v>393.5</v>
      </c>
      <c r="L296" s="39">
        <v>616.28</v>
      </c>
      <c r="M296" s="39"/>
      <c r="N296" s="39"/>
      <c r="O296" s="39"/>
      <c r="P296" s="39"/>
      <c r="Q296" s="39">
        <v>393.5</v>
      </c>
      <c r="R296" s="98">
        <f t="shared" si="21"/>
        <v>616.28</v>
      </c>
      <c r="S296" s="103">
        <f t="shared" si="25"/>
        <v>0.56614993646759837</v>
      </c>
      <c r="T296" s="95">
        <f t="shared" si="22"/>
        <v>0</v>
      </c>
    </row>
    <row r="297" spans="1:20" ht="24.75" customHeight="1" x14ac:dyDescent="0.3">
      <c r="A297" s="42" t="s">
        <v>455</v>
      </c>
      <c r="B297" s="110" t="s">
        <v>10</v>
      </c>
      <c r="C297" s="111">
        <f t="shared" si="27"/>
        <v>3</v>
      </c>
      <c r="D297" s="109">
        <v>3</v>
      </c>
      <c r="E297" s="109"/>
      <c r="F297" s="109"/>
      <c r="G297" s="109"/>
      <c r="H297" s="109"/>
      <c r="I297" s="109"/>
      <c r="J297" s="109"/>
      <c r="K297" s="112">
        <f t="shared" si="24"/>
        <v>439.62</v>
      </c>
      <c r="L297" s="39">
        <v>439.62</v>
      </c>
      <c r="M297" s="39"/>
      <c r="N297" s="39"/>
      <c r="O297" s="39"/>
      <c r="P297" s="39"/>
      <c r="Q297" s="39"/>
      <c r="R297" s="98">
        <f t="shared" si="21"/>
        <v>439.62</v>
      </c>
      <c r="S297" s="103"/>
      <c r="T297" s="95">
        <f t="shared" si="22"/>
        <v>0</v>
      </c>
    </row>
    <row r="298" spans="1:20" ht="24.75" customHeight="1" x14ac:dyDescent="0.3">
      <c r="A298" s="42" t="s">
        <v>44</v>
      </c>
      <c r="B298" s="110" t="s">
        <v>456</v>
      </c>
      <c r="C298" s="111">
        <f t="shared" si="27"/>
        <v>1</v>
      </c>
      <c r="D298" s="109"/>
      <c r="E298" s="109">
        <v>1</v>
      </c>
      <c r="F298" s="109"/>
      <c r="G298" s="109"/>
      <c r="H298" s="109"/>
      <c r="I298" s="109"/>
      <c r="J298" s="109"/>
      <c r="K298" s="112">
        <f t="shared" si="24"/>
        <v>10489</v>
      </c>
      <c r="L298" s="39"/>
      <c r="M298" s="39">
        <v>10489</v>
      </c>
      <c r="N298" s="39"/>
      <c r="O298" s="39"/>
      <c r="P298" s="39"/>
      <c r="Q298" s="39"/>
      <c r="R298" s="98">
        <f t="shared" si="21"/>
        <v>10489</v>
      </c>
      <c r="S298" s="103"/>
      <c r="T298" s="95">
        <f t="shared" si="22"/>
        <v>0</v>
      </c>
    </row>
    <row r="299" spans="1:20" ht="24.75" customHeight="1" x14ac:dyDescent="0.3">
      <c r="A299" s="42" t="s">
        <v>457</v>
      </c>
      <c r="B299" s="110" t="s">
        <v>38</v>
      </c>
      <c r="C299" s="111">
        <f t="shared" si="27"/>
        <v>2</v>
      </c>
      <c r="D299" s="109"/>
      <c r="E299" s="109"/>
      <c r="F299" s="109">
        <v>2</v>
      </c>
      <c r="G299" s="109"/>
      <c r="H299" s="109"/>
      <c r="I299" s="109"/>
      <c r="J299" s="109"/>
      <c r="K299" s="112">
        <f t="shared" si="24"/>
        <v>3233.3</v>
      </c>
      <c r="L299" s="39"/>
      <c r="M299" s="39"/>
      <c r="N299" s="39">
        <v>3233.3</v>
      </c>
      <c r="O299" s="39"/>
      <c r="P299" s="39"/>
      <c r="Q299" s="39"/>
      <c r="R299" s="98">
        <f t="shared" si="21"/>
        <v>3233.3</v>
      </c>
      <c r="S299" s="103"/>
      <c r="T299" s="95">
        <f t="shared" si="22"/>
        <v>0</v>
      </c>
    </row>
    <row r="300" spans="1:20" ht="24.75" customHeight="1" x14ac:dyDescent="0.3">
      <c r="A300" s="42" t="s">
        <v>458</v>
      </c>
      <c r="B300" s="110" t="s">
        <v>33</v>
      </c>
      <c r="C300" s="111">
        <f t="shared" si="27"/>
        <v>3905.81</v>
      </c>
      <c r="D300" s="109">
        <v>205.81</v>
      </c>
      <c r="E300" s="109"/>
      <c r="F300" s="109">
        <v>3700</v>
      </c>
      <c r="G300" s="109"/>
      <c r="H300" s="109"/>
      <c r="I300" s="109"/>
      <c r="J300" s="109"/>
      <c r="K300" s="112">
        <f t="shared" si="24"/>
        <v>39.299999999999997</v>
      </c>
      <c r="L300" s="39">
        <v>46.15</v>
      </c>
      <c r="M300" s="39"/>
      <c r="N300" s="39">
        <v>39.299999999999997</v>
      </c>
      <c r="O300" s="39"/>
      <c r="P300" s="39"/>
      <c r="Q300" s="39"/>
      <c r="R300" s="98">
        <f t="shared" si="21"/>
        <v>46.15</v>
      </c>
      <c r="S300" s="103">
        <f t="shared" si="25"/>
        <v>0.17430025445292618</v>
      </c>
      <c r="T300" s="95">
        <f t="shared" si="22"/>
        <v>0</v>
      </c>
    </row>
    <row r="301" spans="1:20" ht="24.75" customHeight="1" x14ac:dyDescent="0.3">
      <c r="A301" s="42" t="s">
        <v>459</v>
      </c>
      <c r="B301" s="110" t="s">
        <v>38</v>
      </c>
      <c r="C301" s="111">
        <f t="shared" si="27"/>
        <v>12</v>
      </c>
      <c r="D301" s="109"/>
      <c r="E301" s="109"/>
      <c r="F301" s="109">
        <v>12</v>
      </c>
      <c r="G301" s="109"/>
      <c r="H301" s="109"/>
      <c r="I301" s="109"/>
      <c r="J301" s="109"/>
      <c r="K301" s="112">
        <f t="shared" si="24"/>
        <v>4636.6000000000004</v>
      </c>
      <c r="L301" s="39"/>
      <c r="M301" s="39"/>
      <c r="N301" s="39">
        <v>4636.6000000000004</v>
      </c>
      <c r="O301" s="39"/>
      <c r="P301" s="39"/>
      <c r="Q301" s="39"/>
      <c r="R301" s="98">
        <f t="shared" si="21"/>
        <v>4636.6000000000004</v>
      </c>
      <c r="S301" s="103">
        <f t="shared" si="25"/>
        <v>0</v>
      </c>
      <c r="T301" s="95">
        <f t="shared" si="22"/>
        <v>0</v>
      </c>
    </row>
    <row r="302" spans="1:20" ht="24.75" customHeight="1" x14ac:dyDescent="0.3">
      <c r="A302" s="42" t="s">
        <v>45</v>
      </c>
      <c r="B302" s="110" t="s">
        <v>10</v>
      </c>
      <c r="C302" s="111">
        <f t="shared" si="27"/>
        <v>13</v>
      </c>
      <c r="D302" s="109">
        <v>13</v>
      </c>
      <c r="E302" s="109"/>
      <c r="F302" s="109"/>
      <c r="G302" s="109"/>
      <c r="H302" s="109"/>
      <c r="I302" s="109"/>
      <c r="J302" s="109"/>
      <c r="K302" s="112">
        <f t="shared" si="24"/>
        <v>2233.34</v>
      </c>
      <c r="L302" s="39">
        <v>2233.34</v>
      </c>
      <c r="M302" s="39"/>
      <c r="N302" s="39"/>
      <c r="O302" s="39"/>
      <c r="P302" s="39"/>
      <c r="Q302" s="39"/>
      <c r="R302" s="98">
        <f t="shared" si="21"/>
        <v>2233.34</v>
      </c>
      <c r="S302" s="103">
        <f t="shared" si="25"/>
        <v>0</v>
      </c>
      <c r="T302" s="95">
        <f t="shared" si="22"/>
        <v>0</v>
      </c>
    </row>
    <row r="303" spans="1:20" ht="24.75" customHeight="1" x14ac:dyDescent="0.3">
      <c r="A303" s="42" t="s">
        <v>460</v>
      </c>
      <c r="B303" s="110" t="s">
        <v>9</v>
      </c>
      <c r="C303" s="111">
        <f t="shared" si="27"/>
        <v>1</v>
      </c>
      <c r="D303" s="109">
        <v>1</v>
      </c>
      <c r="E303" s="109"/>
      <c r="F303" s="109"/>
      <c r="G303" s="109"/>
      <c r="H303" s="109"/>
      <c r="I303" s="109"/>
      <c r="J303" s="109"/>
      <c r="K303" s="112">
        <f t="shared" si="24"/>
        <v>11356.67</v>
      </c>
      <c r="L303" s="39">
        <v>11356.67</v>
      </c>
      <c r="M303" s="39"/>
      <c r="N303" s="39"/>
      <c r="O303" s="39"/>
      <c r="P303" s="39"/>
      <c r="Q303" s="39"/>
      <c r="R303" s="98">
        <f t="shared" si="21"/>
        <v>11356.67</v>
      </c>
      <c r="S303" s="103">
        <f t="shared" si="25"/>
        <v>0</v>
      </c>
      <c r="T303" s="95">
        <f t="shared" si="22"/>
        <v>0</v>
      </c>
    </row>
    <row r="304" spans="1:20" ht="24.75" customHeight="1" x14ac:dyDescent="0.3">
      <c r="A304" s="42" t="s">
        <v>461</v>
      </c>
      <c r="B304" s="110" t="s">
        <v>33</v>
      </c>
      <c r="C304" s="111">
        <f t="shared" si="27"/>
        <v>40</v>
      </c>
      <c r="D304" s="109"/>
      <c r="E304" s="109"/>
      <c r="F304" s="109"/>
      <c r="G304" s="109"/>
      <c r="H304" s="109">
        <v>40</v>
      </c>
      <c r="I304" s="109"/>
      <c r="J304" s="109"/>
      <c r="K304" s="112">
        <f t="shared" si="24"/>
        <v>1886.67</v>
      </c>
      <c r="L304" s="39"/>
      <c r="M304" s="39"/>
      <c r="N304" s="39"/>
      <c r="O304" s="39"/>
      <c r="P304" s="39">
        <v>1886.67</v>
      </c>
      <c r="Q304" s="39"/>
      <c r="R304" s="98">
        <f t="shared" si="21"/>
        <v>1886.67</v>
      </c>
      <c r="S304" s="103">
        <f t="shared" si="25"/>
        <v>0</v>
      </c>
      <c r="T304" s="95">
        <f t="shared" si="22"/>
        <v>0</v>
      </c>
    </row>
    <row r="305" spans="1:20" ht="27" hidden="1" customHeight="1" x14ac:dyDescent="0.3">
      <c r="A305" s="22" t="s">
        <v>16</v>
      </c>
      <c r="B305" s="23" t="s">
        <v>3</v>
      </c>
      <c r="C305" s="19" t="e">
        <f t="shared" ref="C305:I305" si="28">SUM(C306:C310)</f>
        <v>#VALUE!</v>
      </c>
      <c r="D305" s="24">
        <f t="shared" si="28"/>
        <v>5063</v>
      </c>
      <c r="E305" s="24">
        <f t="shared" si="28"/>
        <v>31000</v>
      </c>
      <c r="F305" s="24">
        <f t="shared" si="28"/>
        <v>36</v>
      </c>
      <c r="G305" s="24">
        <f t="shared" si="28"/>
        <v>236</v>
      </c>
      <c r="H305" s="24">
        <f t="shared" si="28"/>
        <v>212</v>
      </c>
      <c r="I305" s="24">
        <f t="shared" si="28"/>
        <v>12</v>
      </c>
      <c r="J305" s="24"/>
      <c r="K305" s="100">
        <f t="shared" ref="K305:K310" si="29">MIN(L305:Q305)</f>
        <v>0</v>
      </c>
      <c r="L305" s="24">
        <v>0</v>
      </c>
      <c r="M305" s="24">
        <v>3.06</v>
      </c>
      <c r="N305" s="24">
        <v>0</v>
      </c>
      <c r="O305" s="24">
        <v>1861.973</v>
      </c>
      <c r="P305" s="24">
        <v>1241.1500000000001</v>
      </c>
      <c r="Q305" s="24">
        <v>3852.77</v>
      </c>
      <c r="R305" s="98">
        <f t="shared" ref="R305:R310" si="30">MAX(L305:Q305)</f>
        <v>3852.77</v>
      </c>
      <c r="S305" s="103"/>
      <c r="T305" s="95">
        <f t="shared" ref="T305:T310" si="31">IF(S305&gt;1,1,0)</f>
        <v>0</v>
      </c>
    </row>
    <row r="306" spans="1:20" ht="24.75" hidden="1" customHeight="1" x14ac:dyDescent="0.3">
      <c r="A306" s="42" t="s">
        <v>148</v>
      </c>
      <c r="B306" s="110" t="s">
        <v>462</v>
      </c>
      <c r="C306" s="111">
        <f>D306+E306+F306+G306+H306+I306</f>
        <v>36275</v>
      </c>
      <c r="D306" s="109">
        <v>5063</v>
      </c>
      <c r="E306" s="109">
        <v>31000</v>
      </c>
      <c r="F306" s="109">
        <v>12</v>
      </c>
      <c r="G306" s="109">
        <v>200</v>
      </c>
      <c r="H306" s="109"/>
      <c r="I306" s="109"/>
      <c r="J306" s="109"/>
      <c r="K306" s="112">
        <f t="shared" si="29"/>
        <v>2.1429999999999998</v>
      </c>
      <c r="L306" s="39"/>
      <c r="M306" s="39">
        <v>3.06</v>
      </c>
      <c r="N306" s="39"/>
      <c r="O306" s="39">
        <v>2.1429999999999998</v>
      </c>
      <c r="P306" s="39"/>
      <c r="Q306" s="39">
        <v>3.02</v>
      </c>
      <c r="R306" s="98">
        <f t="shared" si="30"/>
        <v>3.06</v>
      </c>
      <c r="S306" s="103">
        <f>R306/K306-1</f>
        <v>0.42790480634624384</v>
      </c>
      <c r="T306" s="95">
        <f t="shared" si="31"/>
        <v>0</v>
      </c>
    </row>
    <row r="307" spans="1:20" ht="24.75" hidden="1" customHeight="1" x14ac:dyDescent="0.3">
      <c r="A307" s="42" t="s">
        <v>149</v>
      </c>
      <c r="B307" s="110" t="s">
        <v>431</v>
      </c>
      <c r="C307" s="111">
        <f>D307+E307+F307+G307+H307+I307</f>
        <v>24</v>
      </c>
      <c r="D307" s="109"/>
      <c r="E307" s="109"/>
      <c r="F307" s="109">
        <v>12</v>
      </c>
      <c r="G307" s="109">
        <v>12</v>
      </c>
      <c r="H307" s="109"/>
      <c r="I307" s="109"/>
      <c r="J307" s="109"/>
      <c r="K307" s="112">
        <f t="shared" si="29"/>
        <v>520.83000000000004</v>
      </c>
      <c r="L307" s="39"/>
      <c r="M307" s="39"/>
      <c r="N307" s="39"/>
      <c r="O307" s="39">
        <v>520.83000000000004</v>
      </c>
      <c r="P307" s="39"/>
      <c r="Q307" s="39"/>
      <c r="R307" s="98">
        <f t="shared" si="30"/>
        <v>520.83000000000004</v>
      </c>
      <c r="S307" s="103">
        <f>R307/K307-1</f>
        <v>0</v>
      </c>
      <c r="T307" s="95">
        <f t="shared" si="31"/>
        <v>0</v>
      </c>
    </row>
    <row r="308" spans="1:20" ht="24.75" hidden="1" customHeight="1" x14ac:dyDescent="0.3">
      <c r="A308" s="42" t="s">
        <v>463</v>
      </c>
      <c r="B308" s="110" t="s">
        <v>431</v>
      </c>
      <c r="C308" s="111">
        <f>D308+E308+F308+G308+H308+I308</f>
        <v>48</v>
      </c>
      <c r="D308" s="109"/>
      <c r="E308" s="109"/>
      <c r="F308" s="109">
        <v>12</v>
      </c>
      <c r="G308" s="109">
        <v>12</v>
      </c>
      <c r="H308" s="109">
        <v>12</v>
      </c>
      <c r="I308" s="109">
        <v>12</v>
      </c>
      <c r="J308" s="109"/>
      <c r="K308" s="112">
        <f t="shared" si="29"/>
        <v>1239</v>
      </c>
      <c r="L308" s="39"/>
      <c r="M308" s="39"/>
      <c r="N308" s="39"/>
      <c r="O308" s="39">
        <v>1239</v>
      </c>
      <c r="P308" s="39">
        <v>1239</v>
      </c>
      <c r="Q308" s="39">
        <v>3849.75</v>
      </c>
      <c r="R308" s="98">
        <f t="shared" si="30"/>
        <v>3849.75</v>
      </c>
      <c r="S308" s="103">
        <f>R308/K308-1</f>
        <v>2.1071428571428572</v>
      </c>
      <c r="T308" s="95">
        <f t="shared" si="31"/>
        <v>1</v>
      </c>
    </row>
    <row r="309" spans="1:20" ht="24.75" hidden="1" customHeight="1" x14ac:dyDescent="0.3">
      <c r="A309" s="42" t="s">
        <v>464</v>
      </c>
      <c r="B309" s="110" t="s">
        <v>431</v>
      </c>
      <c r="C309" s="111" t="e">
        <f>D309+E309+F309+G309+H309+I309</f>
        <v>#VALUE!</v>
      </c>
      <c r="D309" s="109"/>
      <c r="E309" s="109"/>
      <c r="F309" s="109" t="s">
        <v>305</v>
      </c>
      <c r="G309" s="109">
        <v>12</v>
      </c>
      <c r="H309" s="109"/>
      <c r="I309" s="109"/>
      <c r="J309" s="109"/>
      <c r="K309" s="112">
        <f t="shared" si="29"/>
        <v>100</v>
      </c>
      <c r="L309" s="39"/>
      <c r="M309" s="39"/>
      <c r="N309" s="39"/>
      <c r="O309" s="39">
        <v>100</v>
      </c>
      <c r="P309" s="39"/>
      <c r="Q309" s="39"/>
      <c r="R309" s="98">
        <f t="shared" si="30"/>
        <v>100</v>
      </c>
      <c r="S309" s="103">
        <f>R309/K309-1</f>
        <v>0</v>
      </c>
      <c r="T309" s="95">
        <f t="shared" si="31"/>
        <v>0</v>
      </c>
    </row>
    <row r="310" spans="1:20" ht="24.75" hidden="1" customHeight="1" x14ac:dyDescent="0.3">
      <c r="A310" s="42" t="s">
        <v>465</v>
      </c>
      <c r="B310" s="110" t="s">
        <v>462</v>
      </c>
      <c r="C310" s="111">
        <f>D310+E310+F310+G310+H310+I310</f>
        <v>200</v>
      </c>
      <c r="D310" s="109"/>
      <c r="E310" s="109"/>
      <c r="F310" s="109"/>
      <c r="G310" s="109"/>
      <c r="H310" s="109">
        <v>200</v>
      </c>
      <c r="I310" s="109"/>
      <c r="J310" s="109"/>
      <c r="K310" s="112">
        <f t="shared" si="29"/>
        <v>2.15</v>
      </c>
      <c r="L310" s="39"/>
      <c r="M310" s="39"/>
      <c r="N310" s="39"/>
      <c r="O310" s="39"/>
      <c r="P310" s="39">
        <v>2.15</v>
      </c>
      <c r="Q310" s="39"/>
      <c r="R310" s="98">
        <f t="shared" si="30"/>
        <v>2.15</v>
      </c>
      <c r="S310" s="103">
        <f>R310/K310-1</f>
        <v>0</v>
      </c>
      <c r="T310" s="95">
        <f t="shared" si="31"/>
        <v>0</v>
      </c>
    </row>
    <row r="311" spans="1:20" ht="12.75" customHeight="1" x14ac:dyDescent="0.3">
      <c r="A311" s="95"/>
      <c r="B311" s="95"/>
      <c r="C311" s="97"/>
      <c r="D311" s="95"/>
      <c r="E311" s="95"/>
      <c r="F311" s="95"/>
      <c r="G311" s="95"/>
      <c r="H311" s="95"/>
      <c r="I311" s="95"/>
      <c r="J311" s="95"/>
      <c r="K311" s="95"/>
      <c r="L311" s="95"/>
      <c r="M311" s="95"/>
      <c r="N311" s="95"/>
      <c r="O311" s="95"/>
      <c r="P311" s="95"/>
      <c r="Q311" s="95"/>
      <c r="R311" s="95"/>
      <c r="S311" s="95"/>
      <c r="T311" s="95"/>
    </row>
    <row r="312" spans="1:20" ht="12.75" customHeight="1" x14ac:dyDescent="0.3">
      <c r="A312" s="95"/>
      <c r="B312" s="95"/>
      <c r="C312" s="97"/>
      <c r="D312" s="95"/>
      <c r="E312" s="95"/>
      <c r="F312" s="95"/>
      <c r="G312" s="95"/>
      <c r="H312" s="95"/>
      <c r="I312" s="95"/>
      <c r="J312" s="95"/>
      <c r="K312" s="95"/>
      <c r="L312" s="95"/>
      <c r="M312" s="95"/>
      <c r="N312" s="95"/>
      <c r="O312" s="95"/>
      <c r="P312" s="95"/>
      <c r="Q312" s="95"/>
      <c r="R312" s="95"/>
      <c r="S312" s="95"/>
      <c r="T312" s="95"/>
    </row>
    <row r="313" spans="1:20" ht="12.75" customHeight="1" x14ac:dyDescent="0.3">
      <c r="A313" s="95"/>
      <c r="B313" s="95"/>
      <c r="C313" s="97"/>
      <c r="D313" s="95"/>
      <c r="E313" s="95"/>
      <c r="F313" s="95"/>
      <c r="G313" s="95"/>
      <c r="H313" s="95"/>
      <c r="I313" s="95"/>
      <c r="J313" s="95"/>
      <c r="K313" s="95"/>
      <c r="L313" s="95"/>
      <c r="M313" s="95"/>
      <c r="N313" s="95"/>
      <c r="O313" s="95"/>
      <c r="P313" s="95"/>
      <c r="Q313" s="95"/>
      <c r="R313" s="95"/>
      <c r="S313" s="95"/>
      <c r="T313" s="95"/>
    </row>
    <row r="314" spans="1:20" ht="12.75" customHeight="1" x14ac:dyDescent="0.3">
      <c r="A314" s="95"/>
      <c r="B314" s="95"/>
      <c r="C314" s="97"/>
      <c r="D314" s="95"/>
      <c r="E314" s="95"/>
      <c r="F314" s="95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  <c r="S314" s="95"/>
      <c r="T314" s="95"/>
    </row>
    <row r="315" spans="1:20" ht="12.75" customHeight="1" x14ac:dyDescent="0.3">
      <c r="A315" s="95"/>
      <c r="B315" s="95"/>
      <c r="C315" s="97"/>
      <c r="D315" s="95"/>
      <c r="E315" s="95"/>
      <c r="F315" s="95"/>
      <c r="G315" s="95"/>
      <c r="H315" s="95"/>
      <c r="I315" s="95"/>
      <c r="J315" s="95"/>
      <c r="K315" s="95"/>
      <c r="L315" s="95"/>
      <c r="M315" s="95"/>
      <c r="N315" s="95"/>
      <c r="O315" s="95"/>
      <c r="P315" s="95"/>
      <c r="Q315" s="95"/>
      <c r="R315" s="95"/>
      <c r="S315" s="95"/>
      <c r="T315" s="95"/>
    </row>
    <row r="316" spans="1:20" ht="12.75" customHeight="1" x14ac:dyDescent="0.3">
      <c r="A316" s="95"/>
      <c r="B316" s="95"/>
      <c r="C316" s="97"/>
      <c r="D316" s="95"/>
      <c r="E316" s="95"/>
      <c r="F316" s="95"/>
      <c r="G316" s="95"/>
      <c r="H316" s="95"/>
      <c r="I316" s="95"/>
      <c r="J316" s="95"/>
      <c r="K316" s="95"/>
      <c r="L316" s="95"/>
      <c r="M316" s="95"/>
      <c r="N316" s="95"/>
      <c r="O316" s="95"/>
      <c r="P316" s="95"/>
      <c r="Q316" s="95"/>
      <c r="R316" s="95"/>
      <c r="S316" s="95"/>
      <c r="T316" s="95"/>
    </row>
    <row r="317" spans="1:20" ht="12.75" customHeight="1" x14ac:dyDescent="0.3">
      <c r="A317" s="95"/>
      <c r="B317" s="95"/>
      <c r="C317" s="97"/>
      <c r="D317" s="95"/>
      <c r="E317" s="95"/>
      <c r="F317" s="95"/>
      <c r="G317" s="95"/>
      <c r="H317" s="95"/>
      <c r="I317" s="95"/>
      <c r="J317" s="95"/>
      <c r="K317" s="95"/>
      <c r="L317" s="95"/>
      <c r="M317" s="95"/>
      <c r="N317" s="95"/>
      <c r="O317" s="95"/>
      <c r="P317" s="95"/>
      <c r="Q317" s="95"/>
      <c r="R317" s="95"/>
      <c r="S317" s="95"/>
      <c r="T317" s="95"/>
    </row>
    <row r="318" spans="1:20" ht="12.75" customHeight="1" x14ac:dyDescent="0.3">
      <c r="A318" s="95"/>
      <c r="B318" s="95"/>
      <c r="C318" s="97"/>
      <c r="D318" s="95"/>
      <c r="E318" s="95"/>
      <c r="F318" s="95"/>
      <c r="G318" s="95"/>
      <c r="H318" s="95"/>
      <c r="I318" s="95"/>
      <c r="J318" s="95"/>
      <c r="K318" s="95"/>
      <c r="L318" s="95"/>
      <c r="M318" s="95"/>
      <c r="N318" s="95"/>
      <c r="O318" s="95"/>
      <c r="P318" s="95"/>
      <c r="Q318" s="95"/>
      <c r="R318" s="95"/>
      <c r="S318" s="95"/>
      <c r="T318" s="95"/>
    </row>
    <row r="319" spans="1:20" ht="12.75" customHeight="1" x14ac:dyDescent="0.3">
      <c r="A319" s="95"/>
      <c r="B319" s="95"/>
      <c r="C319" s="97"/>
      <c r="D319" s="95"/>
      <c r="E319" s="95"/>
      <c r="F319" s="95"/>
      <c r="G319" s="95"/>
      <c r="H319" s="95"/>
      <c r="I319" s="95"/>
      <c r="J319" s="95"/>
      <c r="K319" s="95"/>
      <c r="L319" s="95"/>
      <c r="M319" s="95"/>
      <c r="N319" s="95"/>
      <c r="O319" s="95"/>
      <c r="P319" s="95"/>
      <c r="Q319" s="95"/>
      <c r="R319" s="95"/>
      <c r="S319" s="95"/>
      <c r="T319" s="95"/>
    </row>
    <row r="320" spans="1:20" ht="12.75" customHeight="1" x14ac:dyDescent="0.3">
      <c r="A320" s="95"/>
      <c r="B320" s="95"/>
      <c r="C320" s="97"/>
      <c r="D320" s="95"/>
      <c r="E320" s="95"/>
      <c r="F320" s="95"/>
      <c r="G320" s="95"/>
      <c r="H320" s="95"/>
      <c r="I320" s="95"/>
      <c r="J320" s="95"/>
      <c r="K320" s="95"/>
      <c r="L320" s="95"/>
      <c r="M320" s="95"/>
      <c r="N320" s="95"/>
      <c r="O320" s="95"/>
      <c r="P320" s="95"/>
      <c r="Q320" s="95"/>
      <c r="R320" s="95"/>
      <c r="S320" s="95"/>
      <c r="T320" s="95"/>
    </row>
    <row r="321" spans="1:20" ht="12.75" customHeight="1" x14ac:dyDescent="0.3">
      <c r="A321" s="95"/>
      <c r="B321" s="95"/>
      <c r="C321" s="97"/>
      <c r="D321" s="95"/>
      <c r="E321" s="95"/>
      <c r="F321" s="95"/>
      <c r="G321" s="95"/>
      <c r="H321" s="95"/>
      <c r="I321" s="95"/>
      <c r="J321" s="95"/>
      <c r="K321" s="95"/>
      <c r="L321" s="95"/>
      <c r="M321" s="95"/>
      <c r="N321" s="95"/>
      <c r="O321" s="95"/>
      <c r="P321" s="95"/>
      <c r="Q321" s="95"/>
      <c r="R321" s="95"/>
      <c r="S321" s="95"/>
      <c r="T321" s="95"/>
    </row>
    <row r="322" spans="1:20" ht="12.75" customHeight="1" x14ac:dyDescent="0.3">
      <c r="A322" s="95"/>
      <c r="B322" s="95"/>
      <c r="C322" s="97"/>
      <c r="D322" s="95"/>
      <c r="E322" s="95"/>
      <c r="F322" s="95"/>
      <c r="G322" s="95"/>
      <c r="H322" s="95"/>
      <c r="I322" s="95"/>
      <c r="J322" s="95"/>
      <c r="K322" s="95"/>
      <c r="L322" s="95"/>
      <c r="M322" s="95"/>
      <c r="N322" s="95"/>
      <c r="O322" s="95"/>
      <c r="P322" s="95"/>
      <c r="Q322" s="95"/>
      <c r="R322" s="95"/>
      <c r="S322" s="95"/>
      <c r="T322" s="95"/>
    </row>
    <row r="323" spans="1:20" ht="12.75" customHeight="1" x14ac:dyDescent="0.3">
      <c r="A323" s="95"/>
      <c r="B323" s="95"/>
      <c r="C323" s="97"/>
      <c r="D323" s="95"/>
      <c r="E323" s="95"/>
      <c r="F323" s="95"/>
      <c r="G323" s="95"/>
      <c r="H323" s="95"/>
      <c r="I323" s="95"/>
      <c r="J323" s="95"/>
      <c r="K323" s="95"/>
      <c r="L323" s="95"/>
      <c r="M323" s="95"/>
      <c r="N323" s="95"/>
      <c r="O323" s="95"/>
      <c r="P323" s="95"/>
      <c r="Q323" s="95"/>
      <c r="R323" s="95"/>
      <c r="S323" s="95"/>
      <c r="T323" s="95"/>
    </row>
    <row r="324" spans="1:20" ht="12.75" customHeight="1" x14ac:dyDescent="0.3">
      <c r="A324" s="95"/>
      <c r="B324" s="95"/>
      <c r="C324" s="97"/>
      <c r="D324" s="95"/>
      <c r="E324" s="95"/>
      <c r="F324" s="95"/>
      <c r="G324" s="95"/>
      <c r="H324" s="95"/>
      <c r="I324" s="95"/>
      <c r="J324" s="95"/>
      <c r="K324" s="95"/>
      <c r="L324" s="95"/>
      <c r="M324" s="95"/>
      <c r="N324" s="95"/>
      <c r="O324" s="95"/>
      <c r="P324" s="95"/>
      <c r="Q324" s="95"/>
      <c r="R324" s="95"/>
      <c r="S324" s="95"/>
      <c r="T324" s="95"/>
    </row>
    <row r="325" spans="1:20" ht="12.75" customHeight="1" x14ac:dyDescent="0.3">
      <c r="A325" s="95"/>
      <c r="B325" s="95"/>
      <c r="C325" s="97"/>
      <c r="D325" s="95"/>
      <c r="E325" s="95"/>
      <c r="F325" s="95"/>
      <c r="G325" s="95"/>
      <c r="H325" s="95"/>
      <c r="I325" s="95"/>
      <c r="J325" s="95"/>
      <c r="K325" s="95"/>
      <c r="L325" s="95"/>
      <c r="M325" s="95"/>
      <c r="N325" s="95"/>
      <c r="O325" s="95"/>
      <c r="P325" s="95"/>
      <c r="Q325" s="95"/>
      <c r="R325" s="95"/>
      <c r="S325" s="95"/>
      <c r="T325" s="95"/>
    </row>
    <row r="326" spans="1:20" ht="12.75" customHeight="1" x14ac:dyDescent="0.3">
      <c r="A326" s="95"/>
      <c r="B326" s="95"/>
      <c r="C326" s="97"/>
      <c r="D326" s="95"/>
      <c r="E326" s="95"/>
      <c r="F326" s="95"/>
      <c r="G326" s="95"/>
      <c r="H326" s="95"/>
      <c r="I326" s="95"/>
      <c r="J326" s="95"/>
      <c r="K326" s="95"/>
      <c r="L326" s="95"/>
      <c r="M326" s="95"/>
      <c r="N326" s="95"/>
      <c r="O326" s="95"/>
      <c r="P326" s="95"/>
      <c r="Q326" s="95"/>
      <c r="R326" s="95"/>
      <c r="S326" s="95"/>
      <c r="T326" s="95"/>
    </row>
    <row r="327" spans="1:20" ht="12.75" customHeight="1" x14ac:dyDescent="0.3">
      <c r="A327" s="95"/>
      <c r="B327" s="95"/>
      <c r="C327" s="97"/>
      <c r="D327" s="95"/>
      <c r="E327" s="95"/>
      <c r="F327" s="95"/>
      <c r="G327" s="95"/>
      <c r="H327" s="95"/>
      <c r="I327" s="95"/>
      <c r="J327" s="95"/>
      <c r="K327" s="95"/>
      <c r="L327" s="95"/>
      <c r="M327" s="95"/>
      <c r="N327" s="95"/>
      <c r="O327" s="95"/>
      <c r="P327" s="95"/>
      <c r="Q327" s="95"/>
      <c r="R327" s="95"/>
      <c r="S327" s="95"/>
      <c r="T327" s="95"/>
    </row>
    <row r="328" spans="1:20" ht="12.75" customHeight="1" x14ac:dyDescent="0.3">
      <c r="A328" s="95"/>
      <c r="B328" s="95"/>
      <c r="C328" s="97"/>
      <c r="D328" s="95"/>
      <c r="E328" s="95"/>
      <c r="F328" s="95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  <c r="S328" s="95"/>
      <c r="T328" s="95"/>
    </row>
    <row r="329" spans="1:20" ht="12.75" customHeight="1" x14ac:dyDescent="0.3">
      <c r="A329" s="95"/>
      <c r="B329" s="95"/>
      <c r="C329" s="97"/>
      <c r="D329" s="95"/>
      <c r="E329" s="95"/>
      <c r="F329" s="95"/>
      <c r="G329" s="95"/>
      <c r="H329" s="95"/>
      <c r="I329" s="95"/>
      <c r="J329" s="95"/>
      <c r="K329" s="95"/>
      <c r="L329" s="95"/>
      <c r="M329" s="95"/>
      <c r="N329" s="95"/>
      <c r="O329" s="95"/>
      <c r="P329" s="95"/>
      <c r="Q329" s="95"/>
      <c r="R329" s="95"/>
      <c r="S329" s="95"/>
      <c r="T329" s="95"/>
    </row>
    <row r="330" spans="1:20" ht="12.75" customHeight="1" x14ac:dyDescent="0.3">
      <c r="A330" s="95"/>
      <c r="B330" s="95"/>
      <c r="C330" s="97"/>
      <c r="D330" s="95"/>
      <c r="E330" s="95"/>
      <c r="F330" s="95"/>
      <c r="G330" s="95"/>
      <c r="H330" s="95"/>
      <c r="I330" s="95"/>
      <c r="J330" s="95"/>
      <c r="K330" s="95"/>
      <c r="L330" s="95"/>
      <c r="M330" s="95"/>
      <c r="N330" s="95"/>
      <c r="O330" s="95"/>
      <c r="P330" s="95"/>
      <c r="Q330" s="95"/>
      <c r="R330" s="95"/>
      <c r="S330" s="95"/>
      <c r="T330" s="95"/>
    </row>
    <row r="331" spans="1:20" ht="12.75" customHeight="1" x14ac:dyDescent="0.3">
      <c r="A331" s="95"/>
      <c r="B331" s="95"/>
      <c r="C331" s="97"/>
      <c r="D331" s="95"/>
      <c r="E331" s="95"/>
      <c r="F331" s="95"/>
      <c r="G331" s="95"/>
      <c r="H331" s="95"/>
      <c r="I331" s="95"/>
      <c r="J331" s="95"/>
      <c r="K331" s="95"/>
      <c r="L331" s="95"/>
      <c r="M331" s="95"/>
      <c r="N331" s="95"/>
      <c r="O331" s="95"/>
      <c r="P331" s="95"/>
      <c r="Q331" s="95"/>
      <c r="R331" s="95"/>
      <c r="S331" s="95"/>
      <c r="T331" s="95"/>
    </row>
    <row r="332" spans="1:20" ht="12.75" customHeight="1" x14ac:dyDescent="0.3">
      <c r="A332" s="95"/>
      <c r="B332" s="95"/>
      <c r="C332" s="97"/>
      <c r="D332" s="95"/>
      <c r="E332" s="95"/>
      <c r="F332" s="95"/>
      <c r="G332" s="95"/>
      <c r="H332" s="95"/>
      <c r="I332" s="95"/>
      <c r="J332" s="95"/>
      <c r="K332" s="95"/>
      <c r="L332" s="95"/>
      <c r="M332" s="95"/>
      <c r="N332" s="95"/>
      <c r="O332" s="95"/>
      <c r="P332" s="95"/>
      <c r="Q332" s="95"/>
      <c r="R332" s="95"/>
      <c r="S332" s="95"/>
      <c r="T332" s="95"/>
    </row>
    <row r="333" spans="1:20" ht="12.75" customHeight="1" x14ac:dyDescent="0.3">
      <c r="A333" s="95"/>
      <c r="B333" s="95"/>
      <c r="C333" s="97"/>
      <c r="D333" s="95"/>
      <c r="E333" s="95"/>
      <c r="F333" s="95"/>
      <c r="G333" s="95"/>
      <c r="H333" s="95"/>
      <c r="I333" s="95"/>
      <c r="J333" s="95"/>
      <c r="K333" s="95"/>
      <c r="L333" s="95"/>
      <c r="M333" s="95"/>
      <c r="N333" s="95"/>
      <c r="O333" s="95"/>
      <c r="P333" s="95"/>
      <c r="Q333" s="95"/>
      <c r="R333" s="95"/>
      <c r="S333" s="95"/>
      <c r="T333" s="95"/>
    </row>
    <row r="334" spans="1:20" ht="12.75" customHeight="1" x14ac:dyDescent="0.3">
      <c r="A334" s="95"/>
      <c r="B334" s="95"/>
      <c r="C334" s="97"/>
      <c r="D334" s="95"/>
      <c r="E334" s="95"/>
      <c r="F334" s="95"/>
      <c r="G334" s="95"/>
      <c r="H334" s="95"/>
      <c r="I334" s="95"/>
      <c r="J334" s="95"/>
      <c r="K334" s="95"/>
      <c r="L334" s="95"/>
      <c r="M334" s="95"/>
      <c r="N334" s="95"/>
      <c r="O334" s="95"/>
      <c r="P334" s="95"/>
      <c r="Q334" s="95"/>
      <c r="R334" s="95"/>
      <c r="S334" s="95"/>
      <c r="T334" s="95"/>
    </row>
    <row r="335" spans="1:20" ht="12.75" customHeight="1" x14ac:dyDescent="0.3">
      <c r="A335" s="95"/>
      <c r="B335" s="95"/>
      <c r="C335" s="97"/>
      <c r="D335" s="95"/>
      <c r="E335" s="95"/>
      <c r="F335" s="95"/>
      <c r="G335" s="95"/>
      <c r="H335" s="95"/>
      <c r="I335" s="95"/>
      <c r="J335" s="95"/>
      <c r="K335" s="95"/>
      <c r="L335" s="95"/>
      <c r="M335" s="95"/>
      <c r="N335" s="95"/>
      <c r="O335" s="95"/>
      <c r="P335" s="95"/>
      <c r="Q335" s="95"/>
      <c r="R335" s="95"/>
      <c r="S335" s="95"/>
      <c r="T335" s="95"/>
    </row>
    <row r="336" spans="1:20" ht="12.75" customHeight="1" x14ac:dyDescent="0.3">
      <c r="A336" s="95"/>
      <c r="B336" s="95"/>
      <c r="C336" s="97"/>
      <c r="D336" s="95"/>
      <c r="E336" s="95"/>
      <c r="F336" s="95"/>
      <c r="G336" s="95"/>
      <c r="H336" s="95"/>
      <c r="I336" s="95"/>
      <c r="J336" s="95"/>
      <c r="K336" s="95"/>
      <c r="L336" s="95"/>
      <c r="M336" s="95"/>
      <c r="N336" s="95"/>
      <c r="O336" s="95"/>
      <c r="P336" s="95"/>
      <c r="Q336" s="95"/>
      <c r="R336" s="95"/>
      <c r="S336" s="95"/>
      <c r="T336" s="95"/>
    </row>
    <row r="337" spans="1:20" ht="12.75" customHeight="1" x14ac:dyDescent="0.3">
      <c r="A337" s="95"/>
      <c r="B337" s="95"/>
      <c r="C337" s="97"/>
      <c r="D337" s="95"/>
      <c r="E337" s="95"/>
      <c r="F337" s="95"/>
      <c r="G337" s="95"/>
      <c r="H337" s="95"/>
      <c r="I337" s="95"/>
      <c r="J337" s="95"/>
      <c r="K337" s="95"/>
      <c r="L337" s="95"/>
      <c r="M337" s="95"/>
      <c r="N337" s="95"/>
      <c r="O337" s="95"/>
      <c r="P337" s="95"/>
      <c r="Q337" s="95"/>
      <c r="R337" s="95"/>
      <c r="S337" s="95"/>
      <c r="T337" s="95"/>
    </row>
    <row r="338" spans="1:20" ht="12.75" customHeight="1" x14ac:dyDescent="0.3">
      <c r="A338" s="95"/>
      <c r="B338" s="95"/>
      <c r="C338" s="97"/>
      <c r="D338" s="95"/>
      <c r="E338" s="95"/>
      <c r="F338" s="95"/>
      <c r="G338" s="95"/>
      <c r="H338" s="95"/>
      <c r="I338" s="95"/>
      <c r="J338" s="95"/>
      <c r="K338" s="95"/>
      <c r="L338" s="95"/>
      <c r="M338" s="95"/>
      <c r="N338" s="95"/>
      <c r="O338" s="95"/>
      <c r="P338" s="95"/>
      <c r="Q338" s="95"/>
      <c r="R338" s="95"/>
      <c r="S338" s="95"/>
      <c r="T338" s="95"/>
    </row>
    <row r="339" spans="1:20" ht="12.75" customHeight="1" x14ac:dyDescent="0.3">
      <c r="A339" s="95"/>
      <c r="B339" s="95"/>
      <c r="C339" s="97"/>
      <c r="D339" s="95"/>
      <c r="E339" s="95"/>
      <c r="F339" s="95"/>
      <c r="G339" s="95"/>
      <c r="H339" s="95"/>
      <c r="I339" s="95"/>
      <c r="J339" s="95"/>
      <c r="K339" s="95"/>
      <c r="L339" s="95"/>
      <c r="M339" s="95"/>
      <c r="N339" s="95"/>
      <c r="O339" s="95"/>
      <c r="P339" s="95"/>
      <c r="Q339" s="95"/>
      <c r="R339" s="95"/>
      <c r="S339" s="95"/>
      <c r="T339" s="95"/>
    </row>
    <row r="340" spans="1:20" ht="12.75" customHeight="1" x14ac:dyDescent="0.3">
      <c r="A340" s="95"/>
      <c r="B340" s="95"/>
      <c r="C340" s="97"/>
      <c r="D340" s="95"/>
      <c r="E340" s="95"/>
      <c r="F340" s="95"/>
      <c r="G340" s="95"/>
      <c r="H340" s="95"/>
      <c r="I340" s="95"/>
      <c r="J340" s="95"/>
      <c r="K340" s="95"/>
      <c r="L340" s="95"/>
      <c r="M340" s="95"/>
      <c r="N340" s="95"/>
      <c r="O340" s="95"/>
      <c r="P340" s="95"/>
      <c r="Q340" s="95"/>
      <c r="R340" s="95"/>
      <c r="S340" s="95"/>
      <c r="T340" s="95"/>
    </row>
    <row r="341" spans="1:20" ht="12.75" customHeight="1" x14ac:dyDescent="0.3">
      <c r="A341" s="95"/>
      <c r="B341" s="95"/>
      <c r="C341" s="97"/>
      <c r="D341" s="95"/>
      <c r="E341" s="95"/>
      <c r="F341" s="95"/>
      <c r="G341" s="95"/>
      <c r="H341" s="95"/>
      <c r="I341" s="95"/>
      <c r="J341" s="95"/>
      <c r="K341" s="95"/>
      <c r="L341" s="95"/>
      <c r="M341" s="95"/>
      <c r="N341" s="95"/>
      <c r="O341" s="95"/>
      <c r="P341" s="95"/>
      <c r="Q341" s="95"/>
      <c r="R341" s="95"/>
      <c r="S341" s="95"/>
      <c r="T341" s="95"/>
    </row>
    <row r="342" spans="1:20" ht="12.75" customHeight="1" x14ac:dyDescent="0.3">
      <c r="A342" s="95"/>
      <c r="B342" s="95"/>
      <c r="C342" s="97"/>
      <c r="D342" s="95"/>
      <c r="E342" s="95"/>
      <c r="F342" s="95"/>
      <c r="G342" s="95"/>
      <c r="H342" s="95"/>
      <c r="I342" s="95"/>
      <c r="J342" s="95"/>
      <c r="K342" s="95"/>
      <c r="L342" s="95"/>
      <c r="M342" s="95"/>
      <c r="N342" s="95"/>
      <c r="O342" s="95"/>
      <c r="P342" s="95"/>
      <c r="Q342" s="95"/>
      <c r="R342" s="95"/>
      <c r="S342" s="95"/>
      <c r="T342" s="95"/>
    </row>
    <row r="343" spans="1:20" ht="12.75" customHeight="1" x14ac:dyDescent="0.3">
      <c r="A343" s="95"/>
      <c r="B343" s="95"/>
      <c r="C343" s="97"/>
      <c r="D343" s="95"/>
      <c r="E343" s="95"/>
      <c r="F343" s="95"/>
      <c r="G343" s="95"/>
      <c r="H343" s="95"/>
      <c r="I343" s="95"/>
      <c r="J343" s="95"/>
      <c r="K343" s="95"/>
      <c r="L343" s="95"/>
      <c r="M343" s="95"/>
      <c r="N343" s="95"/>
      <c r="O343" s="95"/>
      <c r="P343" s="95"/>
      <c r="Q343" s="95"/>
      <c r="R343" s="95"/>
      <c r="S343" s="95"/>
      <c r="T343" s="95"/>
    </row>
    <row r="344" spans="1:20" ht="12.75" customHeight="1" x14ac:dyDescent="0.3">
      <c r="A344" s="95"/>
      <c r="B344" s="95"/>
      <c r="C344" s="97"/>
      <c r="D344" s="95"/>
      <c r="E344" s="95"/>
      <c r="F344" s="95"/>
      <c r="G344" s="95"/>
      <c r="H344" s="95"/>
      <c r="I344" s="95"/>
      <c r="J344" s="95"/>
      <c r="K344" s="95"/>
      <c r="L344" s="95"/>
      <c r="M344" s="95"/>
      <c r="N344" s="95"/>
      <c r="O344" s="95"/>
      <c r="P344" s="95"/>
      <c r="Q344" s="95"/>
      <c r="R344" s="95"/>
      <c r="S344" s="95"/>
      <c r="T344" s="95"/>
    </row>
    <row r="345" spans="1:20" ht="12.75" customHeight="1" x14ac:dyDescent="0.3">
      <c r="A345" s="95"/>
      <c r="B345" s="95"/>
      <c r="C345" s="97"/>
      <c r="D345" s="95"/>
      <c r="E345" s="95"/>
      <c r="F345" s="95"/>
      <c r="G345" s="95"/>
      <c r="H345" s="95"/>
      <c r="I345" s="95"/>
      <c r="J345" s="95"/>
      <c r="K345" s="95"/>
      <c r="L345" s="95"/>
      <c r="M345" s="95"/>
      <c r="N345" s="95"/>
      <c r="O345" s="95"/>
      <c r="P345" s="95"/>
      <c r="Q345" s="95"/>
      <c r="R345" s="95"/>
      <c r="S345" s="95"/>
      <c r="T345" s="95"/>
    </row>
    <row r="346" spans="1:20" ht="12.75" customHeight="1" x14ac:dyDescent="0.3">
      <c r="A346" s="95"/>
      <c r="B346" s="95"/>
      <c r="C346" s="97"/>
      <c r="D346" s="95"/>
      <c r="E346" s="95"/>
      <c r="F346" s="95"/>
      <c r="G346" s="95"/>
      <c r="H346" s="95"/>
      <c r="I346" s="95"/>
      <c r="J346" s="95"/>
      <c r="K346" s="95"/>
      <c r="L346" s="95"/>
      <c r="M346" s="95"/>
      <c r="N346" s="95"/>
      <c r="O346" s="95"/>
      <c r="P346" s="95"/>
      <c r="Q346" s="95"/>
      <c r="R346" s="95"/>
      <c r="S346" s="95"/>
      <c r="T346" s="95"/>
    </row>
    <row r="347" spans="1:20" ht="12.75" customHeight="1" x14ac:dyDescent="0.3">
      <c r="A347" s="95"/>
      <c r="B347" s="95"/>
      <c r="C347" s="97"/>
      <c r="D347" s="95"/>
      <c r="E347" s="95"/>
      <c r="F347" s="95"/>
      <c r="G347" s="95"/>
      <c r="H347" s="95"/>
      <c r="I347" s="95"/>
      <c r="J347" s="95"/>
      <c r="K347" s="95"/>
      <c r="L347" s="95"/>
      <c r="M347" s="95"/>
      <c r="N347" s="95"/>
      <c r="O347" s="95"/>
      <c r="P347" s="95"/>
      <c r="Q347" s="95"/>
      <c r="R347" s="95"/>
      <c r="S347" s="95"/>
      <c r="T347" s="95"/>
    </row>
    <row r="348" spans="1:20" ht="12.75" customHeight="1" x14ac:dyDescent="0.3">
      <c r="A348" s="95"/>
      <c r="B348" s="95"/>
      <c r="C348" s="97"/>
      <c r="D348" s="95"/>
      <c r="E348" s="95"/>
      <c r="F348" s="95"/>
      <c r="G348" s="95"/>
      <c r="H348" s="95"/>
      <c r="I348" s="95"/>
      <c r="J348" s="95"/>
      <c r="K348" s="95"/>
      <c r="L348" s="95"/>
      <c r="M348" s="95"/>
      <c r="N348" s="95"/>
      <c r="O348" s="95"/>
      <c r="P348" s="95"/>
      <c r="Q348" s="95"/>
      <c r="R348" s="95"/>
      <c r="S348" s="95"/>
      <c r="T348" s="95"/>
    </row>
    <row r="349" spans="1:20" ht="12.75" customHeight="1" x14ac:dyDescent="0.3">
      <c r="A349" s="95"/>
      <c r="B349" s="95"/>
      <c r="C349" s="97"/>
      <c r="D349" s="95"/>
      <c r="E349" s="95"/>
      <c r="F349" s="95"/>
      <c r="G349" s="95"/>
      <c r="H349" s="95"/>
      <c r="I349" s="95"/>
      <c r="J349" s="95"/>
      <c r="K349" s="95"/>
      <c r="L349" s="95"/>
      <c r="M349" s="95"/>
      <c r="N349" s="95"/>
      <c r="O349" s="95"/>
      <c r="P349" s="95"/>
      <c r="Q349" s="95"/>
      <c r="R349" s="95"/>
      <c r="S349" s="95"/>
      <c r="T349" s="95"/>
    </row>
    <row r="350" spans="1:20" ht="12.75" customHeight="1" x14ac:dyDescent="0.3">
      <c r="A350" s="95"/>
      <c r="B350" s="95"/>
      <c r="C350" s="97"/>
      <c r="D350" s="95"/>
      <c r="E350" s="95"/>
      <c r="F350" s="95"/>
      <c r="G350" s="95"/>
      <c r="H350" s="95"/>
      <c r="I350" s="95"/>
      <c r="J350" s="95"/>
      <c r="K350" s="95"/>
      <c r="L350" s="95"/>
      <c r="M350" s="95"/>
      <c r="N350" s="95"/>
      <c r="O350" s="95"/>
      <c r="P350" s="95"/>
      <c r="Q350" s="95"/>
      <c r="R350" s="95"/>
      <c r="S350" s="95"/>
      <c r="T350" s="95"/>
    </row>
    <row r="351" spans="1:20" ht="12.75" customHeight="1" x14ac:dyDescent="0.3">
      <c r="A351" s="95"/>
      <c r="B351" s="95"/>
      <c r="C351" s="97"/>
      <c r="D351" s="95"/>
      <c r="E351" s="95"/>
      <c r="F351" s="95"/>
      <c r="G351" s="95"/>
      <c r="H351" s="95"/>
      <c r="I351" s="95"/>
      <c r="J351" s="95"/>
      <c r="K351" s="95"/>
      <c r="L351" s="95"/>
      <c r="M351" s="95"/>
      <c r="N351" s="95"/>
      <c r="O351" s="95"/>
      <c r="P351" s="95"/>
      <c r="Q351" s="95"/>
      <c r="R351" s="95"/>
      <c r="S351" s="95"/>
      <c r="T351" s="95"/>
    </row>
    <row r="352" spans="1:20" ht="12.75" customHeight="1" x14ac:dyDescent="0.3">
      <c r="A352" s="95"/>
      <c r="B352" s="95"/>
      <c r="C352" s="97"/>
      <c r="D352" s="95"/>
      <c r="E352" s="95"/>
      <c r="F352" s="95"/>
      <c r="G352" s="95"/>
      <c r="H352" s="95"/>
      <c r="I352" s="95"/>
      <c r="J352" s="95"/>
      <c r="K352" s="95"/>
      <c r="L352" s="95"/>
      <c r="M352" s="95"/>
      <c r="N352" s="95"/>
      <c r="O352" s="95"/>
      <c r="P352" s="95"/>
      <c r="Q352" s="95"/>
      <c r="R352" s="95"/>
      <c r="S352" s="95"/>
      <c r="T352" s="95"/>
    </row>
    <row r="353" spans="1:20" ht="12.75" customHeight="1" x14ac:dyDescent="0.3">
      <c r="A353" s="95"/>
      <c r="B353" s="95"/>
      <c r="C353" s="97"/>
      <c r="D353" s="95"/>
      <c r="E353" s="95"/>
      <c r="F353" s="95"/>
      <c r="G353" s="95"/>
      <c r="H353" s="95"/>
      <c r="I353" s="95"/>
      <c r="J353" s="95"/>
      <c r="K353" s="95"/>
      <c r="L353" s="95"/>
      <c r="M353" s="95"/>
      <c r="N353" s="95"/>
      <c r="O353" s="95"/>
      <c r="P353" s="95"/>
      <c r="Q353" s="95"/>
      <c r="R353" s="95"/>
      <c r="S353" s="95"/>
      <c r="T353" s="95"/>
    </row>
    <row r="354" spans="1:20" ht="12.75" customHeight="1" x14ac:dyDescent="0.3">
      <c r="A354" s="95"/>
      <c r="B354" s="95"/>
      <c r="C354" s="97"/>
      <c r="D354" s="95"/>
      <c r="E354" s="95"/>
      <c r="F354" s="95"/>
      <c r="G354" s="95"/>
      <c r="H354" s="95"/>
      <c r="I354" s="95"/>
      <c r="J354" s="95"/>
      <c r="K354" s="95"/>
      <c r="L354" s="95"/>
      <c r="M354" s="95"/>
      <c r="N354" s="95"/>
      <c r="O354" s="95"/>
      <c r="P354" s="95"/>
      <c r="Q354" s="95"/>
      <c r="R354" s="95"/>
      <c r="S354" s="95"/>
      <c r="T354" s="95"/>
    </row>
    <row r="355" spans="1:20" ht="12.75" customHeight="1" x14ac:dyDescent="0.3">
      <c r="A355" s="95"/>
      <c r="B355" s="95"/>
      <c r="C355" s="97"/>
      <c r="D355" s="95"/>
      <c r="E355" s="95"/>
      <c r="F355" s="95"/>
      <c r="G355" s="95"/>
      <c r="H355" s="95"/>
      <c r="I355" s="95"/>
      <c r="J355" s="95"/>
      <c r="K355" s="95"/>
      <c r="L355" s="95"/>
      <c r="M355" s="95"/>
      <c r="N355" s="95"/>
      <c r="O355" s="95"/>
      <c r="P355" s="95"/>
      <c r="Q355" s="95"/>
      <c r="R355" s="95"/>
      <c r="S355" s="95"/>
      <c r="T355" s="95"/>
    </row>
    <row r="356" spans="1:20" ht="12.75" customHeight="1" x14ac:dyDescent="0.3">
      <c r="A356" s="95"/>
      <c r="B356" s="95"/>
      <c r="C356" s="97"/>
      <c r="D356" s="95"/>
      <c r="E356" s="95"/>
      <c r="F356" s="95"/>
      <c r="G356" s="95"/>
      <c r="H356" s="95"/>
      <c r="I356" s="95"/>
      <c r="J356" s="95"/>
      <c r="K356" s="95"/>
      <c r="L356" s="95"/>
      <c r="M356" s="95"/>
      <c r="N356" s="95"/>
      <c r="O356" s="95"/>
      <c r="P356" s="95"/>
      <c r="Q356" s="95"/>
      <c r="R356" s="95"/>
      <c r="S356" s="95"/>
      <c r="T356" s="95"/>
    </row>
    <row r="357" spans="1:20" ht="12.75" customHeight="1" x14ac:dyDescent="0.3">
      <c r="A357" s="95"/>
      <c r="B357" s="95"/>
      <c r="C357" s="97"/>
      <c r="D357" s="95"/>
      <c r="E357" s="95"/>
      <c r="F357" s="95"/>
      <c r="G357" s="95"/>
      <c r="H357" s="95"/>
      <c r="I357" s="95"/>
      <c r="J357" s="95"/>
      <c r="K357" s="95"/>
      <c r="L357" s="95"/>
      <c r="M357" s="95"/>
      <c r="N357" s="95"/>
      <c r="O357" s="95"/>
      <c r="P357" s="95"/>
      <c r="Q357" s="95"/>
      <c r="R357" s="95"/>
      <c r="S357" s="95"/>
      <c r="T357" s="95"/>
    </row>
    <row r="358" spans="1:20" ht="12.75" customHeight="1" x14ac:dyDescent="0.3">
      <c r="A358" s="95"/>
      <c r="B358" s="95"/>
      <c r="C358" s="97"/>
      <c r="D358" s="95"/>
      <c r="E358" s="95"/>
      <c r="F358" s="95"/>
      <c r="G358" s="95"/>
      <c r="H358" s="95"/>
      <c r="I358" s="95"/>
      <c r="J358" s="95"/>
      <c r="K358" s="95"/>
      <c r="L358" s="95"/>
      <c r="M358" s="95"/>
      <c r="N358" s="95"/>
      <c r="O358" s="95"/>
      <c r="P358" s="95"/>
      <c r="Q358" s="95"/>
      <c r="R358" s="95"/>
      <c r="S358" s="95"/>
      <c r="T358" s="95"/>
    </row>
    <row r="359" spans="1:20" ht="12.75" customHeight="1" x14ac:dyDescent="0.3">
      <c r="A359" s="95"/>
      <c r="B359" s="95"/>
      <c r="C359" s="97"/>
      <c r="D359" s="95"/>
      <c r="E359" s="95"/>
      <c r="F359" s="95"/>
      <c r="G359" s="95"/>
      <c r="H359" s="95"/>
      <c r="I359" s="95"/>
      <c r="J359" s="95"/>
      <c r="K359" s="95"/>
      <c r="L359" s="95"/>
      <c r="M359" s="95"/>
      <c r="N359" s="95"/>
      <c r="O359" s="95"/>
      <c r="P359" s="95"/>
      <c r="Q359" s="95"/>
      <c r="R359" s="95"/>
      <c r="S359" s="95"/>
      <c r="T359" s="95"/>
    </row>
    <row r="360" spans="1:20" ht="12.75" customHeight="1" x14ac:dyDescent="0.3">
      <c r="A360" s="95"/>
      <c r="B360" s="95"/>
      <c r="C360" s="97"/>
      <c r="D360" s="95"/>
      <c r="E360" s="95"/>
      <c r="F360" s="95"/>
      <c r="G360" s="95"/>
      <c r="H360" s="95"/>
      <c r="I360" s="95"/>
      <c r="J360" s="95"/>
      <c r="K360" s="95"/>
      <c r="L360" s="95"/>
      <c r="M360" s="95"/>
      <c r="N360" s="95"/>
      <c r="O360" s="95"/>
      <c r="P360" s="95"/>
      <c r="Q360" s="95"/>
      <c r="R360" s="95"/>
      <c r="S360" s="95"/>
      <c r="T360" s="95"/>
    </row>
    <row r="361" spans="1:20" ht="12.75" customHeight="1" x14ac:dyDescent="0.3">
      <c r="A361" s="95"/>
      <c r="B361" s="95"/>
      <c r="C361" s="97"/>
      <c r="D361" s="95"/>
      <c r="E361" s="95"/>
      <c r="F361" s="95"/>
      <c r="G361" s="95"/>
      <c r="H361" s="95"/>
      <c r="I361" s="95"/>
      <c r="J361" s="95"/>
      <c r="K361" s="95"/>
      <c r="L361" s="95"/>
      <c r="M361" s="95"/>
      <c r="N361" s="95"/>
      <c r="O361" s="95"/>
      <c r="P361" s="95"/>
      <c r="Q361" s="95"/>
      <c r="R361" s="95"/>
      <c r="S361" s="95"/>
      <c r="T361" s="95"/>
    </row>
    <row r="362" spans="1:20" ht="12.75" customHeight="1" x14ac:dyDescent="0.3">
      <c r="A362" s="95"/>
      <c r="B362" s="95"/>
      <c r="C362" s="97"/>
      <c r="D362" s="95"/>
      <c r="E362" s="95"/>
      <c r="F362" s="95"/>
      <c r="G362" s="95"/>
      <c r="H362" s="95"/>
      <c r="I362" s="95"/>
      <c r="J362" s="95"/>
      <c r="K362" s="95"/>
      <c r="L362" s="95"/>
      <c r="M362" s="95"/>
      <c r="N362" s="95"/>
      <c r="O362" s="95"/>
      <c r="P362" s="95"/>
      <c r="Q362" s="95"/>
      <c r="R362" s="95"/>
      <c r="S362" s="95"/>
      <c r="T362" s="95"/>
    </row>
    <row r="363" spans="1:20" ht="12.75" customHeight="1" x14ac:dyDescent="0.3">
      <c r="A363" s="95"/>
      <c r="B363" s="95"/>
      <c r="C363" s="97"/>
      <c r="D363" s="95"/>
      <c r="E363" s="95"/>
      <c r="F363" s="95"/>
      <c r="G363" s="95"/>
      <c r="H363" s="95"/>
      <c r="I363" s="95"/>
      <c r="J363" s="95"/>
      <c r="K363" s="95"/>
      <c r="L363" s="95"/>
      <c r="M363" s="95"/>
      <c r="N363" s="95"/>
      <c r="O363" s="95"/>
      <c r="P363" s="95"/>
      <c r="Q363" s="95"/>
      <c r="R363" s="95"/>
      <c r="S363" s="95"/>
      <c r="T363" s="95"/>
    </row>
    <row r="364" spans="1:20" ht="12.75" customHeight="1" x14ac:dyDescent="0.3">
      <c r="A364" s="95"/>
      <c r="B364" s="95"/>
      <c r="C364" s="97"/>
      <c r="D364" s="95"/>
      <c r="E364" s="95"/>
      <c r="F364" s="95"/>
      <c r="G364" s="95"/>
      <c r="H364" s="95"/>
      <c r="I364" s="95"/>
      <c r="J364" s="95"/>
      <c r="K364" s="95"/>
      <c r="L364" s="95"/>
      <c r="M364" s="95"/>
      <c r="N364" s="95"/>
      <c r="O364" s="95"/>
      <c r="P364" s="95"/>
      <c r="Q364" s="95"/>
      <c r="R364" s="95"/>
      <c r="S364" s="95"/>
      <c r="T364" s="95"/>
    </row>
    <row r="365" spans="1:20" ht="12.75" customHeight="1" x14ac:dyDescent="0.3">
      <c r="A365" s="95"/>
      <c r="B365" s="95"/>
      <c r="C365" s="97"/>
      <c r="D365" s="95"/>
      <c r="E365" s="95"/>
      <c r="F365" s="95"/>
      <c r="G365" s="95"/>
      <c r="H365" s="95"/>
      <c r="I365" s="95"/>
      <c r="J365" s="95"/>
      <c r="K365" s="95"/>
      <c r="L365" s="95"/>
      <c r="M365" s="95"/>
      <c r="N365" s="95"/>
      <c r="O365" s="95"/>
      <c r="P365" s="95"/>
      <c r="Q365" s="95"/>
      <c r="R365" s="95"/>
      <c r="S365" s="95"/>
      <c r="T365" s="95"/>
    </row>
    <row r="366" spans="1:20" ht="12.75" customHeight="1" x14ac:dyDescent="0.3">
      <c r="A366" s="95"/>
      <c r="B366" s="95"/>
      <c r="C366" s="97"/>
      <c r="D366" s="95"/>
      <c r="E366" s="95"/>
      <c r="F366" s="95"/>
      <c r="G366" s="95"/>
      <c r="H366" s="95"/>
      <c r="I366" s="95"/>
      <c r="J366" s="95"/>
      <c r="K366" s="95"/>
      <c r="L366" s="95"/>
      <c r="M366" s="95"/>
      <c r="N366" s="95"/>
      <c r="O366" s="95"/>
      <c r="P366" s="95"/>
      <c r="Q366" s="95"/>
      <c r="R366" s="95"/>
      <c r="S366" s="95"/>
      <c r="T366" s="95"/>
    </row>
    <row r="367" spans="1:20" ht="12.75" customHeight="1" x14ac:dyDescent="0.3">
      <c r="A367" s="95"/>
      <c r="B367" s="95"/>
      <c r="C367" s="97"/>
      <c r="D367" s="95"/>
      <c r="E367" s="95"/>
      <c r="F367" s="95"/>
      <c r="G367" s="95"/>
      <c r="H367" s="95"/>
      <c r="I367" s="95"/>
      <c r="J367" s="95"/>
      <c r="K367" s="95"/>
      <c r="L367" s="95"/>
      <c r="M367" s="95"/>
      <c r="N367" s="95"/>
      <c r="O367" s="95"/>
      <c r="P367" s="95"/>
      <c r="Q367" s="95"/>
      <c r="R367" s="95"/>
      <c r="S367" s="95"/>
      <c r="T367" s="95"/>
    </row>
    <row r="368" spans="1:20" ht="12.75" customHeight="1" x14ac:dyDescent="0.3">
      <c r="A368" s="95"/>
      <c r="B368" s="95"/>
      <c r="C368" s="97"/>
      <c r="D368" s="95"/>
      <c r="E368" s="95"/>
      <c r="F368" s="95"/>
      <c r="G368" s="95"/>
      <c r="H368" s="95"/>
      <c r="I368" s="95"/>
      <c r="J368" s="95"/>
      <c r="K368" s="95"/>
      <c r="L368" s="95"/>
      <c r="M368" s="95"/>
      <c r="N368" s="95"/>
      <c r="O368" s="95"/>
      <c r="P368" s="95"/>
      <c r="Q368" s="95"/>
      <c r="R368" s="95"/>
      <c r="S368" s="95"/>
      <c r="T368" s="95"/>
    </row>
    <row r="369" spans="1:20" ht="12.75" customHeight="1" x14ac:dyDescent="0.3">
      <c r="A369" s="95"/>
      <c r="B369" s="95"/>
      <c r="C369" s="97"/>
      <c r="D369" s="95"/>
      <c r="E369" s="95"/>
      <c r="F369" s="95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  <c r="S369" s="95"/>
      <c r="T369" s="95"/>
    </row>
    <row r="370" spans="1:20" ht="12.75" customHeight="1" x14ac:dyDescent="0.3">
      <c r="A370" s="95"/>
      <c r="B370" s="95"/>
      <c r="C370" s="97"/>
      <c r="D370" s="95"/>
      <c r="E370" s="95"/>
      <c r="F370" s="95"/>
      <c r="G370" s="95"/>
      <c r="H370" s="95"/>
      <c r="I370" s="95"/>
      <c r="J370" s="95"/>
      <c r="K370" s="95"/>
      <c r="L370" s="95"/>
      <c r="M370" s="95"/>
      <c r="N370" s="95"/>
      <c r="O370" s="95"/>
      <c r="P370" s="95"/>
      <c r="Q370" s="95"/>
      <c r="R370" s="95"/>
      <c r="S370" s="95"/>
      <c r="T370" s="95"/>
    </row>
    <row r="371" spans="1:20" ht="12.75" customHeight="1" x14ac:dyDescent="0.3">
      <c r="A371" s="95"/>
      <c r="B371" s="95"/>
      <c r="C371" s="97"/>
      <c r="D371" s="95"/>
      <c r="E371" s="95"/>
      <c r="F371" s="95"/>
      <c r="G371" s="95"/>
      <c r="H371" s="95"/>
      <c r="I371" s="95"/>
      <c r="J371" s="95"/>
      <c r="K371" s="95"/>
      <c r="L371" s="95"/>
      <c r="M371" s="95"/>
      <c r="N371" s="95"/>
      <c r="O371" s="95"/>
      <c r="P371" s="95"/>
      <c r="Q371" s="95"/>
      <c r="R371" s="95"/>
      <c r="S371" s="95"/>
      <c r="T371" s="95"/>
    </row>
    <row r="372" spans="1:20" ht="12.75" customHeight="1" x14ac:dyDescent="0.3">
      <c r="A372" s="95"/>
      <c r="B372" s="95"/>
      <c r="C372" s="97"/>
      <c r="D372" s="95"/>
      <c r="E372" s="95"/>
      <c r="F372" s="95"/>
      <c r="G372" s="95"/>
      <c r="H372" s="95"/>
      <c r="I372" s="95"/>
      <c r="J372" s="95"/>
      <c r="K372" s="95"/>
      <c r="L372" s="95"/>
      <c r="M372" s="95"/>
      <c r="N372" s="95"/>
      <c r="O372" s="95"/>
      <c r="P372" s="95"/>
      <c r="Q372" s="95"/>
      <c r="R372" s="95"/>
      <c r="S372" s="95"/>
      <c r="T372" s="95"/>
    </row>
    <row r="373" spans="1:20" ht="12.75" customHeight="1" x14ac:dyDescent="0.3">
      <c r="A373" s="95"/>
      <c r="B373" s="95"/>
      <c r="C373" s="97"/>
      <c r="D373" s="95"/>
      <c r="E373" s="95"/>
      <c r="F373" s="95"/>
      <c r="G373" s="95"/>
      <c r="H373" s="95"/>
      <c r="I373" s="95"/>
      <c r="J373" s="95"/>
      <c r="K373" s="95"/>
      <c r="L373" s="95"/>
      <c r="M373" s="95"/>
      <c r="N373" s="95"/>
      <c r="O373" s="95"/>
      <c r="P373" s="95"/>
      <c r="Q373" s="95"/>
      <c r="R373" s="95"/>
      <c r="S373" s="95"/>
      <c r="T373" s="95"/>
    </row>
    <row r="374" spans="1:20" ht="12.75" customHeight="1" x14ac:dyDescent="0.3">
      <c r="A374" s="95"/>
      <c r="B374" s="95"/>
      <c r="C374" s="97"/>
      <c r="D374" s="95"/>
      <c r="E374" s="95"/>
      <c r="F374" s="95"/>
      <c r="G374" s="95"/>
      <c r="H374" s="95"/>
      <c r="I374" s="95"/>
      <c r="J374" s="95"/>
      <c r="K374" s="95"/>
      <c r="L374" s="95"/>
      <c r="M374" s="95"/>
      <c r="N374" s="95"/>
      <c r="O374" s="95"/>
      <c r="P374" s="95"/>
      <c r="Q374" s="95"/>
      <c r="R374" s="95"/>
      <c r="S374" s="95"/>
      <c r="T374" s="95"/>
    </row>
    <row r="375" spans="1:20" ht="12.75" customHeight="1" x14ac:dyDescent="0.3">
      <c r="A375" s="95"/>
      <c r="B375" s="95"/>
      <c r="C375" s="97"/>
      <c r="D375" s="95"/>
      <c r="E375" s="95"/>
      <c r="F375" s="95"/>
      <c r="G375" s="95"/>
      <c r="H375" s="95"/>
      <c r="I375" s="95"/>
      <c r="J375" s="95"/>
      <c r="K375" s="95"/>
      <c r="L375" s="95"/>
      <c r="M375" s="95"/>
      <c r="N375" s="95"/>
      <c r="O375" s="95"/>
      <c r="P375" s="95"/>
      <c r="Q375" s="95"/>
      <c r="R375" s="95"/>
      <c r="S375" s="95"/>
      <c r="T375" s="95"/>
    </row>
    <row r="376" spans="1:20" ht="12.75" customHeight="1" x14ac:dyDescent="0.3">
      <c r="A376" s="95"/>
      <c r="B376" s="95"/>
      <c r="C376" s="97"/>
      <c r="D376" s="95"/>
      <c r="E376" s="95"/>
      <c r="F376" s="95"/>
      <c r="G376" s="95"/>
      <c r="H376" s="95"/>
      <c r="I376" s="95"/>
      <c r="J376" s="95"/>
      <c r="K376" s="95"/>
      <c r="L376" s="95"/>
      <c r="M376" s="95"/>
      <c r="N376" s="95"/>
      <c r="O376" s="95"/>
      <c r="P376" s="95"/>
      <c r="Q376" s="95"/>
      <c r="R376" s="95"/>
      <c r="S376" s="95"/>
      <c r="T376" s="95"/>
    </row>
    <row r="377" spans="1:20" ht="12.75" customHeight="1" x14ac:dyDescent="0.3">
      <c r="A377" s="95"/>
      <c r="B377" s="95"/>
      <c r="C377" s="97"/>
      <c r="D377" s="95"/>
      <c r="E377" s="95"/>
      <c r="F377" s="95"/>
      <c r="G377" s="95"/>
      <c r="H377" s="95"/>
      <c r="I377" s="95"/>
      <c r="J377" s="95"/>
      <c r="K377" s="95"/>
      <c r="L377" s="95"/>
      <c r="M377" s="95"/>
      <c r="N377" s="95"/>
      <c r="O377" s="95"/>
      <c r="P377" s="95"/>
      <c r="Q377" s="95"/>
      <c r="R377" s="95"/>
      <c r="S377" s="95"/>
      <c r="T377" s="95"/>
    </row>
    <row r="378" spans="1:20" ht="12.75" customHeight="1" x14ac:dyDescent="0.3">
      <c r="A378" s="95"/>
      <c r="B378" s="95"/>
      <c r="C378" s="97"/>
      <c r="D378" s="95"/>
      <c r="E378" s="95"/>
      <c r="F378" s="95"/>
      <c r="G378" s="95"/>
      <c r="H378" s="95"/>
      <c r="I378" s="95"/>
      <c r="J378" s="95"/>
      <c r="K378" s="95"/>
      <c r="L378" s="95"/>
      <c r="M378" s="95"/>
      <c r="N378" s="95"/>
      <c r="O378" s="95"/>
      <c r="P378" s="95"/>
      <c r="Q378" s="95"/>
      <c r="R378" s="95"/>
      <c r="S378" s="95"/>
      <c r="T378" s="95"/>
    </row>
    <row r="379" spans="1:20" ht="12.75" customHeight="1" x14ac:dyDescent="0.3">
      <c r="A379" s="95"/>
      <c r="B379" s="95"/>
      <c r="C379" s="97"/>
      <c r="D379" s="95"/>
      <c r="E379" s="95"/>
      <c r="F379" s="95"/>
      <c r="G379" s="95"/>
      <c r="H379" s="95"/>
      <c r="I379" s="95"/>
      <c r="J379" s="95"/>
      <c r="K379" s="95"/>
      <c r="L379" s="95"/>
      <c r="M379" s="95"/>
      <c r="N379" s="95"/>
      <c r="O379" s="95"/>
      <c r="P379" s="95"/>
      <c r="Q379" s="95"/>
      <c r="R379" s="95"/>
      <c r="S379" s="95"/>
      <c r="T379" s="95"/>
    </row>
    <row r="380" spans="1:20" ht="12.75" customHeight="1" x14ac:dyDescent="0.3">
      <c r="A380" s="95"/>
      <c r="B380" s="95"/>
      <c r="C380" s="97"/>
      <c r="D380" s="95"/>
      <c r="E380" s="95"/>
      <c r="F380" s="95"/>
      <c r="G380" s="95"/>
      <c r="H380" s="95"/>
      <c r="I380" s="95"/>
      <c r="J380" s="95"/>
      <c r="K380" s="95"/>
      <c r="L380" s="95"/>
      <c r="M380" s="95"/>
      <c r="N380" s="95"/>
      <c r="O380" s="95"/>
      <c r="P380" s="95"/>
      <c r="Q380" s="95"/>
      <c r="R380" s="95"/>
      <c r="S380" s="95"/>
      <c r="T380" s="95"/>
    </row>
    <row r="381" spans="1:20" ht="12.75" customHeight="1" x14ac:dyDescent="0.3">
      <c r="A381" s="95"/>
      <c r="B381" s="95"/>
      <c r="C381" s="97"/>
      <c r="D381" s="95"/>
      <c r="E381" s="95"/>
      <c r="F381" s="95"/>
      <c r="G381" s="95"/>
      <c r="H381" s="95"/>
      <c r="I381" s="95"/>
      <c r="J381" s="95"/>
      <c r="K381" s="95"/>
      <c r="L381" s="95"/>
      <c r="M381" s="95"/>
      <c r="N381" s="95"/>
      <c r="O381" s="95"/>
      <c r="P381" s="95"/>
      <c r="Q381" s="95"/>
      <c r="R381" s="95"/>
      <c r="S381" s="95"/>
      <c r="T381" s="95"/>
    </row>
    <row r="382" spans="1:20" ht="12.75" customHeight="1" x14ac:dyDescent="0.3">
      <c r="A382" s="95"/>
      <c r="B382" s="95"/>
      <c r="C382" s="97"/>
      <c r="D382" s="95"/>
      <c r="E382" s="95"/>
      <c r="F382" s="95"/>
      <c r="G382" s="95"/>
      <c r="H382" s="95"/>
      <c r="I382" s="95"/>
      <c r="J382" s="95"/>
      <c r="K382" s="95"/>
      <c r="L382" s="95"/>
      <c r="M382" s="95"/>
      <c r="N382" s="95"/>
      <c r="O382" s="95"/>
      <c r="P382" s="95"/>
      <c r="Q382" s="95"/>
      <c r="R382" s="95"/>
      <c r="S382" s="95"/>
      <c r="T382" s="95"/>
    </row>
    <row r="383" spans="1:20" ht="12.75" customHeight="1" x14ac:dyDescent="0.3">
      <c r="A383" s="95"/>
      <c r="B383" s="95"/>
      <c r="C383" s="97"/>
      <c r="D383" s="95"/>
      <c r="E383" s="95"/>
      <c r="F383" s="95"/>
      <c r="G383" s="95"/>
      <c r="H383" s="95"/>
      <c r="I383" s="95"/>
      <c r="J383" s="95"/>
      <c r="K383" s="95"/>
      <c r="L383" s="95"/>
      <c r="M383" s="95"/>
      <c r="N383" s="95"/>
      <c r="O383" s="95"/>
      <c r="P383" s="95"/>
      <c r="Q383" s="95"/>
      <c r="R383" s="95"/>
      <c r="S383" s="95"/>
      <c r="T383" s="95"/>
    </row>
    <row r="384" spans="1:20" ht="12.75" customHeight="1" x14ac:dyDescent="0.3">
      <c r="A384" s="95"/>
      <c r="B384" s="95"/>
      <c r="C384" s="97"/>
      <c r="D384" s="95"/>
      <c r="E384" s="95"/>
      <c r="F384" s="95"/>
      <c r="G384" s="95"/>
      <c r="H384" s="95"/>
      <c r="I384" s="95"/>
      <c r="J384" s="95"/>
      <c r="K384" s="95"/>
      <c r="L384" s="95"/>
      <c r="M384" s="95"/>
      <c r="N384" s="95"/>
      <c r="O384" s="95"/>
      <c r="P384" s="95"/>
      <c r="Q384" s="95"/>
      <c r="R384" s="95"/>
      <c r="S384" s="95"/>
      <c r="T384" s="95"/>
    </row>
    <row r="385" spans="1:20" ht="12.75" customHeight="1" x14ac:dyDescent="0.3">
      <c r="A385" s="95"/>
      <c r="B385" s="95"/>
      <c r="C385" s="97"/>
      <c r="D385" s="95"/>
      <c r="E385" s="95"/>
      <c r="F385" s="95"/>
      <c r="G385" s="95"/>
      <c r="H385" s="95"/>
      <c r="I385" s="95"/>
      <c r="J385" s="95"/>
      <c r="K385" s="95"/>
      <c r="L385" s="95"/>
      <c r="M385" s="95"/>
      <c r="N385" s="95"/>
      <c r="O385" s="95"/>
      <c r="P385" s="95"/>
      <c r="Q385" s="95"/>
      <c r="R385" s="95"/>
      <c r="S385" s="95"/>
      <c r="T385" s="95"/>
    </row>
    <row r="386" spans="1:20" ht="12.75" customHeight="1" x14ac:dyDescent="0.3">
      <c r="A386" s="95"/>
      <c r="B386" s="95"/>
      <c r="C386" s="97"/>
      <c r="D386" s="95"/>
      <c r="E386" s="95"/>
      <c r="F386" s="95"/>
      <c r="G386" s="95"/>
      <c r="H386" s="95"/>
      <c r="I386" s="95"/>
      <c r="J386" s="95"/>
      <c r="K386" s="95"/>
      <c r="L386" s="95"/>
      <c r="M386" s="95"/>
      <c r="N386" s="95"/>
      <c r="O386" s="95"/>
      <c r="P386" s="95"/>
      <c r="Q386" s="95"/>
      <c r="R386" s="95"/>
      <c r="S386" s="95"/>
      <c r="T386" s="95"/>
    </row>
    <row r="387" spans="1:20" ht="12.75" customHeight="1" x14ac:dyDescent="0.3">
      <c r="A387" s="95"/>
      <c r="B387" s="95"/>
      <c r="C387" s="97"/>
      <c r="D387" s="95"/>
      <c r="E387" s="95"/>
      <c r="F387" s="95"/>
      <c r="G387" s="95"/>
      <c r="H387" s="95"/>
      <c r="I387" s="95"/>
      <c r="J387" s="95"/>
      <c r="K387" s="95"/>
      <c r="L387" s="95"/>
      <c r="M387" s="95"/>
      <c r="N387" s="95"/>
      <c r="O387" s="95"/>
      <c r="P387" s="95"/>
      <c r="Q387" s="95"/>
      <c r="R387" s="95"/>
      <c r="S387" s="95"/>
      <c r="T387" s="95"/>
    </row>
    <row r="388" spans="1:20" ht="12.75" customHeight="1" x14ac:dyDescent="0.3">
      <c r="A388" s="95"/>
      <c r="B388" s="95"/>
      <c r="C388" s="97"/>
      <c r="D388" s="95"/>
      <c r="E388" s="95"/>
      <c r="F388" s="95"/>
      <c r="G388" s="95"/>
      <c r="H388" s="95"/>
      <c r="I388" s="95"/>
      <c r="J388" s="95"/>
      <c r="K388" s="95"/>
      <c r="L388" s="95"/>
      <c r="M388" s="95"/>
      <c r="N388" s="95"/>
      <c r="O388" s="95"/>
      <c r="P388" s="95"/>
      <c r="Q388" s="95"/>
      <c r="R388" s="95"/>
      <c r="S388" s="95"/>
      <c r="T388" s="95"/>
    </row>
    <row r="389" spans="1:20" ht="12.75" customHeight="1" x14ac:dyDescent="0.3">
      <c r="A389" s="95"/>
      <c r="B389" s="95"/>
      <c r="C389" s="97"/>
      <c r="D389" s="95"/>
      <c r="E389" s="95"/>
      <c r="F389" s="95"/>
      <c r="G389" s="95"/>
      <c r="H389" s="95"/>
      <c r="I389" s="95"/>
      <c r="J389" s="95"/>
      <c r="K389" s="95"/>
      <c r="L389" s="95"/>
      <c r="M389" s="95"/>
      <c r="N389" s="95"/>
      <c r="O389" s="95"/>
      <c r="P389" s="95"/>
      <c r="Q389" s="95"/>
      <c r="R389" s="95"/>
      <c r="S389" s="95"/>
      <c r="T389" s="95"/>
    </row>
    <row r="390" spans="1:20" ht="12.75" customHeight="1" x14ac:dyDescent="0.3">
      <c r="A390" s="95"/>
      <c r="B390" s="95"/>
      <c r="C390" s="97"/>
      <c r="D390" s="95"/>
      <c r="E390" s="95"/>
      <c r="F390" s="95"/>
      <c r="G390" s="95"/>
      <c r="H390" s="95"/>
      <c r="I390" s="95"/>
      <c r="J390" s="95"/>
      <c r="K390" s="95"/>
      <c r="L390" s="95"/>
      <c r="M390" s="95"/>
      <c r="N390" s="95"/>
      <c r="O390" s="95"/>
      <c r="P390" s="95"/>
      <c r="Q390" s="95"/>
      <c r="R390" s="95"/>
      <c r="S390" s="95"/>
      <c r="T390" s="95"/>
    </row>
    <row r="391" spans="1:20" ht="12.75" customHeight="1" x14ac:dyDescent="0.3">
      <c r="A391" s="95"/>
      <c r="B391" s="95"/>
      <c r="C391" s="97"/>
      <c r="D391" s="95"/>
      <c r="E391" s="95"/>
      <c r="F391" s="95"/>
      <c r="G391" s="95"/>
      <c r="H391" s="95"/>
      <c r="I391" s="95"/>
      <c r="J391" s="95"/>
      <c r="K391" s="95"/>
      <c r="L391" s="95"/>
      <c r="M391" s="95"/>
      <c r="N391" s="95"/>
      <c r="O391" s="95"/>
      <c r="P391" s="95"/>
      <c r="Q391" s="95"/>
      <c r="R391" s="95"/>
      <c r="S391" s="95"/>
      <c r="T391" s="95"/>
    </row>
    <row r="392" spans="1:20" ht="12.75" customHeight="1" x14ac:dyDescent="0.3">
      <c r="A392" s="95"/>
      <c r="B392" s="95"/>
      <c r="C392" s="97"/>
      <c r="D392" s="95"/>
      <c r="E392" s="95"/>
      <c r="F392" s="95"/>
      <c r="G392" s="95"/>
      <c r="H392" s="95"/>
      <c r="I392" s="95"/>
      <c r="J392" s="95"/>
      <c r="K392" s="95"/>
      <c r="L392" s="95"/>
      <c r="M392" s="95"/>
      <c r="N392" s="95"/>
      <c r="O392" s="95"/>
      <c r="P392" s="95"/>
      <c r="Q392" s="95"/>
      <c r="R392" s="95"/>
      <c r="S392" s="95"/>
      <c r="T392" s="95"/>
    </row>
    <row r="393" spans="1:20" ht="12.75" customHeight="1" x14ac:dyDescent="0.3">
      <c r="A393" s="95"/>
      <c r="B393" s="95"/>
      <c r="C393" s="97"/>
      <c r="D393" s="95"/>
      <c r="E393" s="95"/>
      <c r="F393" s="95"/>
      <c r="G393" s="95"/>
      <c r="H393" s="95"/>
      <c r="I393" s="95"/>
      <c r="J393" s="95"/>
      <c r="K393" s="95"/>
      <c r="L393" s="95"/>
      <c r="M393" s="95"/>
      <c r="N393" s="95"/>
      <c r="O393" s="95"/>
      <c r="P393" s="95"/>
      <c r="Q393" s="95"/>
      <c r="R393" s="95"/>
      <c r="S393" s="95"/>
      <c r="T393" s="95"/>
    </row>
    <row r="394" spans="1:20" ht="12.75" customHeight="1" x14ac:dyDescent="0.3">
      <c r="A394" s="95"/>
      <c r="B394" s="95"/>
      <c r="C394" s="97"/>
      <c r="D394" s="95"/>
      <c r="E394" s="95"/>
      <c r="F394" s="95"/>
      <c r="G394" s="95"/>
      <c r="H394" s="95"/>
      <c r="I394" s="95"/>
      <c r="J394" s="95"/>
      <c r="K394" s="95"/>
      <c r="L394" s="95"/>
      <c r="M394" s="95"/>
      <c r="N394" s="95"/>
      <c r="O394" s="95"/>
      <c r="P394" s="95"/>
      <c r="Q394" s="95"/>
      <c r="R394" s="95"/>
      <c r="S394" s="95"/>
      <c r="T394" s="95"/>
    </row>
    <row r="395" spans="1:20" ht="12.75" customHeight="1" x14ac:dyDescent="0.3">
      <c r="A395" s="95"/>
      <c r="B395" s="95"/>
      <c r="C395" s="97"/>
      <c r="D395" s="95"/>
      <c r="E395" s="95"/>
      <c r="F395" s="95"/>
      <c r="G395" s="95"/>
      <c r="H395" s="95"/>
      <c r="I395" s="95"/>
      <c r="J395" s="95"/>
      <c r="K395" s="95"/>
      <c r="L395" s="95"/>
      <c r="M395" s="95"/>
      <c r="N395" s="95"/>
      <c r="O395" s="95"/>
      <c r="P395" s="95"/>
      <c r="Q395" s="95"/>
      <c r="R395" s="95"/>
      <c r="S395" s="95"/>
      <c r="T395" s="95"/>
    </row>
    <row r="396" spans="1:20" ht="12.75" customHeight="1" x14ac:dyDescent="0.3">
      <c r="A396" s="95"/>
      <c r="B396" s="95"/>
      <c r="C396" s="97"/>
      <c r="D396" s="95"/>
      <c r="E396" s="95"/>
      <c r="F396" s="95"/>
      <c r="G396" s="95"/>
      <c r="H396" s="95"/>
      <c r="I396" s="95"/>
      <c r="J396" s="95"/>
      <c r="K396" s="95"/>
      <c r="L396" s="95"/>
      <c r="M396" s="95"/>
      <c r="N396" s="95"/>
      <c r="O396" s="95"/>
      <c r="P396" s="95"/>
      <c r="Q396" s="95"/>
      <c r="R396" s="95"/>
      <c r="S396" s="95"/>
      <c r="T396" s="95"/>
    </row>
    <row r="397" spans="1:20" ht="12.75" customHeight="1" x14ac:dyDescent="0.3">
      <c r="A397" s="95"/>
      <c r="B397" s="95"/>
      <c r="C397" s="97"/>
      <c r="D397" s="95"/>
      <c r="E397" s="95"/>
      <c r="F397" s="95"/>
      <c r="G397" s="95"/>
      <c r="H397" s="95"/>
      <c r="I397" s="95"/>
      <c r="J397" s="95"/>
      <c r="K397" s="95"/>
      <c r="L397" s="95"/>
      <c r="M397" s="95"/>
      <c r="N397" s="95"/>
      <c r="O397" s="95"/>
      <c r="P397" s="95"/>
      <c r="Q397" s="95"/>
      <c r="R397" s="95"/>
      <c r="S397" s="95"/>
      <c r="T397" s="95"/>
    </row>
    <row r="398" spans="1:20" ht="12.75" customHeight="1" x14ac:dyDescent="0.3">
      <c r="A398" s="95"/>
      <c r="B398" s="95"/>
      <c r="C398" s="97"/>
      <c r="D398" s="95"/>
      <c r="E398" s="95"/>
      <c r="F398" s="95"/>
      <c r="G398" s="95"/>
      <c r="H398" s="95"/>
      <c r="I398" s="95"/>
      <c r="J398" s="95"/>
      <c r="K398" s="95"/>
      <c r="L398" s="95"/>
      <c r="M398" s="95"/>
      <c r="N398" s="95"/>
      <c r="O398" s="95"/>
      <c r="P398" s="95"/>
      <c r="Q398" s="95"/>
      <c r="R398" s="95"/>
      <c r="S398" s="95"/>
      <c r="T398" s="95"/>
    </row>
    <row r="399" spans="1:20" ht="12.75" customHeight="1" x14ac:dyDescent="0.3">
      <c r="A399" s="95"/>
      <c r="B399" s="95"/>
      <c r="C399" s="97"/>
      <c r="D399" s="95"/>
      <c r="E399" s="95"/>
      <c r="F399" s="95"/>
      <c r="G399" s="95"/>
      <c r="H399" s="95"/>
      <c r="I399" s="95"/>
      <c r="J399" s="95"/>
      <c r="K399" s="95"/>
      <c r="L399" s="95"/>
      <c r="M399" s="95"/>
      <c r="N399" s="95"/>
      <c r="O399" s="95"/>
      <c r="P399" s="95"/>
      <c r="Q399" s="95"/>
      <c r="R399" s="95"/>
      <c r="S399" s="95"/>
      <c r="T399" s="95"/>
    </row>
    <row r="400" spans="1:20" ht="12.75" customHeight="1" x14ac:dyDescent="0.3">
      <c r="A400" s="95"/>
      <c r="B400" s="95"/>
      <c r="C400" s="97"/>
      <c r="D400" s="95"/>
      <c r="E400" s="95"/>
      <c r="F400" s="95"/>
      <c r="G400" s="95"/>
      <c r="H400" s="95"/>
      <c r="I400" s="95"/>
      <c r="J400" s="95"/>
      <c r="K400" s="95"/>
      <c r="L400" s="95"/>
      <c r="M400" s="95"/>
      <c r="N400" s="95"/>
      <c r="O400" s="95"/>
      <c r="P400" s="95"/>
      <c r="Q400" s="95"/>
      <c r="R400" s="95"/>
      <c r="S400" s="95"/>
      <c r="T400" s="95"/>
    </row>
    <row r="401" spans="1:20" ht="12.75" customHeight="1" x14ac:dyDescent="0.3">
      <c r="A401" s="95"/>
      <c r="B401" s="95"/>
      <c r="C401" s="97"/>
      <c r="D401" s="95"/>
      <c r="E401" s="95"/>
      <c r="F401" s="95"/>
      <c r="G401" s="95"/>
      <c r="H401" s="95"/>
      <c r="I401" s="95"/>
      <c r="J401" s="95"/>
      <c r="K401" s="95"/>
      <c r="L401" s="95"/>
      <c r="M401" s="95"/>
      <c r="N401" s="95"/>
      <c r="O401" s="95"/>
      <c r="P401" s="95"/>
      <c r="Q401" s="95"/>
      <c r="R401" s="95"/>
      <c r="S401" s="95"/>
      <c r="T401" s="95"/>
    </row>
    <row r="402" spans="1:20" ht="12.75" customHeight="1" x14ac:dyDescent="0.3">
      <c r="A402" s="95"/>
      <c r="B402" s="95"/>
      <c r="C402" s="97"/>
      <c r="D402" s="95"/>
      <c r="E402" s="95"/>
      <c r="F402" s="95"/>
      <c r="G402" s="95"/>
      <c r="H402" s="95"/>
      <c r="I402" s="95"/>
      <c r="J402" s="95"/>
      <c r="K402" s="95"/>
      <c r="L402" s="95"/>
      <c r="M402" s="95"/>
      <c r="N402" s="95"/>
      <c r="O402" s="95"/>
      <c r="P402" s="95"/>
      <c r="Q402" s="95"/>
      <c r="R402" s="95"/>
      <c r="S402" s="95"/>
      <c r="T402" s="95"/>
    </row>
    <row r="403" spans="1:20" ht="12.75" customHeight="1" x14ac:dyDescent="0.3">
      <c r="A403" s="95"/>
      <c r="B403" s="95"/>
      <c r="C403" s="97"/>
      <c r="D403" s="95"/>
      <c r="E403" s="95"/>
      <c r="F403" s="95"/>
      <c r="G403" s="95"/>
      <c r="H403" s="95"/>
      <c r="I403" s="95"/>
      <c r="J403" s="95"/>
      <c r="K403" s="95"/>
      <c r="L403" s="95"/>
      <c r="M403" s="95"/>
      <c r="N403" s="95"/>
      <c r="O403" s="95"/>
      <c r="P403" s="95"/>
      <c r="Q403" s="95"/>
      <c r="R403" s="95"/>
      <c r="S403" s="95"/>
      <c r="T403" s="95"/>
    </row>
    <row r="404" spans="1:20" ht="12.75" customHeight="1" x14ac:dyDescent="0.3">
      <c r="A404" s="95"/>
      <c r="B404" s="95"/>
      <c r="C404" s="97"/>
      <c r="D404" s="95"/>
      <c r="E404" s="95"/>
      <c r="F404" s="95"/>
      <c r="G404" s="95"/>
      <c r="H404" s="95"/>
      <c r="I404" s="95"/>
      <c r="J404" s="95"/>
      <c r="K404" s="95"/>
      <c r="L404" s="95"/>
      <c r="M404" s="95"/>
      <c r="N404" s="95"/>
      <c r="O404" s="95"/>
      <c r="P404" s="95"/>
      <c r="Q404" s="95"/>
      <c r="R404" s="95"/>
      <c r="S404" s="95"/>
      <c r="T404" s="95"/>
    </row>
    <row r="405" spans="1:20" ht="12.75" customHeight="1" x14ac:dyDescent="0.3">
      <c r="A405" s="95"/>
      <c r="B405" s="95"/>
      <c r="C405" s="97"/>
      <c r="D405" s="95"/>
      <c r="E405" s="95"/>
      <c r="F405" s="95"/>
      <c r="G405" s="95"/>
      <c r="H405" s="95"/>
      <c r="I405" s="95"/>
      <c r="J405" s="95"/>
      <c r="K405" s="95"/>
      <c r="L405" s="95"/>
      <c r="M405" s="95"/>
      <c r="N405" s="95"/>
      <c r="O405" s="95"/>
      <c r="P405" s="95"/>
      <c r="Q405" s="95"/>
      <c r="R405" s="95"/>
      <c r="S405" s="95"/>
      <c r="T405" s="95"/>
    </row>
    <row r="406" spans="1:20" ht="12.75" customHeight="1" x14ac:dyDescent="0.3">
      <c r="A406" s="95"/>
      <c r="B406" s="95"/>
      <c r="C406" s="97"/>
      <c r="D406" s="95"/>
      <c r="E406" s="95"/>
      <c r="F406" s="95"/>
      <c r="G406" s="95"/>
      <c r="H406" s="95"/>
      <c r="I406" s="95"/>
      <c r="J406" s="95"/>
      <c r="K406" s="95"/>
      <c r="L406" s="95"/>
      <c r="M406" s="95"/>
      <c r="N406" s="95"/>
      <c r="O406" s="95"/>
      <c r="P406" s="95"/>
      <c r="Q406" s="95"/>
      <c r="R406" s="95"/>
      <c r="S406" s="95"/>
      <c r="T406" s="95"/>
    </row>
    <row r="407" spans="1:20" ht="12.75" customHeight="1" x14ac:dyDescent="0.3">
      <c r="A407" s="95"/>
      <c r="B407" s="95"/>
      <c r="C407" s="97"/>
      <c r="D407" s="95"/>
      <c r="E407" s="95"/>
      <c r="F407" s="95"/>
      <c r="G407" s="95"/>
      <c r="H407" s="95"/>
      <c r="I407" s="95"/>
      <c r="J407" s="95"/>
      <c r="K407" s="95"/>
      <c r="L407" s="95"/>
      <c r="M407" s="95"/>
      <c r="N407" s="95"/>
      <c r="O407" s="95"/>
      <c r="P407" s="95"/>
      <c r="Q407" s="95"/>
      <c r="R407" s="95"/>
      <c r="S407" s="95"/>
      <c r="T407" s="95"/>
    </row>
    <row r="408" spans="1:20" ht="12.75" customHeight="1" x14ac:dyDescent="0.3">
      <c r="A408" s="95"/>
      <c r="B408" s="95"/>
      <c r="C408" s="97"/>
      <c r="D408" s="95"/>
      <c r="E408" s="95"/>
      <c r="F408" s="95"/>
      <c r="G408" s="95"/>
      <c r="H408" s="95"/>
      <c r="I408" s="95"/>
      <c r="J408" s="95"/>
      <c r="K408" s="95"/>
      <c r="L408" s="95"/>
      <c r="M408" s="95"/>
      <c r="N408" s="95"/>
      <c r="O408" s="95"/>
      <c r="P408" s="95"/>
      <c r="Q408" s="95"/>
      <c r="R408" s="95"/>
      <c r="S408" s="95"/>
      <c r="T408" s="95"/>
    </row>
    <row r="409" spans="1:20" ht="12.75" customHeight="1" x14ac:dyDescent="0.3">
      <c r="A409" s="95"/>
      <c r="B409" s="95"/>
      <c r="C409" s="97"/>
      <c r="D409" s="95"/>
      <c r="E409" s="95"/>
      <c r="F409" s="95"/>
      <c r="G409" s="95"/>
      <c r="H409" s="95"/>
      <c r="I409" s="95"/>
      <c r="J409" s="95"/>
      <c r="K409" s="95"/>
      <c r="L409" s="95"/>
      <c r="M409" s="95"/>
      <c r="N409" s="95"/>
      <c r="O409" s="95"/>
      <c r="P409" s="95"/>
      <c r="Q409" s="95"/>
      <c r="R409" s="95"/>
      <c r="S409" s="95"/>
      <c r="T409" s="95"/>
    </row>
    <row r="410" spans="1:20" ht="12.75" customHeight="1" x14ac:dyDescent="0.3">
      <c r="A410" s="95"/>
      <c r="B410" s="95"/>
      <c r="C410" s="97"/>
      <c r="D410" s="95"/>
      <c r="E410" s="95"/>
      <c r="F410" s="95"/>
      <c r="G410" s="95"/>
      <c r="H410" s="95"/>
      <c r="I410" s="95"/>
      <c r="J410" s="95"/>
      <c r="K410" s="95"/>
      <c r="L410" s="95"/>
      <c r="M410" s="95"/>
      <c r="N410" s="95"/>
      <c r="O410" s="95"/>
      <c r="P410" s="95"/>
      <c r="Q410" s="95"/>
      <c r="R410" s="95"/>
      <c r="S410" s="95"/>
      <c r="T410" s="95"/>
    </row>
    <row r="411" spans="1:20" ht="12.75" customHeight="1" x14ac:dyDescent="0.3">
      <c r="A411" s="95"/>
      <c r="B411" s="95"/>
      <c r="C411" s="97"/>
      <c r="D411" s="95"/>
      <c r="E411" s="95"/>
      <c r="F411" s="95"/>
      <c r="G411" s="95"/>
      <c r="H411" s="95"/>
      <c r="I411" s="95"/>
      <c r="J411" s="95"/>
      <c r="K411" s="95"/>
      <c r="L411" s="95"/>
      <c r="M411" s="95"/>
      <c r="N411" s="95"/>
      <c r="O411" s="95"/>
      <c r="P411" s="95"/>
      <c r="Q411" s="95"/>
      <c r="R411" s="95"/>
      <c r="S411" s="95"/>
      <c r="T411" s="95"/>
    </row>
    <row r="412" spans="1:20" ht="12.75" customHeight="1" x14ac:dyDescent="0.3">
      <c r="A412" s="95"/>
      <c r="B412" s="95"/>
      <c r="C412" s="97"/>
      <c r="D412" s="95"/>
      <c r="E412" s="95"/>
      <c r="F412" s="95"/>
      <c r="G412" s="95"/>
      <c r="H412" s="95"/>
      <c r="I412" s="95"/>
      <c r="J412" s="95"/>
      <c r="K412" s="95"/>
      <c r="L412" s="95"/>
      <c r="M412" s="95"/>
      <c r="N412" s="95"/>
      <c r="O412" s="95"/>
      <c r="P412" s="95"/>
      <c r="Q412" s="95"/>
      <c r="R412" s="95"/>
      <c r="S412" s="95"/>
      <c r="T412" s="95"/>
    </row>
    <row r="413" spans="1:20" ht="12.75" customHeight="1" x14ac:dyDescent="0.3">
      <c r="A413" s="95"/>
      <c r="B413" s="95"/>
      <c r="C413" s="97"/>
      <c r="D413" s="95"/>
      <c r="E413" s="95"/>
      <c r="F413" s="95"/>
      <c r="G413" s="95"/>
      <c r="H413" s="95"/>
      <c r="I413" s="95"/>
      <c r="J413" s="95"/>
      <c r="K413" s="95"/>
      <c r="L413" s="95"/>
      <c r="M413" s="95"/>
      <c r="N413" s="95"/>
      <c r="O413" s="95"/>
      <c r="P413" s="95"/>
      <c r="Q413" s="95"/>
      <c r="R413" s="95"/>
      <c r="S413" s="95"/>
      <c r="T413" s="95"/>
    </row>
    <row r="414" spans="1:20" ht="12.75" customHeight="1" x14ac:dyDescent="0.3">
      <c r="A414" s="95"/>
      <c r="B414" s="95"/>
      <c r="C414" s="97"/>
      <c r="D414" s="95"/>
      <c r="E414" s="95"/>
      <c r="F414" s="95"/>
      <c r="G414" s="95"/>
      <c r="H414" s="95"/>
      <c r="I414" s="95"/>
      <c r="J414" s="95"/>
      <c r="K414" s="95"/>
      <c r="L414" s="95"/>
      <c r="M414" s="95"/>
      <c r="N414" s="95"/>
      <c r="O414" s="95"/>
      <c r="P414" s="95"/>
      <c r="Q414" s="95"/>
      <c r="R414" s="95"/>
      <c r="S414" s="95"/>
      <c r="T414" s="95"/>
    </row>
    <row r="415" spans="1:20" ht="12.75" customHeight="1" x14ac:dyDescent="0.3">
      <c r="A415" s="95"/>
      <c r="B415" s="95"/>
      <c r="C415" s="97"/>
      <c r="D415" s="95"/>
      <c r="E415" s="95"/>
      <c r="F415" s="95"/>
      <c r="G415" s="95"/>
      <c r="H415" s="95"/>
      <c r="I415" s="95"/>
      <c r="J415" s="95"/>
      <c r="K415" s="95"/>
      <c r="L415" s="95"/>
      <c r="M415" s="95"/>
      <c r="N415" s="95"/>
      <c r="O415" s="95"/>
      <c r="P415" s="95"/>
      <c r="Q415" s="95"/>
      <c r="R415" s="95"/>
      <c r="S415" s="95"/>
      <c r="T415" s="95"/>
    </row>
    <row r="416" spans="1:20" ht="12.75" customHeight="1" x14ac:dyDescent="0.3">
      <c r="A416" s="95"/>
      <c r="B416" s="95"/>
      <c r="C416" s="97"/>
      <c r="D416" s="95"/>
      <c r="E416" s="95"/>
      <c r="F416" s="95"/>
      <c r="G416" s="95"/>
      <c r="H416" s="95"/>
      <c r="I416" s="95"/>
      <c r="J416" s="95"/>
      <c r="K416" s="95"/>
      <c r="L416" s="95"/>
      <c r="M416" s="95"/>
      <c r="N416" s="95"/>
      <c r="O416" s="95"/>
      <c r="P416" s="95"/>
      <c r="Q416" s="95"/>
      <c r="R416" s="95"/>
      <c r="S416" s="95"/>
      <c r="T416" s="95"/>
    </row>
    <row r="417" spans="1:20" ht="12.75" customHeight="1" x14ac:dyDescent="0.3">
      <c r="A417" s="95"/>
      <c r="B417" s="95"/>
      <c r="C417" s="97"/>
      <c r="D417" s="95"/>
      <c r="E417" s="95"/>
      <c r="F417" s="95"/>
      <c r="G417" s="95"/>
      <c r="H417" s="95"/>
      <c r="I417" s="95"/>
      <c r="J417" s="95"/>
      <c r="K417" s="95"/>
      <c r="L417" s="95"/>
      <c r="M417" s="95"/>
      <c r="N417" s="95"/>
      <c r="O417" s="95"/>
      <c r="P417" s="95"/>
      <c r="Q417" s="95"/>
      <c r="R417" s="95"/>
      <c r="S417" s="95"/>
      <c r="T417" s="95"/>
    </row>
    <row r="418" spans="1:20" ht="12.75" customHeight="1" x14ac:dyDescent="0.3">
      <c r="A418" s="95"/>
      <c r="B418" s="95"/>
      <c r="C418" s="97"/>
      <c r="D418" s="95"/>
      <c r="E418" s="95"/>
      <c r="F418" s="95"/>
      <c r="G418" s="95"/>
      <c r="H418" s="95"/>
      <c r="I418" s="95"/>
      <c r="J418" s="95"/>
      <c r="K418" s="95"/>
      <c r="L418" s="95"/>
      <c r="M418" s="95"/>
      <c r="N418" s="95"/>
      <c r="O418" s="95"/>
      <c r="P418" s="95"/>
      <c r="Q418" s="95"/>
      <c r="R418" s="95"/>
      <c r="S418" s="95"/>
      <c r="T418" s="95"/>
    </row>
    <row r="419" spans="1:20" ht="12.75" customHeight="1" x14ac:dyDescent="0.3">
      <c r="A419" s="95"/>
      <c r="B419" s="95"/>
      <c r="C419" s="97"/>
      <c r="D419" s="95"/>
      <c r="E419" s="95"/>
      <c r="F419" s="95"/>
      <c r="G419" s="95"/>
      <c r="H419" s="95"/>
      <c r="I419" s="95"/>
      <c r="J419" s="95"/>
      <c r="K419" s="95"/>
      <c r="L419" s="95"/>
      <c r="M419" s="95"/>
      <c r="N419" s="95"/>
      <c r="O419" s="95"/>
      <c r="P419" s="95"/>
      <c r="Q419" s="95"/>
      <c r="R419" s="95"/>
      <c r="S419" s="95"/>
      <c r="T419" s="95"/>
    </row>
    <row r="420" spans="1:20" ht="12.75" customHeight="1" x14ac:dyDescent="0.3">
      <c r="A420" s="95"/>
      <c r="B420" s="95"/>
      <c r="C420" s="97"/>
      <c r="D420" s="95"/>
      <c r="E420" s="95"/>
      <c r="F420" s="95"/>
      <c r="G420" s="95"/>
      <c r="H420" s="95"/>
      <c r="I420" s="95"/>
      <c r="J420" s="95"/>
      <c r="K420" s="95"/>
      <c r="L420" s="95"/>
      <c r="M420" s="95"/>
      <c r="N420" s="95"/>
      <c r="O420" s="95"/>
      <c r="P420" s="95"/>
      <c r="Q420" s="95"/>
      <c r="R420" s="95"/>
      <c r="S420" s="95"/>
      <c r="T420" s="95"/>
    </row>
    <row r="421" spans="1:20" ht="12.75" customHeight="1" x14ac:dyDescent="0.3">
      <c r="A421" s="95"/>
      <c r="B421" s="95"/>
      <c r="C421" s="97"/>
      <c r="D421" s="95"/>
      <c r="E421" s="95"/>
      <c r="F421" s="95"/>
      <c r="G421" s="95"/>
      <c r="H421" s="95"/>
      <c r="I421" s="95"/>
      <c r="J421" s="95"/>
      <c r="K421" s="95"/>
      <c r="L421" s="95"/>
      <c r="M421" s="95"/>
      <c r="N421" s="95"/>
      <c r="O421" s="95"/>
      <c r="P421" s="95"/>
      <c r="Q421" s="95"/>
      <c r="R421" s="95"/>
      <c r="S421" s="95"/>
      <c r="T421" s="95"/>
    </row>
    <row r="422" spans="1:20" ht="12.75" customHeight="1" x14ac:dyDescent="0.3">
      <c r="A422" s="95"/>
      <c r="B422" s="95"/>
      <c r="C422" s="97"/>
      <c r="D422" s="95"/>
      <c r="E422" s="95"/>
      <c r="F422" s="95"/>
      <c r="G422" s="95"/>
      <c r="H422" s="95"/>
      <c r="I422" s="95"/>
      <c r="J422" s="95"/>
      <c r="K422" s="95"/>
      <c r="L422" s="95"/>
      <c r="M422" s="95"/>
      <c r="N422" s="95"/>
      <c r="O422" s="95"/>
      <c r="P422" s="95"/>
      <c r="Q422" s="95"/>
      <c r="R422" s="95"/>
      <c r="S422" s="95"/>
      <c r="T422" s="95"/>
    </row>
    <row r="423" spans="1:20" ht="12.75" customHeight="1" x14ac:dyDescent="0.3">
      <c r="A423" s="95"/>
      <c r="B423" s="95"/>
      <c r="C423" s="97"/>
      <c r="D423" s="95"/>
      <c r="E423" s="95"/>
      <c r="F423" s="95"/>
      <c r="G423" s="95"/>
      <c r="H423" s="95"/>
      <c r="I423" s="95"/>
      <c r="J423" s="95"/>
      <c r="K423" s="95"/>
      <c r="L423" s="95"/>
      <c r="M423" s="95"/>
      <c r="N423" s="95"/>
      <c r="O423" s="95"/>
      <c r="P423" s="95"/>
      <c r="Q423" s="95"/>
      <c r="R423" s="95"/>
      <c r="S423" s="95"/>
      <c r="T423" s="95"/>
    </row>
    <row r="424" spans="1:20" ht="12.75" customHeight="1" x14ac:dyDescent="0.3">
      <c r="A424" s="95"/>
      <c r="B424" s="95"/>
      <c r="C424" s="97"/>
      <c r="D424" s="95"/>
      <c r="E424" s="95"/>
      <c r="F424" s="95"/>
      <c r="G424" s="95"/>
      <c r="H424" s="95"/>
      <c r="I424" s="95"/>
      <c r="J424" s="95"/>
      <c r="K424" s="95"/>
      <c r="L424" s="95"/>
      <c r="M424" s="95"/>
      <c r="N424" s="95"/>
      <c r="O424" s="95"/>
      <c r="P424" s="95"/>
      <c r="Q424" s="95"/>
      <c r="R424" s="95"/>
      <c r="S424" s="95"/>
      <c r="T424" s="95"/>
    </row>
    <row r="425" spans="1:20" ht="12.75" customHeight="1" x14ac:dyDescent="0.3">
      <c r="A425" s="95"/>
      <c r="B425" s="95"/>
      <c r="C425" s="97"/>
      <c r="D425" s="95"/>
      <c r="E425" s="95"/>
      <c r="F425" s="95"/>
      <c r="G425" s="95"/>
      <c r="H425" s="95"/>
      <c r="I425" s="95"/>
      <c r="J425" s="95"/>
      <c r="K425" s="95"/>
      <c r="L425" s="95"/>
      <c r="M425" s="95"/>
      <c r="N425" s="95"/>
      <c r="O425" s="95"/>
      <c r="P425" s="95"/>
      <c r="Q425" s="95"/>
      <c r="R425" s="95"/>
      <c r="S425" s="95"/>
      <c r="T425" s="95"/>
    </row>
    <row r="426" spans="1:20" ht="12.75" customHeight="1" x14ac:dyDescent="0.3">
      <c r="A426" s="95"/>
      <c r="B426" s="95"/>
      <c r="C426" s="97"/>
      <c r="D426" s="95"/>
      <c r="E426" s="95"/>
      <c r="F426" s="95"/>
      <c r="G426" s="95"/>
      <c r="H426" s="95"/>
      <c r="I426" s="95"/>
      <c r="J426" s="95"/>
      <c r="K426" s="95"/>
      <c r="L426" s="95"/>
      <c r="M426" s="95"/>
      <c r="N426" s="95"/>
      <c r="O426" s="95"/>
      <c r="P426" s="95"/>
      <c r="Q426" s="95"/>
      <c r="R426" s="95"/>
      <c r="S426" s="95"/>
      <c r="T426" s="95"/>
    </row>
    <row r="427" spans="1:20" ht="12.75" customHeight="1" x14ac:dyDescent="0.3">
      <c r="A427" s="95"/>
      <c r="B427" s="95"/>
      <c r="C427" s="97"/>
      <c r="D427" s="95"/>
      <c r="E427" s="95"/>
      <c r="F427" s="95"/>
      <c r="G427" s="95"/>
      <c r="H427" s="95"/>
      <c r="I427" s="95"/>
      <c r="J427" s="95"/>
      <c r="K427" s="95"/>
      <c r="L427" s="95"/>
      <c r="M427" s="95"/>
      <c r="N427" s="95"/>
      <c r="O427" s="95"/>
      <c r="P427" s="95"/>
      <c r="Q427" s="95"/>
      <c r="R427" s="95"/>
      <c r="S427" s="95"/>
      <c r="T427" s="95"/>
    </row>
    <row r="428" spans="1:20" ht="12.75" customHeight="1" x14ac:dyDescent="0.3">
      <c r="A428" s="95"/>
      <c r="B428" s="95"/>
      <c r="C428" s="97"/>
      <c r="D428" s="95"/>
      <c r="E428" s="95"/>
      <c r="F428" s="95"/>
      <c r="G428" s="95"/>
      <c r="H428" s="95"/>
      <c r="I428" s="95"/>
      <c r="J428" s="95"/>
      <c r="K428" s="95"/>
      <c r="L428" s="95"/>
      <c r="M428" s="95"/>
      <c r="N428" s="95"/>
      <c r="O428" s="95"/>
      <c r="P428" s="95"/>
      <c r="Q428" s="95"/>
      <c r="R428" s="95"/>
      <c r="S428" s="95"/>
      <c r="T428" s="95"/>
    </row>
    <row r="429" spans="1:20" ht="12.75" customHeight="1" x14ac:dyDescent="0.3">
      <c r="A429" s="95"/>
      <c r="B429" s="95"/>
      <c r="C429" s="97"/>
      <c r="D429" s="95"/>
      <c r="E429" s="95"/>
      <c r="F429" s="95"/>
      <c r="G429" s="95"/>
      <c r="H429" s="95"/>
      <c r="I429" s="95"/>
      <c r="J429" s="95"/>
      <c r="K429" s="95"/>
      <c r="L429" s="95"/>
      <c r="M429" s="95"/>
      <c r="N429" s="95"/>
      <c r="O429" s="95"/>
      <c r="P429" s="95"/>
      <c r="Q429" s="95"/>
      <c r="R429" s="95"/>
      <c r="S429" s="95"/>
      <c r="T429" s="95"/>
    </row>
    <row r="430" spans="1:20" ht="12.75" customHeight="1" x14ac:dyDescent="0.3">
      <c r="A430" s="95"/>
      <c r="B430" s="95"/>
      <c r="C430" s="97"/>
      <c r="D430" s="95"/>
      <c r="E430" s="95"/>
      <c r="F430" s="95"/>
      <c r="G430" s="95"/>
      <c r="H430" s="95"/>
      <c r="I430" s="95"/>
      <c r="J430" s="95"/>
      <c r="K430" s="95"/>
      <c r="L430" s="95"/>
      <c r="M430" s="95"/>
      <c r="N430" s="95"/>
      <c r="O430" s="95"/>
      <c r="P430" s="95"/>
      <c r="Q430" s="95"/>
      <c r="R430" s="95"/>
      <c r="S430" s="95"/>
      <c r="T430" s="95"/>
    </row>
    <row r="431" spans="1:20" ht="12.75" customHeight="1" x14ac:dyDescent="0.3">
      <c r="A431" s="95"/>
      <c r="B431" s="95"/>
      <c r="C431" s="97"/>
      <c r="D431" s="95"/>
      <c r="E431" s="95"/>
      <c r="F431" s="95"/>
      <c r="G431" s="95"/>
      <c r="H431" s="95"/>
      <c r="I431" s="95"/>
      <c r="J431" s="95"/>
      <c r="K431" s="95"/>
      <c r="L431" s="95"/>
      <c r="M431" s="95"/>
      <c r="N431" s="95"/>
      <c r="O431" s="95"/>
      <c r="P431" s="95"/>
      <c r="Q431" s="95"/>
      <c r="R431" s="95"/>
      <c r="S431" s="95"/>
      <c r="T431" s="95"/>
    </row>
    <row r="432" spans="1:20" ht="12.75" customHeight="1" x14ac:dyDescent="0.3">
      <c r="A432" s="95"/>
      <c r="B432" s="95"/>
      <c r="C432" s="97"/>
      <c r="D432" s="95"/>
      <c r="E432" s="95"/>
      <c r="F432" s="95"/>
      <c r="G432" s="95"/>
      <c r="H432" s="95"/>
      <c r="I432" s="95"/>
      <c r="J432" s="95"/>
      <c r="K432" s="95"/>
      <c r="L432" s="95"/>
      <c r="M432" s="95"/>
      <c r="N432" s="95"/>
      <c r="O432" s="95"/>
      <c r="P432" s="95"/>
      <c r="Q432" s="95"/>
      <c r="R432" s="95"/>
      <c r="S432" s="95"/>
      <c r="T432" s="95"/>
    </row>
    <row r="433" spans="1:20" ht="12.75" customHeight="1" x14ac:dyDescent="0.3">
      <c r="A433" s="95"/>
      <c r="B433" s="95"/>
      <c r="C433" s="97"/>
      <c r="D433" s="95"/>
      <c r="E433" s="95"/>
      <c r="F433" s="95"/>
      <c r="G433" s="95"/>
      <c r="H433" s="95"/>
      <c r="I433" s="95"/>
      <c r="J433" s="95"/>
      <c r="K433" s="95"/>
      <c r="L433" s="95"/>
      <c r="M433" s="95"/>
      <c r="N433" s="95"/>
      <c r="O433" s="95"/>
      <c r="P433" s="95"/>
      <c r="Q433" s="95"/>
      <c r="R433" s="95"/>
      <c r="S433" s="95"/>
      <c r="T433" s="95"/>
    </row>
    <row r="434" spans="1:20" ht="12.75" customHeight="1" x14ac:dyDescent="0.3">
      <c r="A434" s="95"/>
      <c r="B434" s="95"/>
      <c r="C434" s="97"/>
      <c r="D434" s="95"/>
      <c r="E434" s="95"/>
      <c r="F434" s="95"/>
      <c r="G434" s="95"/>
      <c r="H434" s="95"/>
      <c r="I434" s="95"/>
      <c r="J434" s="95"/>
      <c r="K434" s="95"/>
      <c r="L434" s="95"/>
      <c r="M434" s="95"/>
      <c r="N434" s="95"/>
      <c r="O434" s="95"/>
      <c r="P434" s="95"/>
      <c r="Q434" s="95"/>
      <c r="R434" s="95"/>
      <c r="S434" s="95"/>
      <c r="T434" s="95"/>
    </row>
    <row r="435" spans="1:20" ht="12.75" customHeight="1" x14ac:dyDescent="0.3">
      <c r="A435" s="95"/>
      <c r="B435" s="95"/>
      <c r="C435" s="97"/>
      <c r="D435" s="95"/>
      <c r="E435" s="95"/>
      <c r="F435" s="95"/>
      <c r="G435" s="95"/>
      <c r="H435" s="95"/>
      <c r="I435" s="95"/>
      <c r="J435" s="95"/>
      <c r="K435" s="95"/>
      <c r="L435" s="95"/>
      <c r="M435" s="95"/>
      <c r="N435" s="95"/>
      <c r="O435" s="95"/>
      <c r="P435" s="95"/>
      <c r="Q435" s="95"/>
      <c r="R435" s="95"/>
      <c r="S435" s="95"/>
      <c r="T435" s="95"/>
    </row>
    <row r="436" spans="1:20" ht="12.75" customHeight="1" x14ac:dyDescent="0.3">
      <c r="A436" s="95"/>
      <c r="B436" s="95"/>
      <c r="C436" s="97"/>
      <c r="D436" s="95"/>
      <c r="E436" s="95"/>
      <c r="F436" s="95"/>
      <c r="G436" s="95"/>
      <c r="H436" s="95"/>
      <c r="I436" s="95"/>
      <c r="J436" s="95"/>
      <c r="K436" s="95"/>
      <c r="L436" s="95"/>
      <c r="M436" s="95"/>
      <c r="N436" s="95"/>
      <c r="O436" s="95"/>
      <c r="P436" s="95"/>
      <c r="Q436" s="95"/>
      <c r="R436" s="95"/>
      <c r="S436" s="95"/>
      <c r="T436" s="95"/>
    </row>
    <row r="437" spans="1:20" ht="12.75" customHeight="1" x14ac:dyDescent="0.3">
      <c r="A437" s="95"/>
      <c r="B437" s="95"/>
      <c r="C437" s="97"/>
      <c r="D437" s="95"/>
      <c r="E437" s="95"/>
      <c r="F437" s="95"/>
      <c r="G437" s="95"/>
      <c r="H437" s="95"/>
      <c r="I437" s="95"/>
      <c r="J437" s="95"/>
      <c r="K437" s="95"/>
      <c r="L437" s="95"/>
      <c r="M437" s="95"/>
      <c r="N437" s="95"/>
      <c r="O437" s="95"/>
      <c r="P437" s="95"/>
      <c r="Q437" s="95"/>
      <c r="R437" s="95"/>
      <c r="S437" s="95"/>
      <c r="T437" s="95"/>
    </row>
    <row r="438" spans="1:20" ht="12.75" customHeight="1" x14ac:dyDescent="0.3">
      <c r="A438" s="95"/>
      <c r="B438" s="95"/>
      <c r="C438" s="97"/>
      <c r="D438" s="95"/>
      <c r="E438" s="95"/>
      <c r="F438" s="95"/>
      <c r="G438" s="95"/>
      <c r="H438" s="95"/>
      <c r="I438" s="95"/>
      <c r="J438" s="95"/>
      <c r="K438" s="95"/>
      <c r="L438" s="95"/>
      <c r="M438" s="95"/>
      <c r="N438" s="95"/>
      <c r="O438" s="95"/>
      <c r="P438" s="95"/>
      <c r="Q438" s="95"/>
      <c r="R438" s="95"/>
      <c r="S438" s="95"/>
      <c r="T438" s="95"/>
    </row>
    <row r="439" spans="1:20" ht="12.75" customHeight="1" x14ac:dyDescent="0.3">
      <c r="A439" s="95"/>
      <c r="B439" s="95"/>
      <c r="C439" s="97"/>
      <c r="D439" s="95"/>
      <c r="E439" s="95"/>
      <c r="F439" s="95"/>
      <c r="G439" s="95"/>
      <c r="H439" s="95"/>
      <c r="I439" s="95"/>
      <c r="J439" s="95"/>
      <c r="K439" s="95"/>
      <c r="L439" s="95"/>
      <c r="M439" s="95"/>
      <c r="N439" s="95"/>
      <c r="O439" s="95"/>
      <c r="P439" s="95"/>
      <c r="Q439" s="95"/>
      <c r="R439" s="95"/>
      <c r="S439" s="95"/>
      <c r="T439" s="95"/>
    </row>
    <row r="440" spans="1:20" ht="12.75" customHeight="1" x14ac:dyDescent="0.3">
      <c r="A440" s="95"/>
      <c r="B440" s="95"/>
      <c r="C440" s="97"/>
      <c r="D440" s="95"/>
      <c r="E440" s="95"/>
      <c r="F440" s="95"/>
      <c r="G440" s="95"/>
      <c r="H440" s="95"/>
      <c r="I440" s="95"/>
      <c r="J440" s="95"/>
      <c r="K440" s="95"/>
      <c r="L440" s="95"/>
      <c r="M440" s="95"/>
      <c r="N440" s="95"/>
      <c r="O440" s="95"/>
      <c r="P440" s="95"/>
      <c r="Q440" s="95"/>
      <c r="R440" s="95"/>
      <c r="S440" s="95"/>
      <c r="T440" s="95"/>
    </row>
    <row r="441" spans="1:20" ht="12.75" customHeight="1" x14ac:dyDescent="0.3">
      <c r="A441" s="95"/>
      <c r="B441" s="95"/>
      <c r="C441" s="97"/>
      <c r="D441" s="95"/>
      <c r="E441" s="95"/>
      <c r="F441" s="95"/>
      <c r="G441" s="95"/>
      <c r="H441" s="95"/>
      <c r="I441" s="95"/>
      <c r="J441" s="95"/>
      <c r="K441" s="95"/>
      <c r="L441" s="95"/>
      <c r="M441" s="95"/>
      <c r="N441" s="95"/>
      <c r="O441" s="95"/>
      <c r="P441" s="95"/>
      <c r="Q441" s="95"/>
      <c r="R441" s="95"/>
      <c r="S441" s="95"/>
      <c r="T441" s="95"/>
    </row>
    <row r="442" spans="1:20" ht="12.75" customHeight="1" x14ac:dyDescent="0.3">
      <c r="A442" s="95"/>
      <c r="B442" s="95"/>
      <c r="C442" s="97"/>
      <c r="D442" s="95"/>
      <c r="E442" s="95"/>
      <c r="F442" s="95"/>
      <c r="G442" s="95"/>
      <c r="H442" s="95"/>
      <c r="I442" s="95"/>
      <c r="J442" s="95"/>
      <c r="K442" s="95"/>
      <c r="L442" s="95"/>
      <c r="M442" s="95"/>
      <c r="N442" s="95"/>
      <c r="O442" s="95"/>
      <c r="P442" s="95"/>
      <c r="Q442" s="95"/>
      <c r="R442" s="95"/>
      <c r="S442" s="95"/>
      <c r="T442" s="95"/>
    </row>
    <row r="443" spans="1:20" ht="12.75" customHeight="1" x14ac:dyDescent="0.3">
      <c r="A443" s="95"/>
      <c r="B443" s="95"/>
      <c r="C443" s="97"/>
      <c r="D443" s="95"/>
      <c r="E443" s="95"/>
      <c r="F443" s="95"/>
      <c r="G443" s="95"/>
      <c r="H443" s="95"/>
      <c r="I443" s="95"/>
      <c r="J443" s="95"/>
      <c r="K443" s="95"/>
      <c r="L443" s="95"/>
      <c r="M443" s="95"/>
      <c r="N443" s="95"/>
      <c r="O443" s="95"/>
      <c r="P443" s="95"/>
      <c r="Q443" s="95"/>
      <c r="R443" s="95"/>
      <c r="S443" s="95"/>
      <c r="T443" s="95"/>
    </row>
    <row r="444" spans="1:20" ht="12.75" customHeight="1" x14ac:dyDescent="0.3">
      <c r="A444" s="95"/>
      <c r="B444" s="95"/>
      <c r="C444" s="97"/>
      <c r="D444" s="95"/>
      <c r="E444" s="95"/>
      <c r="F444" s="95"/>
      <c r="G444" s="95"/>
      <c r="H444" s="95"/>
      <c r="I444" s="95"/>
      <c r="J444" s="95"/>
      <c r="K444" s="95"/>
      <c r="L444" s="95"/>
      <c r="M444" s="95"/>
      <c r="N444" s="95"/>
      <c r="O444" s="95"/>
      <c r="P444" s="95"/>
      <c r="Q444" s="95"/>
      <c r="R444" s="95"/>
      <c r="S444" s="95"/>
      <c r="T444" s="95"/>
    </row>
    <row r="445" spans="1:20" ht="12.75" customHeight="1" x14ac:dyDescent="0.3">
      <c r="A445" s="95"/>
      <c r="B445" s="95"/>
      <c r="C445" s="97"/>
      <c r="D445" s="95"/>
      <c r="E445" s="95"/>
      <c r="F445" s="95"/>
      <c r="G445" s="95"/>
      <c r="H445" s="95"/>
      <c r="I445" s="95"/>
      <c r="J445" s="95"/>
      <c r="K445" s="95"/>
      <c r="L445" s="95"/>
      <c r="M445" s="95"/>
      <c r="N445" s="95"/>
      <c r="O445" s="95"/>
      <c r="P445" s="95"/>
      <c r="Q445" s="95"/>
      <c r="R445" s="95"/>
      <c r="S445" s="95"/>
      <c r="T445" s="95"/>
    </row>
    <row r="446" spans="1:20" ht="12.75" customHeight="1" x14ac:dyDescent="0.3">
      <c r="A446" s="95"/>
      <c r="B446" s="95"/>
      <c r="C446" s="97"/>
      <c r="D446" s="95"/>
      <c r="E446" s="95"/>
      <c r="F446" s="95"/>
      <c r="G446" s="95"/>
      <c r="H446" s="95"/>
      <c r="I446" s="95"/>
      <c r="J446" s="95"/>
      <c r="K446" s="95"/>
      <c r="L446" s="95"/>
      <c r="M446" s="95"/>
      <c r="N446" s="95"/>
      <c r="O446" s="95"/>
      <c r="P446" s="95"/>
      <c r="Q446" s="95"/>
      <c r="R446" s="95"/>
      <c r="S446" s="95"/>
      <c r="T446" s="95"/>
    </row>
    <row r="447" spans="1:20" ht="12.75" customHeight="1" x14ac:dyDescent="0.3">
      <c r="A447" s="95"/>
      <c r="B447" s="95"/>
      <c r="C447" s="97"/>
      <c r="D447" s="95"/>
      <c r="E447" s="95"/>
      <c r="F447" s="95"/>
      <c r="G447" s="95"/>
      <c r="H447" s="95"/>
      <c r="I447" s="95"/>
      <c r="J447" s="95"/>
      <c r="K447" s="95"/>
      <c r="L447" s="95"/>
      <c r="M447" s="95"/>
      <c r="N447" s="95"/>
      <c r="O447" s="95"/>
      <c r="P447" s="95"/>
      <c r="Q447" s="95"/>
      <c r="R447" s="95"/>
      <c r="S447" s="95"/>
      <c r="T447" s="95"/>
    </row>
    <row r="448" spans="1:20" ht="12.75" customHeight="1" x14ac:dyDescent="0.3">
      <c r="A448" s="95"/>
      <c r="B448" s="95"/>
      <c r="C448" s="97"/>
      <c r="D448" s="95"/>
      <c r="E448" s="95"/>
      <c r="F448" s="95"/>
      <c r="G448" s="95"/>
      <c r="H448" s="95"/>
      <c r="I448" s="95"/>
      <c r="J448" s="95"/>
      <c r="K448" s="95"/>
      <c r="L448" s="95"/>
      <c r="M448" s="95"/>
      <c r="N448" s="95"/>
      <c r="O448" s="95"/>
      <c r="P448" s="95"/>
      <c r="Q448" s="95"/>
      <c r="R448" s="95"/>
      <c r="S448" s="95"/>
      <c r="T448" s="95"/>
    </row>
    <row r="449" spans="1:20" ht="12.75" customHeight="1" x14ac:dyDescent="0.3">
      <c r="A449" s="95"/>
      <c r="B449" s="95"/>
      <c r="C449" s="97"/>
      <c r="D449" s="95"/>
      <c r="E449" s="95"/>
      <c r="F449" s="95"/>
      <c r="G449" s="95"/>
      <c r="H449" s="95"/>
      <c r="I449" s="95"/>
      <c r="J449" s="95"/>
      <c r="K449" s="95"/>
      <c r="L449" s="95"/>
      <c r="M449" s="95"/>
      <c r="N449" s="95"/>
      <c r="O449" s="95"/>
      <c r="P449" s="95"/>
      <c r="Q449" s="95"/>
      <c r="R449" s="95"/>
      <c r="S449" s="95"/>
      <c r="T449" s="95"/>
    </row>
    <row r="450" spans="1:20" ht="12.75" customHeight="1" x14ac:dyDescent="0.3">
      <c r="A450" s="95"/>
      <c r="B450" s="95"/>
      <c r="C450" s="97"/>
      <c r="D450" s="95"/>
      <c r="E450" s="95"/>
      <c r="F450" s="95"/>
      <c r="G450" s="95"/>
      <c r="H450" s="95"/>
      <c r="I450" s="95"/>
      <c r="J450" s="95"/>
      <c r="K450" s="95"/>
      <c r="L450" s="95"/>
      <c r="M450" s="95"/>
      <c r="N450" s="95"/>
      <c r="O450" s="95"/>
      <c r="P450" s="95"/>
      <c r="Q450" s="95"/>
      <c r="R450" s="95"/>
      <c r="S450" s="95"/>
      <c r="T450" s="95"/>
    </row>
    <row r="451" spans="1:20" ht="12.75" customHeight="1" x14ac:dyDescent="0.3">
      <c r="A451" s="95"/>
      <c r="B451" s="95"/>
      <c r="C451" s="97"/>
      <c r="D451" s="95"/>
      <c r="E451" s="95"/>
      <c r="F451" s="95"/>
      <c r="G451" s="95"/>
      <c r="H451" s="95"/>
      <c r="I451" s="95"/>
      <c r="J451" s="95"/>
      <c r="K451" s="95"/>
      <c r="L451" s="95"/>
      <c r="M451" s="95"/>
      <c r="N451" s="95"/>
      <c r="O451" s="95"/>
      <c r="P451" s="95"/>
      <c r="Q451" s="95"/>
      <c r="R451" s="95"/>
      <c r="S451" s="95"/>
      <c r="T451" s="95"/>
    </row>
    <row r="452" spans="1:20" ht="12.75" customHeight="1" x14ac:dyDescent="0.3">
      <c r="A452" s="95"/>
      <c r="B452" s="95"/>
      <c r="C452" s="97"/>
      <c r="D452" s="95"/>
      <c r="E452" s="95"/>
      <c r="F452" s="95"/>
      <c r="G452" s="95"/>
      <c r="H452" s="95"/>
      <c r="I452" s="95"/>
      <c r="J452" s="95"/>
      <c r="K452" s="95"/>
      <c r="L452" s="95"/>
      <c r="M452" s="95"/>
      <c r="N452" s="95"/>
      <c r="O452" s="95"/>
      <c r="P452" s="95"/>
      <c r="Q452" s="95"/>
      <c r="R452" s="95"/>
      <c r="S452" s="95"/>
      <c r="T452" s="95"/>
    </row>
    <row r="453" spans="1:20" ht="12.75" customHeight="1" x14ac:dyDescent="0.3">
      <c r="A453" s="95"/>
      <c r="B453" s="95"/>
      <c r="C453" s="97"/>
      <c r="D453" s="95"/>
      <c r="E453" s="95"/>
      <c r="F453" s="95"/>
      <c r="G453" s="95"/>
      <c r="H453" s="95"/>
      <c r="I453" s="95"/>
      <c r="J453" s="95"/>
      <c r="K453" s="95"/>
      <c r="L453" s="95"/>
      <c r="M453" s="95"/>
      <c r="N453" s="95"/>
      <c r="O453" s="95"/>
      <c r="P453" s="95"/>
      <c r="Q453" s="95"/>
      <c r="R453" s="95"/>
      <c r="S453" s="95"/>
      <c r="T453" s="95"/>
    </row>
    <row r="454" spans="1:20" ht="12.75" customHeight="1" x14ac:dyDescent="0.3">
      <c r="A454" s="95"/>
      <c r="B454" s="95"/>
      <c r="C454" s="97"/>
      <c r="D454" s="95"/>
      <c r="E454" s="95"/>
      <c r="F454" s="95"/>
      <c r="G454" s="95"/>
      <c r="H454" s="95"/>
      <c r="I454" s="95"/>
      <c r="J454" s="95"/>
      <c r="K454" s="95"/>
      <c r="L454" s="95"/>
      <c r="M454" s="95"/>
      <c r="N454" s="95"/>
      <c r="O454" s="95"/>
      <c r="P454" s="95"/>
      <c r="Q454" s="95"/>
      <c r="R454" s="95"/>
      <c r="S454" s="95"/>
      <c r="T454" s="95"/>
    </row>
    <row r="455" spans="1:20" ht="12.75" customHeight="1" x14ac:dyDescent="0.3">
      <c r="A455" s="95"/>
      <c r="B455" s="95"/>
      <c r="C455" s="97"/>
      <c r="D455" s="95"/>
      <c r="E455" s="95"/>
      <c r="F455" s="95"/>
      <c r="G455" s="95"/>
      <c r="H455" s="95"/>
      <c r="I455" s="95"/>
      <c r="J455" s="95"/>
      <c r="K455" s="95"/>
      <c r="L455" s="95"/>
      <c r="M455" s="95"/>
      <c r="N455" s="95"/>
      <c r="O455" s="95"/>
      <c r="P455" s="95"/>
      <c r="Q455" s="95"/>
      <c r="R455" s="95"/>
      <c r="S455" s="95"/>
      <c r="T455" s="95"/>
    </row>
    <row r="456" spans="1:20" ht="12.75" customHeight="1" x14ac:dyDescent="0.3">
      <c r="A456" s="95"/>
      <c r="B456" s="95"/>
      <c r="C456" s="97"/>
      <c r="D456" s="95"/>
      <c r="E456" s="95"/>
      <c r="F456" s="95"/>
      <c r="G456" s="95"/>
      <c r="H456" s="95"/>
      <c r="I456" s="95"/>
      <c r="J456" s="95"/>
      <c r="K456" s="95"/>
      <c r="L456" s="95"/>
      <c r="M456" s="95"/>
      <c r="N456" s="95"/>
      <c r="O456" s="95"/>
      <c r="P456" s="95"/>
      <c r="Q456" s="95"/>
      <c r="R456" s="95"/>
      <c r="S456" s="95"/>
      <c r="T456" s="95"/>
    </row>
    <row r="457" spans="1:20" ht="12.75" customHeight="1" x14ac:dyDescent="0.3">
      <c r="A457" s="95"/>
      <c r="B457" s="95"/>
      <c r="C457" s="97"/>
      <c r="D457" s="95"/>
      <c r="E457" s="95"/>
      <c r="F457" s="95"/>
      <c r="G457" s="95"/>
      <c r="H457" s="95"/>
      <c r="I457" s="95"/>
      <c r="J457" s="95"/>
      <c r="K457" s="95"/>
      <c r="L457" s="95"/>
      <c r="M457" s="95"/>
      <c r="N457" s="95"/>
      <c r="O457" s="95"/>
      <c r="P457" s="95"/>
      <c r="Q457" s="95"/>
      <c r="R457" s="95"/>
      <c r="S457" s="95"/>
      <c r="T457" s="95"/>
    </row>
    <row r="458" spans="1:20" ht="12.75" customHeight="1" x14ac:dyDescent="0.3">
      <c r="A458" s="95"/>
      <c r="B458" s="95"/>
      <c r="C458" s="97"/>
      <c r="D458" s="95"/>
      <c r="E458" s="95"/>
      <c r="F458" s="95"/>
      <c r="G458" s="95"/>
      <c r="H458" s="95"/>
      <c r="I458" s="95"/>
      <c r="J458" s="95"/>
      <c r="K458" s="95"/>
      <c r="L458" s="95"/>
      <c r="M458" s="95"/>
      <c r="N458" s="95"/>
      <c r="O458" s="95"/>
      <c r="P458" s="95"/>
      <c r="Q458" s="95"/>
      <c r="R458" s="95"/>
      <c r="S458" s="95"/>
      <c r="T458" s="95"/>
    </row>
    <row r="459" spans="1:20" ht="12.75" customHeight="1" x14ac:dyDescent="0.3">
      <c r="A459" s="95"/>
      <c r="B459" s="95"/>
      <c r="C459" s="97"/>
      <c r="D459" s="95"/>
      <c r="E459" s="95"/>
      <c r="F459" s="95"/>
      <c r="G459" s="95"/>
      <c r="H459" s="95"/>
      <c r="I459" s="95"/>
      <c r="J459" s="95"/>
      <c r="K459" s="95"/>
      <c r="L459" s="95"/>
      <c r="M459" s="95"/>
      <c r="N459" s="95"/>
      <c r="O459" s="95"/>
      <c r="P459" s="95"/>
      <c r="Q459" s="95"/>
      <c r="R459" s="95"/>
      <c r="S459" s="95"/>
      <c r="T459" s="95"/>
    </row>
    <row r="460" spans="1:20" ht="12.75" customHeight="1" x14ac:dyDescent="0.3">
      <c r="A460" s="95"/>
      <c r="B460" s="95"/>
      <c r="C460" s="97"/>
      <c r="D460" s="95"/>
      <c r="E460" s="95"/>
      <c r="F460" s="95"/>
      <c r="G460" s="95"/>
      <c r="H460" s="95"/>
      <c r="I460" s="95"/>
      <c r="J460" s="95"/>
      <c r="K460" s="95"/>
      <c r="L460" s="95"/>
      <c r="M460" s="95"/>
      <c r="N460" s="95"/>
      <c r="O460" s="95"/>
      <c r="P460" s="95"/>
      <c r="Q460" s="95"/>
      <c r="R460" s="95"/>
      <c r="S460" s="95"/>
      <c r="T460" s="95"/>
    </row>
    <row r="461" spans="1:20" ht="12.75" customHeight="1" x14ac:dyDescent="0.3">
      <c r="A461" s="95"/>
      <c r="B461" s="95"/>
      <c r="C461" s="97"/>
      <c r="D461" s="95"/>
      <c r="E461" s="95"/>
      <c r="F461" s="95"/>
      <c r="G461" s="95"/>
      <c r="H461" s="95"/>
      <c r="I461" s="95"/>
      <c r="J461" s="95"/>
      <c r="K461" s="95"/>
      <c r="L461" s="95"/>
      <c r="M461" s="95"/>
      <c r="N461" s="95"/>
      <c r="O461" s="95"/>
      <c r="P461" s="95"/>
      <c r="Q461" s="95"/>
      <c r="R461" s="95"/>
      <c r="S461" s="95"/>
      <c r="T461" s="95"/>
    </row>
    <row r="462" spans="1:20" ht="12.75" customHeight="1" x14ac:dyDescent="0.3">
      <c r="A462" s="95"/>
      <c r="B462" s="95"/>
      <c r="C462" s="97"/>
      <c r="D462" s="95"/>
      <c r="E462" s="95"/>
      <c r="F462" s="95"/>
      <c r="G462" s="95"/>
      <c r="H462" s="95"/>
      <c r="I462" s="95"/>
      <c r="J462" s="95"/>
      <c r="K462" s="95"/>
      <c r="L462" s="95"/>
      <c r="M462" s="95"/>
      <c r="N462" s="95"/>
      <c r="O462" s="95"/>
      <c r="P462" s="95"/>
      <c r="Q462" s="95"/>
      <c r="R462" s="95"/>
      <c r="S462" s="95"/>
      <c r="T462" s="95"/>
    </row>
    <row r="463" spans="1:20" ht="12.75" customHeight="1" x14ac:dyDescent="0.3">
      <c r="A463" s="95"/>
      <c r="B463" s="95"/>
      <c r="C463" s="97"/>
      <c r="D463" s="95"/>
      <c r="E463" s="95"/>
      <c r="F463" s="95"/>
      <c r="G463" s="95"/>
      <c r="H463" s="95"/>
      <c r="I463" s="95"/>
      <c r="J463" s="95"/>
      <c r="K463" s="95"/>
      <c r="L463" s="95"/>
      <c r="M463" s="95"/>
      <c r="N463" s="95"/>
      <c r="O463" s="95"/>
      <c r="P463" s="95"/>
      <c r="Q463" s="95"/>
      <c r="R463" s="95"/>
      <c r="S463" s="95"/>
      <c r="T463" s="95"/>
    </row>
    <row r="464" spans="1:20" ht="12.75" customHeight="1" x14ac:dyDescent="0.3">
      <c r="A464" s="95"/>
      <c r="B464" s="95"/>
      <c r="C464" s="97"/>
      <c r="D464" s="95"/>
      <c r="E464" s="95"/>
      <c r="F464" s="95"/>
      <c r="G464" s="95"/>
      <c r="H464" s="95"/>
      <c r="I464" s="95"/>
      <c r="J464" s="95"/>
      <c r="K464" s="95"/>
      <c r="L464" s="95"/>
      <c r="M464" s="95"/>
      <c r="N464" s="95"/>
      <c r="O464" s="95"/>
      <c r="P464" s="95"/>
      <c r="Q464" s="95"/>
      <c r="R464" s="95"/>
      <c r="S464" s="95"/>
      <c r="T464" s="95"/>
    </row>
    <row r="465" spans="1:20" ht="12.75" customHeight="1" x14ac:dyDescent="0.3">
      <c r="A465" s="95"/>
      <c r="B465" s="95"/>
      <c r="C465" s="97"/>
      <c r="D465" s="95"/>
      <c r="E465" s="95"/>
      <c r="F465" s="95"/>
      <c r="G465" s="95"/>
      <c r="H465" s="95"/>
      <c r="I465" s="95"/>
      <c r="J465" s="95"/>
      <c r="K465" s="95"/>
      <c r="L465" s="95"/>
      <c r="M465" s="95"/>
      <c r="N465" s="95"/>
      <c r="O465" s="95"/>
      <c r="P465" s="95"/>
      <c r="Q465" s="95"/>
      <c r="R465" s="95"/>
      <c r="S465" s="95"/>
      <c r="T465" s="95"/>
    </row>
    <row r="466" spans="1:20" ht="12.75" customHeight="1" x14ac:dyDescent="0.3">
      <c r="A466" s="95"/>
      <c r="B466" s="95"/>
      <c r="C466" s="97"/>
      <c r="D466" s="95"/>
      <c r="E466" s="95"/>
      <c r="F466" s="95"/>
      <c r="G466" s="95"/>
      <c r="H466" s="95"/>
      <c r="I466" s="95"/>
      <c r="J466" s="95"/>
      <c r="K466" s="95"/>
      <c r="L466" s="95"/>
      <c r="M466" s="95"/>
      <c r="N466" s="95"/>
      <c r="O466" s="95"/>
      <c r="P466" s="95"/>
      <c r="Q466" s="95"/>
      <c r="R466" s="95"/>
      <c r="S466" s="95"/>
      <c r="T466" s="95"/>
    </row>
    <row r="467" spans="1:20" ht="12.75" customHeight="1" x14ac:dyDescent="0.3">
      <c r="A467" s="95"/>
      <c r="B467" s="95"/>
      <c r="C467" s="97"/>
      <c r="D467" s="95"/>
      <c r="E467" s="95"/>
      <c r="F467" s="95"/>
      <c r="G467" s="95"/>
      <c r="H467" s="95"/>
      <c r="I467" s="95"/>
      <c r="J467" s="95"/>
      <c r="K467" s="95"/>
      <c r="L467" s="95"/>
      <c r="M467" s="95"/>
      <c r="N467" s="95"/>
      <c r="O467" s="95"/>
      <c r="P467" s="95"/>
      <c r="Q467" s="95"/>
      <c r="R467" s="95"/>
      <c r="S467" s="95"/>
      <c r="T467" s="95"/>
    </row>
    <row r="468" spans="1:20" ht="12.75" customHeight="1" x14ac:dyDescent="0.3">
      <c r="A468" s="95"/>
      <c r="B468" s="95"/>
      <c r="C468" s="97"/>
      <c r="D468" s="95"/>
      <c r="E468" s="95"/>
      <c r="F468" s="95"/>
      <c r="G468" s="95"/>
      <c r="H468" s="95"/>
      <c r="I468" s="95"/>
      <c r="J468" s="95"/>
      <c r="K468" s="95"/>
      <c r="L468" s="95"/>
      <c r="M468" s="95"/>
      <c r="N468" s="95"/>
      <c r="O468" s="95"/>
      <c r="P468" s="95"/>
      <c r="Q468" s="95"/>
      <c r="R468" s="95"/>
      <c r="S468" s="95"/>
      <c r="T468" s="95"/>
    </row>
    <row r="469" spans="1:20" ht="12.75" customHeight="1" x14ac:dyDescent="0.3">
      <c r="A469" s="95"/>
      <c r="B469" s="95"/>
      <c r="C469" s="97"/>
      <c r="D469" s="95"/>
      <c r="E469" s="95"/>
      <c r="F469" s="95"/>
      <c r="G469" s="95"/>
      <c r="H469" s="95"/>
      <c r="I469" s="95"/>
      <c r="J469" s="95"/>
      <c r="K469" s="95"/>
      <c r="L469" s="95"/>
      <c r="M469" s="95"/>
      <c r="N469" s="95"/>
      <c r="O469" s="95"/>
      <c r="P469" s="95"/>
      <c r="Q469" s="95"/>
      <c r="R469" s="95"/>
      <c r="S469" s="95"/>
      <c r="T469" s="95"/>
    </row>
    <row r="470" spans="1:20" ht="12.75" customHeight="1" x14ac:dyDescent="0.3">
      <c r="A470" s="95"/>
      <c r="B470" s="95"/>
      <c r="C470" s="97"/>
      <c r="D470" s="95"/>
      <c r="E470" s="95"/>
      <c r="F470" s="95"/>
      <c r="G470" s="95"/>
      <c r="H470" s="95"/>
      <c r="I470" s="95"/>
      <c r="J470" s="95"/>
      <c r="K470" s="95"/>
      <c r="L470" s="95"/>
      <c r="M470" s="95"/>
      <c r="N470" s="95"/>
      <c r="O470" s="95"/>
      <c r="P470" s="95"/>
      <c r="Q470" s="95"/>
      <c r="R470" s="95"/>
      <c r="S470" s="95"/>
      <c r="T470" s="95"/>
    </row>
    <row r="471" spans="1:20" ht="12.75" customHeight="1" x14ac:dyDescent="0.3">
      <c r="A471" s="95"/>
      <c r="B471" s="95"/>
      <c r="C471" s="97"/>
      <c r="D471" s="95"/>
      <c r="E471" s="95"/>
      <c r="F471" s="95"/>
      <c r="G471" s="95"/>
      <c r="H471" s="95"/>
      <c r="I471" s="95"/>
      <c r="J471" s="95"/>
      <c r="K471" s="95"/>
      <c r="L471" s="95"/>
      <c r="M471" s="95"/>
      <c r="N471" s="95"/>
      <c r="O471" s="95"/>
      <c r="P471" s="95"/>
      <c r="Q471" s="95"/>
      <c r="R471" s="95"/>
      <c r="S471" s="95"/>
      <c r="T471" s="95"/>
    </row>
    <row r="472" spans="1:20" ht="12.75" customHeight="1" x14ac:dyDescent="0.3">
      <c r="A472" s="95"/>
      <c r="B472" s="95"/>
      <c r="C472" s="97"/>
      <c r="D472" s="95"/>
      <c r="E472" s="95"/>
      <c r="F472" s="95"/>
      <c r="G472" s="95"/>
      <c r="H472" s="95"/>
      <c r="I472" s="95"/>
      <c r="J472" s="95"/>
      <c r="K472" s="95"/>
      <c r="L472" s="95"/>
      <c r="M472" s="95"/>
      <c r="N472" s="95"/>
      <c r="O472" s="95"/>
      <c r="P472" s="95"/>
      <c r="Q472" s="95"/>
      <c r="R472" s="95"/>
      <c r="S472" s="95"/>
      <c r="T472" s="95"/>
    </row>
    <row r="473" spans="1:20" ht="12.75" customHeight="1" x14ac:dyDescent="0.3">
      <c r="A473" s="95"/>
      <c r="B473" s="95"/>
      <c r="C473" s="97"/>
      <c r="D473" s="95"/>
      <c r="E473" s="95"/>
      <c r="F473" s="95"/>
      <c r="G473" s="95"/>
      <c r="H473" s="95"/>
      <c r="I473" s="95"/>
      <c r="J473" s="95"/>
      <c r="K473" s="95"/>
      <c r="L473" s="95"/>
      <c r="M473" s="95"/>
      <c r="N473" s="95"/>
      <c r="O473" s="95"/>
      <c r="P473" s="95"/>
      <c r="Q473" s="95"/>
      <c r="R473" s="95"/>
      <c r="S473" s="95"/>
      <c r="T473" s="95"/>
    </row>
    <row r="474" spans="1:20" ht="12.75" customHeight="1" x14ac:dyDescent="0.3">
      <c r="A474" s="95"/>
      <c r="B474" s="95"/>
      <c r="C474" s="97"/>
      <c r="D474" s="95"/>
      <c r="E474" s="95"/>
      <c r="F474" s="95"/>
      <c r="G474" s="95"/>
      <c r="H474" s="95"/>
      <c r="I474" s="95"/>
      <c r="J474" s="95"/>
      <c r="K474" s="95"/>
      <c r="L474" s="95"/>
      <c r="M474" s="95"/>
      <c r="N474" s="95"/>
      <c r="O474" s="95"/>
      <c r="P474" s="95"/>
      <c r="Q474" s="95"/>
      <c r="R474" s="95"/>
      <c r="S474" s="95"/>
      <c r="T474" s="95"/>
    </row>
    <row r="475" spans="1:20" ht="12.75" customHeight="1" x14ac:dyDescent="0.3">
      <c r="A475" s="95"/>
      <c r="B475" s="95"/>
      <c r="C475" s="97"/>
      <c r="D475" s="95"/>
      <c r="E475" s="95"/>
      <c r="F475" s="95"/>
      <c r="G475" s="95"/>
      <c r="H475" s="95"/>
      <c r="I475" s="95"/>
      <c r="J475" s="95"/>
      <c r="K475" s="95"/>
      <c r="L475" s="95"/>
      <c r="M475" s="95"/>
      <c r="N475" s="95"/>
      <c r="O475" s="95"/>
      <c r="P475" s="95"/>
      <c r="Q475" s="95"/>
      <c r="R475" s="95"/>
      <c r="S475" s="95"/>
      <c r="T475" s="95"/>
    </row>
    <row r="476" spans="1:20" ht="12.75" customHeight="1" x14ac:dyDescent="0.3">
      <c r="A476" s="95"/>
      <c r="B476" s="95"/>
      <c r="C476" s="97"/>
      <c r="D476" s="95"/>
      <c r="E476" s="95"/>
      <c r="F476" s="95"/>
      <c r="G476" s="95"/>
      <c r="H476" s="95"/>
      <c r="I476" s="95"/>
      <c r="J476" s="95"/>
      <c r="K476" s="95"/>
      <c r="L476" s="95"/>
      <c r="M476" s="95"/>
      <c r="N476" s="95"/>
      <c r="O476" s="95"/>
      <c r="P476" s="95"/>
      <c r="Q476" s="95"/>
      <c r="R476" s="95"/>
      <c r="S476" s="95"/>
      <c r="T476" s="95"/>
    </row>
    <row r="477" spans="1:20" ht="12.75" customHeight="1" x14ac:dyDescent="0.3">
      <c r="A477" s="95"/>
      <c r="B477" s="95"/>
      <c r="C477" s="97"/>
      <c r="D477" s="95"/>
      <c r="E477" s="95"/>
      <c r="F477" s="95"/>
      <c r="G477" s="95"/>
      <c r="H477" s="95"/>
      <c r="I477" s="95"/>
      <c r="J477" s="95"/>
      <c r="K477" s="95"/>
      <c r="L477" s="95"/>
      <c r="M477" s="95"/>
      <c r="N477" s="95"/>
      <c r="O477" s="95"/>
      <c r="P477" s="95"/>
      <c r="Q477" s="95"/>
      <c r="R477" s="95"/>
      <c r="S477" s="95"/>
      <c r="T477" s="95"/>
    </row>
    <row r="478" spans="1:20" ht="12.75" customHeight="1" x14ac:dyDescent="0.3">
      <c r="A478" s="95"/>
      <c r="B478" s="95"/>
      <c r="C478" s="97"/>
      <c r="D478" s="95"/>
      <c r="E478" s="95"/>
      <c r="F478" s="95"/>
      <c r="G478" s="95"/>
      <c r="H478" s="95"/>
      <c r="I478" s="95"/>
      <c r="J478" s="95"/>
      <c r="K478" s="95"/>
      <c r="L478" s="95"/>
      <c r="M478" s="95"/>
      <c r="N478" s="95"/>
      <c r="O478" s="95"/>
      <c r="P478" s="95"/>
      <c r="Q478" s="95"/>
      <c r="R478" s="95"/>
      <c r="S478" s="95"/>
      <c r="T478" s="95"/>
    </row>
    <row r="479" spans="1:20" ht="12.75" customHeight="1" x14ac:dyDescent="0.3">
      <c r="A479" s="95"/>
      <c r="B479" s="95"/>
      <c r="C479" s="97"/>
      <c r="D479" s="95"/>
      <c r="E479" s="95"/>
      <c r="F479" s="95"/>
      <c r="G479" s="95"/>
      <c r="H479" s="95"/>
      <c r="I479" s="95"/>
      <c r="J479" s="95"/>
      <c r="K479" s="95"/>
      <c r="L479" s="95"/>
      <c r="M479" s="95"/>
      <c r="N479" s="95"/>
      <c r="O479" s="95"/>
      <c r="P479" s="95"/>
      <c r="Q479" s="95"/>
      <c r="R479" s="95"/>
      <c r="S479" s="95"/>
      <c r="T479" s="95"/>
    </row>
    <row r="480" spans="1:20" ht="12.75" customHeight="1" x14ac:dyDescent="0.3">
      <c r="A480" s="95"/>
      <c r="B480" s="95"/>
      <c r="C480" s="97"/>
      <c r="D480" s="95"/>
      <c r="E480" s="95"/>
      <c r="F480" s="95"/>
      <c r="G480" s="95"/>
      <c r="H480" s="95"/>
      <c r="I480" s="95"/>
      <c r="J480" s="95"/>
      <c r="K480" s="95"/>
      <c r="L480" s="95"/>
      <c r="M480" s="95"/>
      <c r="N480" s="95"/>
      <c r="O480" s="95"/>
      <c r="P480" s="95"/>
      <c r="Q480" s="95"/>
      <c r="R480" s="95"/>
      <c r="S480" s="95"/>
      <c r="T480" s="95"/>
    </row>
    <row r="481" spans="1:20" ht="12.75" customHeight="1" x14ac:dyDescent="0.3">
      <c r="A481" s="95"/>
      <c r="B481" s="95"/>
      <c r="C481" s="97"/>
      <c r="D481" s="95"/>
      <c r="E481" s="95"/>
      <c r="F481" s="95"/>
      <c r="G481" s="95"/>
      <c r="H481" s="95"/>
      <c r="I481" s="95"/>
      <c r="J481" s="95"/>
      <c r="K481" s="95"/>
      <c r="L481" s="95"/>
      <c r="M481" s="95"/>
      <c r="N481" s="95"/>
      <c r="O481" s="95"/>
      <c r="P481" s="95"/>
      <c r="Q481" s="95"/>
      <c r="R481" s="95"/>
      <c r="S481" s="95"/>
      <c r="T481" s="95"/>
    </row>
    <row r="482" spans="1:20" ht="12.75" customHeight="1" x14ac:dyDescent="0.3">
      <c r="A482" s="95"/>
      <c r="B482" s="95"/>
      <c r="C482" s="97"/>
      <c r="D482" s="95"/>
      <c r="E482" s="95"/>
      <c r="F482" s="95"/>
      <c r="G482" s="95"/>
      <c r="H482" s="95"/>
      <c r="I482" s="95"/>
      <c r="J482" s="95"/>
      <c r="K482" s="95"/>
      <c r="L482" s="95"/>
      <c r="M482" s="95"/>
      <c r="N482" s="95"/>
      <c r="O482" s="95"/>
      <c r="P482" s="95"/>
      <c r="Q482" s="95"/>
      <c r="R482" s="95"/>
      <c r="S482" s="95"/>
      <c r="T482" s="95"/>
    </row>
    <row r="483" spans="1:20" ht="12.75" customHeight="1" x14ac:dyDescent="0.3">
      <c r="A483" s="95"/>
      <c r="B483" s="95"/>
      <c r="C483" s="97"/>
      <c r="D483" s="95"/>
      <c r="E483" s="95"/>
      <c r="F483" s="95"/>
      <c r="G483" s="95"/>
      <c r="H483" s="95"/>
      <c r="I483" s="95"/>
      <c r="J483" s="95"/>
      <c r="K483" s="95"/>
      <c r="L483" s="95"/>
      <c r="M483" s="95"/>
      <c r="N483" s="95"/>
      <c r="O483" s="95"/>
      <c r="P483" s="95"/>
      <c r="Q483" s="95"/>
      <c r="R483" s="95"/>
      <c r="S483" s="95"/>
      <c r="T483" s="95"/>
    </row>
    <row r="484" spans="1:20" ht="12.75" customHeight="1" x14ac:dyDescent="0.3">
      <c r="A484" s="95"/>
      <c r="B484" s="95"/>
      <c r="C484" s="97"/>
      <c r="D484" s="95"/>
      <c r="E484" s="95"/>
      <c r="F484" s="95"/>
      <c r="G484" s="95"/>
      <c r="H484" s="95"/>
      <c r="I484" s="95"/>
      <c r="J484" s="95"/>
      <c r="K484" s="95"/>
      <c r="L484" s="95"/>
      <c r="M484" s="95"/>
      <c r="N484" s="95"/>
      <c r="O484" s="95"/>
      <c r="P484" s="95"/>
      <c r="Q484" s="95"/>
      <c r="R484" s="95"/>
      <c r="S484" s="95"/>
      <c r="T484" s="95"/>
    </row>
    <row r="485" spans="1:20" ht="12.75" customHeight="1" x14ac:dyDescent="0.3">
      <c r="A485" s="95"/>
      <c r="B485" s="95"/>
      <c r="C485" s="97"/>
      <c r="D485" s="95"/>
      <c r="E485" s="95"/>
      <c r="F485" s="95"/>
      <c r="G485" s="95"/>
      <c r="H485" s="95"/>
      <c r="I485" s="95"/>
      <c r="J485" s="95"/>
      <c r="K485" s="95"/>
      <c r="L485" s="95"/>
      <c r="M485" s="95"/>
      <c r="N485" s="95"/>
      <c r="O485" s="95"/>
      <c r="P485" s="95"/>
      <c r="Q485" s="95"/>
      <c r="R485" s="95"/>
      <c r="S485" s="95"/>
      <c r="T485" s="95"/>
    </row>
    <row r="486" spans="1:20" ht="12.75" customHeight="1" x14ac:dyDescent="0.3">
      <c r="A486" s="95"/>
      <c r="B486" s="95"/>
      <c r="C486" s="97"/>
      <c r="D486" s="95"/>
      <c r="E486" s="95"/>
      <c r="F486" s="95"/>
      <c r="G486" s="95"/>
      <c r="H486" s="95"/>
      <c r="I486" s="95"/>
      <c r="J486" s="95"/>
      <c r="K486" s="95"/>
      <c r="L486" s="95"/>
      <c r="M486" s="95"/>
      <c r="N486" s="95"/>
      <c r="O486" s="95"/>
      <c r="P486" s="95"/>
      <c r="Q486" s="95"/>
      <c r="R486" s="95"/>
      <c r="S486" s="95"/>
      <c r="T486" s="95"/>
    </row>
    <row r="487" spans="1:20" ht="12.75" customHeight="1" x14ac:dyDescent="0.3">
      <c r="A487" s="95"/>
      <c r="B487" s="95"/>
      <c r="C487" s="97"/>
      <c r="D487" s="95"/>
      <c r="E487" s="95"/>
      <c r="F487" s="95"/>
      <c r="G487" s="95"/>
      <c r="H487" s="95"/>
      <c r="I487" s="95"/>
      <c r="J487" s="95"/>
      <c r="K487" s="95"/>
      <c r="L487" s="95"/>
      <c r="M487" s="95"/>
      <c r="N487" s="95"/>
      <c r="O487" s="95"/>
      <c r="P487" s="95"/>
      <c r="Q487" s="95"/>
      <c r="R487" s="95"/>
      <c r="S487" s="95"/>
      <c r="T487" s="95"/>
    </row>
    <row r="488" spans="1:20" ht="12.75" customHeight="1" x14ac:dyDescent="0.3">
      <c r="A488" s="95"/>
      <c r="B488" s="95"/>
      <c r="C488" s="97"/>
      <c r="D488" s="95"/>
      <c r="E488" s="95"/>
      <c r="F488" s="95"/>
      <c r="G488" s="95"/>
      <c r="H488" s="95"/>
      <c r="I488" s="95"/>
      <c r="J488" s="95"/>
      <c r="K488" s="95"/>
      <c r="L488" s="95"/>
      <c r="M488" s="95"/>
      <c r="N488" s="95"/>
      <c r="O488" s="95"/>
      <c r="P488" s="95"/>
      <c r="Q488" s="95"/>
      <c r="R488" s="95"/>
      <c r="S488" s="95"/>
      <c r="T488" s="95"/>
    </row>
    <row r="489" spans="1:20" ht="12.75" customHeight="1" x14ac:dyDescent="0.3">
      <c r="A489" s="95"/>
      <c r="B489" s="95"/>
      <c r="C489" s="97"/>
      <c r="D489" s="95"/>
      <c r="E489" s="95"/>
      <c r="F489" s="95"/>
      <c r="G489" s="95"/>
      <c r="H489" s="95"/>
      <c r="I489" s="95"/>
      <c r="J489" s="95"/>
      <c r="K489" s="95"/>
      <c r="L489" s="95"/>
      <c r="M489" s="95"/>
      <c r="N489" s="95"/>
      <c r="O489" s="95"/>
      <c r="P489" s="95"/>
      <c r="Q489" s="95"/>
      <c r="R489" s="95"/>
      <c r="S489" s="95"/>
      <c r="T489" s="95"/>
    </row>
    <row r="490" spans="1:20" ht="12.75" customHeight="1" x14ac:dyDescent="0.3">
      <c r="A490" s="95"/>
      <c r="B490" s="95"/>
      <c r="C490" s="97"/>
      <c r="D490" s="95"/>
      <c r="E490" s="95"/>
      <c r="F490" s="95"/>
      <c r="G490" s="95"/>
      <c r="H490" s="95"/>
      <c r="I490" s="95"/>
      <c r="J490" s="95"/>
      <c r="K490" s="95"/>
      <c r="L490" s="95"/>
      <c r="M490" s="95"/>
      <c r="N490" s="95"/>
      <c r="O490" s="95"/>
      <c r="P490" s="95"/>
      <c r="Q490" s="95"/>
      <c r="R490" s="95"/>
      <c r="S490" s="95"/>
      <c r="T490" s="95"/>
    </row>
    <row r="491" spans="1:20" ht="12.75" customHeight="1" x14ac:dyDescent="0.3">
      <c r="A491" s="95"/>
      <c r="B491" s="95"/>
      <c r="C491" s="97"/>
      <c r="D491" s="95"/>
      <c r="E491" s="95"/>
      <c r="F491" s="95"/>
      <c r="G491" s="95"/>
      <c r="H491" s="95"/>
      <c r="I491" s="95"/>
      <c r="J491" s="95"/>
      <c r="K491" s="95"/>
      <c r="L491" s="95"/>
      <c r="M491" s="95"/>
      <c r="N491" s="95"/>
      <c r="O491" s="95"/>
      <c r="P491" s="95"/>
      <c r="Q491" s="95"/>
      <c r="R491" s="95"/>
      <c r="S491" s="95"/>
      <c r="T491" s="95"/>
    </row>
    <row r="492" spans="1:20" ht="12.75" customHeight="1" x14ac:dyDescent="0.3">
      <c r="A492" s="95"/>
      <c r="B492" s="95"/>
      <c r="C492" s="97"/>
      <c r="D492" s="95"/>
      <c r="E492" s="95"/>
      <c r="F492" s="95"/>
      <c r="G492" s="95"/>
      <c r="H492" s="95"/>
      <c r="I492" s="95"/>
      <c r="J492" s="95"/>
      <c r="K492" s="95"/>
      <c r="L492" s="95"/>
      <c r="M492" s="95"/>
      <c r="N492" s="95"/>
      <c r="O492" s="95"/>
      <c r="P492" s="95"/>
      <c r="Q492" s="95"/>
      <c r="R492" s="95"/>
      <c r="S492" s="95"/>
      <c r="T492" s="95"/>
    </row>
    <row r="493" spans="1:20" ht="12.75" customHeight="1" x14ac:dyDescent="0.3">
      <c r="A493" s="95"/>
      <c r="B493" s="95"/>
      <c r="C493" s="97"/>
      <c r="D493" s="95"/>
      <c r="E493" s="95"/>
      <c r="F493" s="95"/>
      <c r="G493" s="95"/>
      <c r="H493" s="95"/>
      <c r="I493" s="95"/>
      <c r="J493" s="95"/>
      <c r="K493" s="95"/>
      <c r="L493" s="95"/>
      <c r="M493" s="95"/>
      <c r="N493" s="95"/>
      <c r="O493" s="95"/>
      <c r="P493" s="95"/>
      <c r="Q493" s="95"/>
      <c r="R493" s="95"/>
      <c r="S493" s="95"/>
      <c r="T493" s="95"/>
    </row>
    <row r="494" spans="1:20" ht="12.75" customHeight="1" x14ac:dyDescent="0.3">
      <c r="A494" s="95"/>
      <c r="B494" s="95"/>
      <c r="C494" s="97"/>
      <c r="D494" s="95"/>
      <c r="E494" s="95"/>
      <c r="F494" s="95"/>
      <c r="G494" s="95"/>
      <c r="H494" s="95"/>
      <c r="I494" s="95"/>
      <c r="J494" s="95"/>
      <c r="K494" s="95"/>
      <c r="L494" s="95"/>
      <c r="M494" s="95"/>
      <c r="N494" s="95"/>
      <c r="O494" s="95"/>
      <c r="P494" s="95"/>
      <c r="Q494" s="95"/>
      <c r="R494" s="95"/>
      <c r="S494" s="95"/>
      <c r="T494" s="95"/>
    </row>
    <row r="495" spans="1:20" ht="12.75" customHeight="1" x14ac:dyDescent="0.3">
      <c r="A495" s="95"/>
      <c r="B495" s="95"/>
      <c r="C495" s="97"/>
      <c r="D495" s="95"/>
      <c r="E495" s="95"/>
      <c r="F495" s="95"/>
      <c r="G495" s="95"/>
      <c r="H495" s="95"/>
      <c r="I495" s="95"/>
      <c r="J495" s="95"/>
      <c r="K495" s="95"/>
      <c r="L495" s="95"/>
      <c r="M495" s="95"/>
      <c r="N495" s="95"/>
      <c r="O495" s="95"/>
      <c r="P495" s="95"/>
      <c r="Q495" s="95"/>
      <c r="R495" s="95"/>
      <c r="S495" s="95"/>
      <c r="T495" s="95"/>
    </row>
    <row r="496" spans="1:20" ht="12.75" customHeight="1" x14ac:dyDescent="0.3">
      <c r="A496" s="95"/>
      <c r="B496" s="95"/>
      <c r="C496" s="97"/>
      <c r="D496" s="95"/>
      <c r="E496" s="95"/>
      <c r="F496" s="95"/>
      <c r="G496" s="95"/>
      <c r="H496" s="95"/>
      <c r="I496" s="95"/>
      <c r="J496" s="95"/>
      <c r="K496" s="95"/>
      <c r="L496" s="95"/>
      <c r="M496" s="95"/>
      <c r="N496" s="95"/>
      <c r="O496" s="95"/>
      <c r="P496" s="95"/>
      <c r="Q496" s="95"/>
      <c r="R496" s="95"/>
      <c r="S496" s="95"/>
      <c r="T496" s="95"/>
    </row>
    <row r="497" spans="1:20" ht="12.75" customHeight="1" x14ac:dyDescent="0.3">
      <c r="A497" s="95"/>
      <c r="B497" s="95"/>
      <c r="C497" s="97"/>
      <c r="D497" s="95"/>
      <c r="E497" s="95"/>
      <c r="F497" s="95"/>
      <c r="G497" s="95"/>
      <c r="H497" s="95"/>
      <c r="I497" s="95"/>
      <c r="J497" s="95"/>
      <c r="K497" s="95"/>
      <c r="L497" s="95"/>
      <c r="M497" s="95"/>
      <c r="N497" s="95"/>
      <c r="O497" s="95"/>
      <c r="P497" s="95"/>
      <c r="Q497" s="95"/>
      <c r="R497" s="95"/>
      <c r="S497" s="95"/>
      <c r="T497" s="95"/>
    </row>
    <row r="498" spans="1:20" ht="12.75" customHeight="1" x14ac:dyDescent="0.3">
      <c r="A498" s="95"/>
      <c r="B498" s="95"/>
      <c r="C498" s="97"/>
      <c r="D498" s="95"/>
      <c r="E498" s="95"/>
      <c r="F498" s="95"/>
      <c r="G498" s="95"/>
      <c r="H498" s="95"/>
      <c r="I498" s="95"/>
      <c r="J498" s="95"/>
      <c r="K498" s="95"/>
      <c r="L498" s="95"/>
      <c r="M498" s="95"/>
      <c r="N498" s="95"/>
      <c r="O498" s="95"/>
      <c r="P498" s="95"/>
      <c r="Q498" s="95"/>
      <c r="R498" s="95"/>
      <c r="S498" s="95"/>
      <c r="T498" s="95"/>
    </row>
    <row r="499" spans="1:20" ht="12.75" customHeight="1" x14ac:dyDescent="0.3">
      <c r="A499" s="95"/>
      <c r="B499" s="95"/>
      <c r="C499" s="97"/>
      <c r="D499" s="95"/>
      <c r="E499" s="95"/>
      <c r="F499" s="95"/>
      <c r="G499" s="95"/>
      <c r="H499" s="95"/>
      <c r="I499" s="95"/>
      <c r="J499" s="95"/>
      <c r="K499" s="95"/>
      <c r="L499" s="95"/>
      <c r="M499" s="95"/>
      <c r="N499" s="95"/>
      <c r="O499" s="95"/>
      <c r="P499" s="95"/>
      <c r="Q499" s="95"/>
      <c r="R499" s="95"/>
      <c r="S499" s="95"/>
      <c r="T499" s="95"/>
    </row>
    <row r="500" spans="1:20" ht="12.75" customHeight="1" x14ac:dyDescent="0.3">
      <c r="A500" s="95"/>
      <c r="B500" s="95"/>
      <c r="C500" s="97"/>
      <c r="D500" s="95"/>
      <c r="E500" s="95"/>
      <c r="F500" s="95"/>
      <c r="G500" s="95"/>
      <c r="H500" s="95"/>
      <c r="I500" s="95"/>
      <c r="J500" s="95"/>
      <c r="K500" s="95"/>
      <c r="L500" s="95"/>
      <c r="M500" s="95"/>
      <c r="N500" s="95"/>
      <c r="O500" s="95"/>
      <c r="P500" s="95"/>
      <c r="Q500" s="95"/>
      <c r="R500" s="95"/>
      <c r="S500" s="95"/>
      <c r="T500" s="95"/>
    </row>
    <row r="501" spans="1:20" ht="12.75" customHeight="1" x14ac:dyDescent="0.3">
      <c r="A501" s="95"/>
      <c r="B501" s="95"/>
      <c r="C501" s="97"/>
      <c r="D501" s="95"/>
      <c r="E501" s="95"/>
      <c r="F501" s="95"/>
      <c r="G501" s="95"/>
      <c r="H501" s="95"/>
      <c r="I501" s="95"/>
      <c r="J501" s="95"/>
      <c r="K501" s="95"/>
      <c r="L501" s="95"/>
      <c r="M501" s="95"/>
      <c r="N501" s="95"/>
      <c r="O501" s="95"/>
      <c r="P501" s="95"/>
      <c r="Q501" s="95"/>
      <c r="R501" s="95"/>
      <c r="S501" s="95"/>
      <c r="T501" s="95"/>
    </row>
    <row r="502" spans="1:20" ht="12.75" customHeight="1" x14ac:dyDescent="0.3">
      <c r="A502" s="95"/>
      <c r="B502" s="95"/>
      <c r="C502" s="97"/>
      <c r="D502" s="95"/>
      <c r="E502" s="95"/>
      <c r="F502" s="95"/>
      <c r="G502" s="95"/>
      <c r="H502" s="95"/>
      <c r="I502" s="95"/>
      <c r="J502" s="95"/>
      <c r="K502" s="95"/>
      <c r="L502" s="95"/>
      <c r="M502" s="95"/>
      <c r="N502" s="95"/>
      <c r="O502" s="95"/>
      <c r="P502" s="95"/>
      <c r="Q502" s="95"/>
      <c r="R502" s="95"/>
      <c r="S502" s="95"/>
      <c r="T502" s="95"/>
    </row>
    <row r="503" spans="1:20" ht="12.75" customHeight="1" x14ac:dyDescent="0.3">
      <c r="A503" s="95"/>
      <c r="B503" s="95"/>
      <c r="C503" s="97"/>
      <c r="D503" s="95"/>
      <c r="E503" s="95"/>
      <c r="F503" s="95"/>
      <c r="G503" s="95"/>
      <c r="H503" s="95"/>
      <c r="I503" s="95"/>
      <c r="J503" s="95"/>
      <c r="K503" s="95"/>
      <c r="L503" s="95"/>
      <c r="M503" s="95"/>
      <c r="N503" s="95"/>
      <c r="O503" s="95"/>
      <c r="P503" s="95"/>
      <c r="Q503" s="95"/>
      <c r="R503" s="95"/>
      <c r="S503" s="95"/>
      <c r="T503" s="95"/>
    </row>
    <row r="504" spans="1:20" ht="12.75" customHeight="1" x14ac:dyDescent="0.3">
      <c r="A504" s="95"/>
      <c r="B504" s="95"/>
      <c r="C504" s="97"/>
      <c r="D504" s="95"/>
      <c r="E504" s="95"/>
      <c r="F504" s="95"/>
      <c r="G504" s="95"/>
      <c r="H504" s="95"/>
      <c r="I504" s="95"/>
      <c r="J504" s="95"/>
      <c r="K504" s="95"/>
      <c r="L504" s="95"/>
      <c r="M504" s="95"/>
      <c r="N504" s="95"/>
      <c r="O504" s="95"/>
      <c r="P504" s="95"/>
      <c r="Q504" s="95"/>
      <c r="R504" s="95"/>
      <c r="S504" s="95"/>
      <c r="T504" s="95"/>
    </row>
    <row r="505" spans="1:20" ht="12.75" customHeight="1" x14ac:dyDescent="0.3">
      <c r="A505" s="95"/>
      <c r="B505" s="95"/>
      <c r="C505" s="97"/>
      <c r="D505" s="95"/>
      <c r="E505" s="95"/>
      <c r="F505" s="95"/>
      <c r="G505" s="95"/>
      <c r="H505" s="95"/>
      <c r="I505" s="95"/>
      <c r="J505" s="95"/>
      <c r="K505" s="95"/>
      <c r="L505" s="95"/>
      <c r="M505" s="95"/>
      <c r="N505" s="95"/>
      <c r="O505" s="95"/>
      <c r="P505" s="95"/>
      <c r="Q505" s="95"/>
      <c r="R505" s="95"/>
      <c r="S505" s="95"/>
      <c r="T505" s="95"/>
    </row>
    <row r="506" spans="1:20" ht="12.75" customHeight="1" x14ac:dyDescent="0.3">
      <c r="A506" s="95"/>
      <c r="B506" s="95"/>
      <c r="C506" s="97"/>
      <c r="D506" s="95"/>
      <c r="E506" s="95"/>
      <c r="F506" s="95"/>
      <c r="G506" s="95"/>
      <c r="H506" s="95"/>
      <c r="I506" s="95"/>
      <c r="J506" s="95"/>
      <c r="K506" s="95"/>
      <c r="L506" s="95"/>
      <c r="M506" s="95"/>
      <c r="N506" s="95"/>
      <c r="O506" s="95"/>
      <c r="P506" s="95"/>
      <c r="Q506" s="95"/>
      <c r="R506" s="95"/>
      <c r="S506" s="95"/>
      <c r="T506" s="95"/>
    </row>
    <row r="507" spans="1:20" ht="12.75" customHeight="1" x14ac:dyDescent="0.3">
      <c r="A507" s="95"/>
      <c r="B507" s="95"/>
      <c r="C507" s="97"/>
      <c r="D507" s="95"/>
      <c r="E507" s="95"/>
      <c r="F507" s="95"/>
      <c r="G507" s="95"/>
      <c r="H507" s="95"/>
      <c r="I507" s="95"/>
      <c r="J507" s="95"/>
      <c r="K507" s="95"/>
      <c r="L507" s="95"/>
      <c r="M507" s="95"/>
      <c r="N507" s="95"/>
      <c r="O507" s="95"/>
      <c r="P507" s="95"/>
      <c r="Q507" s="95"/>
      <c r="R507" s="95"/>
      <c r="S507" s="95"/>
      <c r="T507" s="95"/>
    </row>
    <row r="508" spans="1:20" ht="12.75" customHeight="1" x14ac:dyDescent="0.3">
      <c r="A508" s="95"/>
      <c r="B508" s="95"/>
      <c r="C508" s="97"/>
      <c r="D508" s="95"/>
      <c r="E508" s="95"/>
      <c r="F508" s="95"/>
      <c r="G508" s="95"/>
      <c r="H508" s="95"/>
      <c r="I508" s="95"/>
      <c r="J508" s="95"/>
      <c r="K508" s="95"/>
      <c r="L508" s="95"/>
      <c r="M508" s="95"/>
      <c r="N508" s="95"/>
      <c r="O508" s="95"/>
      <c r="P508" s="95"/>
      <c r="Q508" s="95"/>
      <c r="R508" s="95"/>
      <c r="S508" s="95"/>
      <c r="T508" s="95"/>
    </row>
    <row r="509" spans="1:20" ht="12.75" customHeight="1" x14ac:dyDescent="0.3">
      <c r="A509" s="95"/>
      <c r="B509" s="95"/>
      <c r="C509" s="97"/>
      <c r="D509" s="95"/>
      <c r="E509" s="95"/>
      <c r="F509" s="95"/>
      <c r="G509" s="95"/>
      <c r="H509" s="95"/>
      <c r="I509" s="95"/>
      <c r="J509" s="95"/>
      <c r="K509" s="95"/>
      <c r="L509" s="95"/>
      <c r="M509" s="95"/>
      <c r="N509" s="95"/>
      <c r="O509" s="95"/>
      <c r="P509" s="95"/>
      <c r="Q509" s="95"/>
      <c r="R509" s="95"/>
      <c r="S509" s="95"/>
      <c r="T509" s="95"/>
    </row>
    <row r="510" spans="1:20" ht="12.75" customHeight="1" x14ac:dyDescent="0.3">
      <c r="A510" s="95"/>
      <c r="B510" s="95"/>
      <c r="C510" s="97"/>
      <c r="D510" s="95"/>
      <c r="E510" s="95"/>
      <c r="F510" s="95"/>
      <c r="G510" s="95"/>
      <c r="H510" s="95"/>
      <c r="I510" s="95"/>
      <c r="J510" s="95"/>
      <c r="K510" s="95"/>
      <c r="L510" s="95"/>
      <c r="M510" s="95"/>
      <c r="N510" s="95"/>
      <c r="O510" s="95"/>
      <c r="P510" s="95"/>
      <c r="Q510" s="95"/>
      <c r="R510" s="95"/>
      <c r="S510" s="95"/>
      <c r="T510" s="95"/>
    </row>
    <row r="511" spans="1:20" ht="12.75" customHeight="1" x14ac:dyDescent="0.3">
      <c r="A511" s="95"/>
      <c r="B511" s="95"/>
      <c r="C511" s="97"/>
      <c r="D511" s="95"/>
      <c r="E511" s="95"/>
      <c r="F511" s="95"/>
      <c r="G511" s="95"/>
      <c r="H511" s="95"/>
      <c r="I511" s="95"/>
      <c r="J511" s="95"/>
      <c r="K511" s="95"/>
      <c r="L511" s="95"/>
      <c r="M511" s="95"/>
      <c r="N511" s="95"/>
      <c r="O511" s="95"/>
      <c r="P511" s="95"/>
      <c r="Q511" s="95"/>
      <c r="R511" s="95"/>
      <c r="S511" s="95"/>
      <c r="T511" s="95"/>
    </row>
    <row r="512" spans="1:20" ht="12.75" customHeight="1" x14ac:dyDescent="0.3">
      <c r="A512" s="95"/>
      <c r="B512" s="95"/>
      <c r="C512" s="97"/>
      <c r="D512" s="95"/>
      <c r="E512" s="95"/>
      <c r="F512" s="95"/>
      <c r="G512" s="95"/>
      <c r="H512" s="95"/>
      <c r="I512" s="95"/>
      <c r="J512" s="95"/>
      <c r="K512" s="95"/>
      <c r="L512" s="95"/>
      <c r="M512" s="95"/>
      <c r="N512" s="95"/>
      <c r="O512" s="95"/>
      <c r="P512" s="95"/>
      <c r="Q512" s="95"/>
      <c r="R512" s="95"/>
      <c r="S512" s="95"/>
      <c r="T512" s="95"/>
    </row>
    <row r="513" spans="1:20" ht="12.75" customHeight="1" x14ac:dyDescent="0.3">
      <c r="A513" s="95"/>
      <c r="B513" s="95"/>
      <c r="C513" s="97"/>
      <c r="D513" s="95"/>
      <c r="E513" s="95"/>
      <c r="F513" s="95"/>
      <c r="G513" s="95"/>
      <c r="H513" s="95"/>
      <c r="I513" s="95"/>
      <c r="J513" s="95"/>
      <c r="K513" s="95"/>
      <c r="L513" s="95"/>
      <c r="M513" s="95"/>
      <c r="N513" s="95"/>
      <c r="O513" s="95"/>
      <c r="P513" s="95"/>
      <c r="Q513" s="95"/>
      <c r="R513" s="95"/>
      <c r="S513" s="95"/>
      <c r="T513" s="95"/>
    </row>
    <row r="514" spans="1:20" ht="12.75" customHeight="1" x14ac:dyDescent="0.3">
      <c r="A514" s="95"/>
      <c r="B514" s="95"/>
      <c r="C514" s="97"/>
      <c r="D514" s="95"/>
      <c r="E514" s="95"/>
      <c r="F514" s="95"/>
      <c r="G514" s="95"/>
      <c r="H514" s="95"/>
      <c r="I514" s="95"/>
      <c r="J514" s="95"/>
      <c r="K514" s="95"/>
      <c r="L514" s="95"/>
      <c r="M514" s="95"/>
      <c r="N514" s="95"/>
      <c r="O514" s="95"/>
      <c r="P514" s="95"/>
      <c r="Q514" s="95"/>
      <c r="R514" s="95"/>
      <c r="S514" s="95"/>
      <c r="T514" s="95"/>
    </row>
    <row r="515" spans="1:20" ht="12.75" customHeight="1" x14ac:dyDescent="0.3">
      <c r="A515" s="95"/>
      <c r="B515" s="95"/>
      <c r="C515" s="97"/>
      <c r="D515" s="95"/>
      <c r="E515" s="95"/>
      <c r="F515" s="95"/>
      <c r="G515" s="95"/>
      <c r="H515" s="95"/>
      <c r="I515" s="95"/>
      <c r="J515" s="95"/>
      <c r="K515" s="95"/>
      <c r="L515" s="95"/>
      <c r="M515" s="95"/>
      <c r="N515" s="95"/>
      <c r="O515" s="95"/>
      <c r="P515" s="95"/>
      <c r="Q515" s="95"/>
      <c r="R515" s="95"/>
      <c r="S515" s="95"/>
      <c r="T515" s="95"/>
    </row>
    <row r="516" spans="1:20" ht="12.75" customHeight="1" x14ac:dyDescent="0.3">
      <c r="A516" s="95"/>
      <c r="B516" s="95"/>
      <c r="C516" s="97"/>
      <c r="D516" s="95"/>
      <c r="E516" s="95"/>
      <c r="F516" s="95"/>
      <c r="G516" s="95"/>
      <c r="H516" s="95"/>
      <c r="I516" s="95"/>
      <c r="J516" s="95"/>
      <c r="K516" s="95"/>
      <c r="L516" s="95"/>
      <c r="M516" s="95"/>
      <c r="N516" s="95"/>
      <c r="O516" s="95"/>
      <c r="P516" s="95"/>
      <c r="Q516" s="95"/>
      <c r="R516" s="95"/>
      <c r="S516" s="95"/>
      <c r="T516" s="95"/>
    </row>
    <row r="517" spans="1:20" ht="12.75" customHeight="1" x14ac:dyDescent="0.3">
      <c r="A517" s="95"/>
      <c r="B517" s="95"/>
      <c r="C517" s="97"/>
      <c r="D517" s="95"/>
      <c r="E517" s="95"/>
      <c r="F517" s="95"/>
      <c r="G517" s="95"/>
      <c r="H517" s="95"/>
      <c r="I517" s="95"/>
      <c r="J517" s="95"/>
      <c r="K517" s="95"/>
      <c r="L517" s="95"/>
      <c r="M517" s="95"/>
      <c r="N517" s="95"/>
      <c r="O517" s="95"/>
      <c r="P517" s="95"/>
      <c r="Q517" s="95"/>
      <c r="R517" s="95"/>
      <c r="S517" s="95"/>
      <c r="T517" s="95"/>
    </row>
    <row r="518" spans="1:20" ht="12.75" customHeight="1" x14ac:dyDescent="0.3">
      <c r="A518" s="95"/>
      <c r="B518" s="95"/>
      <c r="C518" s="97"/>
      <c r="D518" s="95"/>
      <c r="E518" s="95"/>
      <c r="F518" s="95"/>
      <c r="G518" s="95"/>
      <c r="H518" s="95"/>
      <c r="I518" s="95"/>
      <c r="J518" s="95"/>
      <c r="K518" s="95"/>
      <c r="L518" s="95"/>
      <c r="M518" s="95"/>
      <c r="N518" s="95"/>
      <c r="O518" s="95"/>
      <c r="P518" s="95"/>
      <c r="Q518" s="95"/>
      <c r="R518" s="95"/>
      <c r="S518" s="95"/>
      <c r="T518" s="95"/>
    </row>
    <row r="519" spans="1:20" ht="12.75" customHeight="1" x14ac:dyDescent="0.3">
      <c r="A519" s="95"/>
      <c r="B519" s="95"/>
      <c r="C519" s="97"/>
      <c r="D519" s="95"/>
      <c r="E519" s="95"/>
      <c r="F519" s="95"/>
      <c r="G519" s="95"/>
      <c r="H519" s="95"/>
      <c r="I519" s="95"/>
      <c r="J519" s="95"/>
      <c r="K519" s="95"/>
      <c r="L519" s="95"/>
      <c r="M519" s="95"/>
      <c r="N519" s="95"/>
      <c r="O519" s="95"/>
      <c r="P519" s="95"/>
      <c r="Q519" s="95"/>
      <c r="R519" s="95"/>
      <c r="S519" s="95"/>
      <c r="T519" s="95"/>
    </row>
    <row r="520" spans="1:20" ht="12.75" customHeight="1" x14ac:dyDescent="0.3">
      <c r="A520" s="95"/>
      <c r="B520" s="95"/>
      <c r="C520" s="97"/>
      <c r="D520" s="95"/>
      <c r="E520" s="95"/>
      <c r="F520" s="95"/>
      <c r="G520" s="95"/>
      <c r="H520" s="95"/>
      <c r="I520" s="95"/>
      <c r="J520" s="95"/>
      <c r="K520" s="95"/>
      <c r="L520" s="95"/>
      <c r="M520" s="95"/>
      <c r="N520" s="95"/>
      <c r="O520" s="95"/>
      <c r="P520" s="95"/>
      <c r="Q520" s="95"/>
      <c r="R520" s="95"/>
      <c r="S520" s="95"/>
      <c r="T520" s="95"/>
    </row>
    <row r="521" spans="1:20" ht="12.75" customHeight="1" x14ac:dyDescent="0.3">
      <c r="A521" s="95"/>
      <c r="B521" s="95"/>
      <c r="C521" s="97"/>
      <c r="D521" s="95"/>
      <c r="E521" s="95"/>
      <c r="F521" s="95"/>
      <c r="G521" s="95"/>
      <c r="H521" s="95"/>
      <c r="I521" s="95"/>
      <c r="J521" s="95"/>
      <c r="K521" s="95"/>
      <c r="L521" s="95"/>
      <c r="M521" s="95"/>
      <c r="N521" s="95"/>
      <c r="O521" s="95"/>
      <c r="P521" s="95"/>
      <c r="Q521" s="95"/>
      <c r="R521" s="95"/>
      <c r="S521" s="95"/>
      <c r="T521" s="95"/>
    </row>
    <row r="522" spans="1:20" ht="12.75" customHeight="1" x14ac:dyDescent="0.3">
      <c r="A522" s="95"/>
      <c r="B522" s="95"/>
      <c r="C522" s="97"/>
      <c r="D522" s="95"/>
      <c r="E522" s="95"/>
      <c r="F522" s="95"/>
      <c r="G522" s="95"/>
      <c r="H522" s="95"/>
      <c r="I522" s="95"/>
      <c r="J522" s="95"/>
      <c r="K522" s="95"/>
      <c r="L522" s="95"/>
      <c r="M522" s="95"/>
      <c r="N522" s="95"/>
      <c r="O522" s="95"/>
      <c r="P522" s="95"/>
      <c r="Q522" s="95"/>
      <c r="R522" s="95"/>
      <c r="S522" s="95"/>
      <c r="T522" s="95"/>
    </row>
    <row r="523" spans="1:20" ht="12.75" customHeight="1" x14ac:dyDescent="0.3">
      <c r="A523" s="95"/>
      <c r="B523" s="95"/>
      <c r="C523" s="97"/>
      <c r="D523" s="95"/>
      <c r="E523" s="95"/>
      <c r="F523" s="95"/>
      <c r="G523" s="95"/>
      <c r="H523" s="95"/>
      <c r="I523" s="95"/>
      <c r="J523" s="95"/>
      <c r="K523" s="95"/>
      <c r="L523" s="95"/>
      <c r="M523" s="95"/>
      <c r="N523" s="95"/>
      <c r="O523" s="95"/>
      <c r="P523" s="95"/>
      <c r="Q523" s="95"/>
      <c r="R523" s="95"/>
      <c r="S523" s="95"/>
      <c r="T523" s="95"/>
    </row>
    <row r="524" spans="1:20" ht="12.75" customHeight="1" x14ac:dyDescent="0.3">
      <c r="A524" s="95"/>
      <c r="B524" s="95"/>
      <c r="C524" s="97"/>
      <c r="D524" s="95"/>
      <c r="E524" s="95"/>
      <c r="F524" s="95"/>
      <c r="G524" s="95"/>
      <c r="H524" s="95"/>
      <c r="I524" s="95"/>
      <c r="J524" s="95"/>
      <c r="K524" s="95"/>
      <c r="L524" s="95"/>
      <c r="M524" s="95"/>
      <c r="N524" s="95"/>
      <c r="O524" s="95"/>
      <c r="P524" s="95"/>
      <c r="Q524" s="95"/>
      <c r="R524" s="95"/>
      <c r="S524" s="95"/>
      <c r="T524" s="95"/>
    </row>
    <row r="525" spans="1:20" ht="12.75" customHeight="1" x14ac:dyDescent="0.3">
      <c r="A525" s="95"/>
      <c r="B525" s="95"/>
      <c r="C525" s="97"/>
      <c r="D525" s="95"/>
      <c r="E525" s="95"/>
      <c r="F525" s="95"/>
      <c r="G525" s="95"/>
      <c r="H525" s="95"/>
      <c r="I525" s="95"/>
      <c r="J525" s="95"/>
      <c r="K525" s="95"/>
      <c r="L525" s="95"/>
      <c r="M525" s="95"/>
      <c r="N525" s="95"/>
      <c r="O525" s="95"/>
      <c r="P525" s="95"/>
      <c r="Q525" s="95"/>
      <c r="R525" s="95"/>
      <c r="S525" s="95"/>
      <c r="T525" s="95"/>
    </row>
    <row r="526" spans="1:20" ht="12.75" customHeight="1" x14ac:dyDescent="0.3">
      <c r="A526" s="95"/>
      <c r="B526" s="95"/>
      <c r="C526" s="97"/>
      <c r="D526" s="95"/>
      <c r="E526" s="95"/>
      <c r="F526" s="95"/>
      <c r="G526" s="95"/>
      <c r="H526" s="95"/>
      <c r="I526" s="95"/>
      <c r="J526" s="95"/>
      <c r="K526" s="95"/>
      <c r="L526" s="95"/>
      <c r="M526" s="95"/>
      <c r="N526" s="95"/>
      <c r="O526" s="95"/>
      <c r="P526" s="95"/>
      <c r="Q526" s="95"/>
      <c r="R526" s="95"/>
      <c r="S526" s="95"/>
      <c r="T526" s="95"/>
    </row>
    <row r="527" spans="1:20" ht="12.75" customHeight="1" x14ac:dyDescent="0.3">
      <c r="A527" s="95"/>
      <c r="B527" s="95"/>
      <c r="C527" s="97"/>
      <c r="D527" s="95"/>
      <c r="E527" s="95"/>
      <c r="F527" s="95"/>
      <c r="G527" s="95"/>
      <c r="H527" s="95"/>
      <c r="I527" s="95"/>
      <c r="J527" s="95"/>
      <c r="K527" s="95"/>
      <c r="L527" s="95"/>
      <c r="M527" s="95"/>
      <c r="N527" s="95"/>
      <c r="O527" s="95"/>
      <c r="P527" s="95"/>
      <c r="Q527" s="95"/>
      <c r="R527" s="95"/>
      <c r="S527" s="95"/>
      <c r="T527" s="95"/>
    </row>
    <row r="528" spans="1:20" ht="12.75" customHeight="1" x14ac:dyDescent="0.3">
      <c r="A528" s="95"/>
      <c r="B528" s="95"/>
      <c r="C528" s="97"/>
      <c r="D528" s="95"/>
      <c r="E528" s="95"/>
      <c r="F528" s="95"/>
      <c r="G528" s="95"/>
      <c r="H528" s="95"/>
      <c r="I528" s="95"/>
      <c r="J528" s="95"/>
      <c r="K528" s="95"/>
      <c r="L528" s="95"/>
      <c r="M528" s="95"/>
      <c r="N528" s="95"/>
      <c r="O528" s="95"/>
      <c r="P528" s="95"/>
      <c r="Q528" s="95"/>
      <c r="R528" s="95"/>
      <c r="S528" s="95"/>
      <c r="T528" s="95"/>
    </row>
    <row r="529" spans="1:20" ht="12.75" customHeight="1" x14ac:dyDescent="0.3">
      <c r="A529" s="95"/>
      <c r="B529" s="95"/>
      <c r="C529" s="97"/>
      <c r="D529" s="95"/>
      <c r="E529" s="95"/>
      <c r="F529" s="95"/>
      <c r="G529" s="95"/>
      <c r="H529" s="95"/>
      <c r="I529" s="95"/>
      <c r="J529" s="95"/>
      <c r="K529" s="95"/>
      <c r="L529" s="95"/>
      <c r="M529" s="95"/>
      <c r="N529" s="95"/>
      <c r="O529" s="95"/>
      <c r="P529" s="95"/>
      <c r="Q529" s="95"/>
      <c r="R529" s="95"/>
      <c r="S529" s="95"/>
      <c r="T529" s="95"/>
    </row>
    <row r="530" spans="1:20" ht="12.75" customHeight="1" x14ac:dyDescent="0.3">
      <c r="A530" s="95"/>
      <c r="B530" s="95"/>
      <c r="C530" s="97"/>
      <c r="D530" s="95"/>
      <c r="E530" s="95"/>
      <c r="F530" s="95"/>
      <c r="G530" s="95"/>
      <c r="H530" s="95"/>
      <c r="I530" s="95"/>
      <c r="J530" s="95"/>
      <c r="K530" s="95"/>
      <c r="L530" s="95"/>
      <c r="M530" s="95"/>
      <c r="N530" s="95"/>
      <c r="O530" s="95"/>
      <c r="P530" s="95"/>
      <c r="Q530" s="95"/>
      <c r="R530" s="95"/>
      <c r="S530" s="95"/>
      <c r="T530" s="95"/>
    </row>
    <row r="531" spans="1:20" ht="12.75" customHeight="1" x14ac:dyDescent="0.3">
      <c r="A531" s="95"/>
      <c r="B531" s="95"/>
      <c r="C531" s="97"/>
      <c r="D531" s="95"/>
      <c r="E531" s="95"/>
      <c r="F531" s="95"/>
      <c r="G531" s="95"/>
      <c r="H531" s="95"/>
      <c r="I531" s="95"/>
      <c r="J531" s="95"/>
      <c r="K531" s="95"/>
      <c r="L531" s="95"/>
      <c r="M531" s="95"/>
      <c r="N531" s="95"/>
      <c r="O531" s="95"/>
      <c r="P531" s="95"/>
      <c r="Q531" s="95"/>
      <c r="R531" s="95"/>
      <c r="S531" s="95"/>
      <c r="T531" s="95"/>
    </row>
    <row r="532" spans="1:20" ht="12.75" customHeight="1" x14ac:dyDescent="0.3">
      <c r="A532" s="95"/>
      <c r="B532" s="95"/>
      <c r="C532" s="97"/>
      <c r="D532" s="95"/>
      <c r="E532" s="95"/>
      <c r="F532" s="95"/>
      <c r="G532" s="95"/>
      <c r="H532" s="95"/>
      <c r="I532" s="95"/>
      <c r="J532" s="95"/>
      <c r="K532" s="95"/>
      <c r="L532" s="95"/>
      <c r="M532" s="95"/>
      <c r="N532" s="95"/>
      <c r="O532" s="95"/>
      <c r="P532" s="95"/>
      <c r="Q532" s="95"/>
      <c r="R532" s="95"/>
      <c r="S532" s="95"/>
      <c r="T532" s="95"/>
    </row>
    <row r="533" spans="1:20" ht="12.75" customHeight="1" x14ac:dyDescent="0.3">
      <c r="A533" s="95"/>
      <c r="B533" s="95"/>
      <c r="C533" s="97"/>
      <c r="D533" s="95"/>
      <c r="E533" s="95"/>
      <c r="F533" s="95"/>
      <c r="G533" s="95"/>
      <c r="H533" s="95"/>
      <c r="I533" s="95"/>
      <c r="J533" s="95"/>
      <c r="K533" s="95"/>
      <c r="L533" s="95"/>
      <c r="M533" s="95"/>
      <c r="N533" s="95"/>
      <c r="O533" s="95"/>
      <c r="P533" s="95"/>
      <c r="Q533" s="95"/>
      <c r="R533" s="95"/>
      <c r="S533" s="95"/>
      <c r="T533" s="95"/>
    </row>
    <row r="534" spans="1:20" ht="12.75" customHeight="1" x14ac:dyDescent="0.3">
      <c r="A534" s="95"/>
      <c r="B534" s="95"/>
      <c r="C534" s="97"/>
      <c r="D534" s="95"/>
      <c r="E534" s="95"/>
      <c r="F534" s="95"/>
      <c r="G534" s="95"/>
      <c r="H534" s="95"/>
      <c r="I534" s="95"/>
      <c r="J534" s="95"/>
      <c r="K534" s="95"/>
      <c r="L534" s="95"/>
      <c r="M534" s="95"/>
      <c r="N534" s="95"/>
      <c r="O534" s="95"/>
      <c r="P534" s="95"/>
      <c r="Q534" s="95"/>
      <c r="R534" s="95"/>
      <c r="S534" s="95"/>
      <c r="T534" s="95"/>
    </row>
    <row r="535" spans="1:20" ht="12.75" customHeight="1" x14ac:dyDescent="0.3">
      <c r="A535" s="95"/>
      <c r="B535" s="95"/>
      <c r="C535" s="97"/>
      <c r="D535" s="95"/>
      <c r="E535" s="95"/>
      <c r="F535" s="95"/>
      <c r="G535" s="95"/>
      <c r="H535" s="95"/>
      <c r="I535" s="95"/>
      <c r="J535" s="95"/>
      <c r="K535" s="95"/>
      <c r="L535" s="95"/>
      <c r="M535" s="95"/>
      <c r="N535" s="95"/>
      <c r="O535" s="95"/>
      <c r="P535" s="95"/>
      <c r="Q535" s="95"/>
      <c r="R535" s="95"/>
      <c r="S535" s="95"/>
      <c r="T535" s="95"/>
    </row>
    <row r="536" spans="1:20" ht="12.75" customHeight="1" x14ac:dyDescent="0.3">
      <c r="A536" s="95"/>
      <c r="B536" s="95"/>
      <c r="C536" s="97"/>
      <c r="D536" s="95"/>
      <c r="E536" s="95"/>
      <c r="F536" s="95"/>
      <c r="G536" s="95"/>
      <c r="H536" s="95"/>
      <c r="I536" s="95"/>
      <c r="J536" s="95"/>
      <c r="K536" s="95"/>
      <c r="L536" s="95"/>
      <c r="M536" s="95"/>
      <c r="N536" s="95"/>
      <c r="O536" s="95"/>
      <c r="P536" s="95"/>
      <c r="Q536" s="95"/>
      <c r="R536" s="95"/>
      <c r="S536" s="95"/>
      <c r="T536" s="95"/>
    </row>
    <row r="537" spans="1:20" ht="12.75" customHeight="1" x14ac:dyDescent="0.3">
      <c r="A537" s="95"/>
      <c r="B537" s="95"/>
      <c r="C537" s="97"/>
      <c r="D537" s="95"/>
      <c r="E537" s="95"/>
      <c r="F537" s="95"/>
      <c r="G537" s="95"/>
      <c r="H537" s="95"/>
      <c r="I537" s="95"/>
      <c r="J537" s="95"/>
      <c r="K537" s="95"/>
      <c r="L537" s="95"/>
      <c r="M537" s="95"/>
      <c r="N537" s="95"/>
      <c r="O537" s="95"/>
      <c r="P537" s="95"/>
      <c r="Q537" s="95"/>
      <c r="R537" s="95"/>
      <c r="S537" s="95"/>
      <c r="T537" s="95"/>
    </row>
    <row r="538" spans="1:20" ht="12.75" customHeight="1" x14ac:dyDescent="0.3">
      <c r="A538" s="95"/>
      <c r="B538" s="95"/>
      <c r="C538" s="97"/>
      <c r="D538" s="95"/>
      <c r="E538" s="95"/>
      <c r="F538" s="95"/>
      <c r="G538" s="95"/>
      <c r="H538" s="95"/>
      <c r="I538" s="95"/>
      <c r="J538" s="95"/>
      <c r="K538" s="95"/>
      <c r="L538" s="95"/>
      <c r="M538" s="95"/>
      <c r="N538" s="95"/>
      <c r="O538" s="95"/>
      <c r="P538" s="95"/>
      <c r="Q538" s="95"/>
      <c r="R538" s="95"/>
      <c r="S538" s="95"/>
      <c r="T538" s="95"/>
    </row>
    <row r="539" spans="1:20" ht="12.75" customHeight="1" x14ac:dyDescent="0.3">
      <c r="A539" s="95"/>
      <c r="B539" s="95"/>
      <c r="C539" s="97"/>
      <c r="D539" s="95"/>
      <c r="E539" s="95"/>
      <c r="F539" s="95"/>
      <c r="G539" s="95"/>
      <c r="H539" s="95"/>
      <c r="I539" s="95"/>
      <c r="J539" s="95"/>
      <c r="K539" s="95"/>
      <c r="L539" s="95"/>
      <c r="M539" s="95"/>
      <c r="N539" s="95"/>
      <c r="O539" s="95"/>
      <c r="P539" s="95"/>
      <c r="Q539" s="95"/>
      <c r="R539" s="95"/>
      <c r="S539" s="95"/>
      <c r="T539" s="95"/>
    </row>
    <row r="540" spans="1:20" ht="12.75" customHeight="1" x14ac:dyDescent="0.3">
      <c r="A540" s="95"/>
      <c r="B540" s="95"/>
      <c r="C540" s="97"/>
      <c r="D540" s="95"/>
      <c r="E540" s="95"/>
      <c r="F540" s="95"/>
      <c r="G540" s="95"/>
      <c r="H540" s="95"/>
      <c r="I540" s="95"/>
      <c r="J540" s="95"/>
      <c r="K540" s="95"/>
      <c r="L540" s="95"/>
      <c r="M540" s="95"/>
      <c r="N540" s="95"/>
      <c r="O540" s="95"/>
      <c r="P540" s="95"/>
      <c r="Q540" s="95"/>
      <c r="R540" s="95"/>
      <c r="S540" s="95"/>
      <c r="T540" s="95"/>
    </row>
    <row r="541" spans="1:20" ht="12.75" customHeight="1" x14ac:dyDescent="0.3">
      <c r="A541" s="95"/>
      <c r="B541" s="95"/>
      <c r="C541" s="97"/>
      <c r="D541" s="95"/>
      <c r="E541" s="95"/>
      <c r="F541" s="95"/>
      <c r="G541" s="95"/>
      <c r="H541" s="95"/>
      <c r="I541" s="95"/>
      <c r="J541" s="95"/>
      <c r="K541" s="95"/>
      <c r="L541" s="95"/>
      <c r="M541" s="95"/>
      <c r="N541" s="95"/>
      <c r="O541" s="95"/>
      <c r="P541" s="95"/>
      <c r="Q541" s="95"/>
      <c r="R541" s="95"/>
      <c r="S541" s="95"/>
      <c r="T541" s="95"/>
    </row>
    <row r="542" spans="1:20" ht="12.75" customHeight="1" x14ac:dyDescent="0.3">
      <c r="A542" s="95"/>
      <c r="B542" s="95"/>
      <c r="C542" s="97"/>
      <c r="D542" s="95"/>
      <c r="E542" s="95"/>
      <c r="F542" s="95"/>
      <c r="G542" s="95"/>
      <c r="H542" s="95"/>
      <c r="I542" s="95"/>
      <c r="J542" s="95"/>
      <c r="K542" s="95"/>
      <c r="L542" s="95"/>
      <c r="M542" s="95"/>
      <c r="N542" s="95"/>
      <c r="O542" s="95"/>
      <c r="P542" s="95"/>
      <c r="Q542" s="95"/>
      <c r="R542" s="95"/>
      <c r="S542" s="95"/>
      <c r="T542" s="95"/>
    </row>
    <row r="543" spans="1:20" ht="12.75" customHeight="1" x14ac:dyDescent="0.3">
      <c r="A543" s="95"/>
      <c r="B543" s="95"/>
      <c r="C543" s="97"/>
      <c r="D543" s="95"/>
      <c r="E543" s="95"/>
      <c r="F543" s="95"/>
      <c r="G543" s="95"/>
      <c r="H543" s="95"/>
      <c r="I543" s="95"/>
      <c r="J543" s="95"/>
      <c r="K543" s="95"/>
      <c r="L543" s="95"/>
      <c r="M543" s="95"/>
      <c r="N543" s="95"/>
      <c r="O543" s="95"/>
      <c r="P543" s="95"/>
      <c r="Q543" s="95"/>
      <c r="R543" s="95"/>
      <c r="S543" s="95"/>
      <c r="T543" s="95"/>
    </row>
    <row r="544" spans="1:20" ht="12.75" customHeight="1" x14ac:dyDescent="0.3">
      <c r="A544" s="95"/>
      <c r="B544" s="95"/>
      <c r="C544" s="97"/>
      <c r="D544" s="95"/>
      <c r="E544" s="95"/>
      <c r="F544" s="95"/>
      <c r="G544" s="95"/>
      <c r="H544" s="95"/>
      <c r="I544" s="95"/>
      <c r="J544" s="95"/>
      <c r="K544" s="95"/>
      <c r="L544" s="95"/>
      <c r="M544" s="95"/>
      <c r="N544" s="95"/>
      <c r="O544" s="95"/>
      <c r="P544" s="95"/>
      <c r="Q544" s="95"/>
      <c r="R544" s="95"/>
      <c r="S544" s="95"/>
      <c r="T544" s="95"/>
    </row>
    <row r="545" spans="1:20" ht="12.75" customHeight="1" x14ac:dyDescent="0.3">
      <c r="A545" s="95"/>
      <c r="B545" s="95"/>
      <c r="C545" s="97"/>
      <c r="D545" s="95"/>
      <c r="E545" s="95"/>
      <c r="F545" s="95"/>
      <c r="G545" s="95"/>
      <c r="H545" s="95"/>
      <c r="I545" s="95"/>
      <c r="J545" s="95"/>
      <c r="K545" s="95"/>
      <c r="L545" s="95"/>
      <c r="M545" s="95"/>
      <c r="N545" s="95"/>
      <c r="O545" s="95"/>
      <c r="P545" s="95"/>
      <c r="Q545" s="95"/>
      <c r="R545" s="95"/>
      <c r="S545" s="95"/>
      <c r="T545" s="95"/>
    </row>
    <row r="546" spans="1:20" ht="12.75" customHeight="1" x14ac:dyDescent="0.3">
      <c r="A546" s="95"/>
      <c r="B546" s="95"/>
      <c r="C546" s="97"/>
      <c r="D546" s="95"/>
      <c r="E546" s="95"/>
      <c r="F546" s="95"/>
      <c r="G546" s="95"/>
      <c r="H546" s="95"/>
      <c r="I546" s="95"/>
      <c r="J546" s="95"/>
      <c r="K546" s="95"/>
      <c r="L546" s="95"/>
      <c r="M546" s="95"/>
      <c r="N546" s="95"/>
      <c r="O546" s="95"/>
      <c r="P546" s="95"/>
      <c r="Q546" s="95"/>
      <c r="R546" s="95"/>
      <c r="S546" s="95"/>
      <c r="T546" s="95"/>
    </row>
    <row r="547" spans="1:20" ht="12.75" customHeight="1" x14ac:dyDescent="0.3">
      <c r="A547" s="95"/>
      <c r="B547" s="95"/>
      <c r="C547" s="97"/>
      <c r="D547" s="95"/>
      <c r="E547" s="95"/>
      <c r="F547" s="95"/>
      <c r="G547" s="95"/>
      <c r="H547" s="95"/>
      <c r="I547" s="95"/>
      <c r="J547" s="95"/>
      <c r="K547" s="95"/>
      <c r="L547" s="95"/>
      <c r="M547" s="95"/>
      <c r="N547" s="95"/>
      <c r="O547" s="95"/>
      <c r="P547" s="95"/>
      <c r="Q547" s="95"/>
      <c r="R547" s="95"/>
      <c r="S547" s="95"/>
      <c r="T547" s="95"/>
    </row>
    <row r="548" spans="1:20" ht="12.75" customHeight="1" x14ac:dyDescent="0.3">
      <c r="A548" s="95"/>
      <c r="B548" s="95"/>
      <c r="C548" s="97"/>
      <c r="D548" s="95"/>
      <c r="E548" s="95"/>
      <c r="F548" s="95"/>
      <c r="G548" s="95"/>
      <c r="H548" s="95"/>
      <c r="I548" s="95"/>
      <c r="J548" s="95"/>
      <c r="K548" s="95"/>
      <c r="L548" s="95"/>
      <c r="M548" s="95"/>
      <c r="N548" s="95"/>
      <c r="O548" s="95"/>
      <c r="P548" s="95"/>
      <c r="Q548" s="95"/>
      <c r="R548" s="95"/>
      <c r="S548" s="95"/>
      <c r="T548" s="95"/>
    </row>
    <row r="549" spans="1:20" ht="12.75" customHeight="1" x14ac:dyDescent="0.3">
      <c r="A549" s="95"/>
      <c r="B549" s="95"/>
      <c r="C549" s="97"/>
      <c r="D549" s="95"/>
      <c r="E549" s="95"/>
      <c r="F549" s="95"/>
      <c r="G549" s="95"/>
      <c r="H549" s="95"/>
      <c r="I549" s="95"/>
      <c r="J549" s="95"/>
      <c r="K549" s="95"/>
      <c r="L549" s="95"/>
      <c r="M549" s="95"/>
      <c r="N549" s="95"/>
      <c r="O549" s="95"/>
      <c r="P549" s="95"/>
      <c r="Q549" s="95"/>
      <c r="R549" s="95"/>
      <c r="S549" s="95"/>
      <c r="T549" s="95"/>
    </row>
    <row r="550" spans="1:20" ht="12.75" customHeight="1" x14ac:dyDescent="0.3">
      <c r="A550" s="95"/>
      <c r="B550" s="95"/>
      <c r="C550" s="97"/>
      <c r="D550" s="95"/>
      <c r="E550" s="95"/>
      <c r="F550" s="95"/>
      <c r="G550" s="95"/>
      <c r="H550" s="95"/>
      <c r="I550" s="95"/>
      <c r="J550" s="95"/>
      <c r="K550" s="95"/>
      <c r="L550" s="95"/>
      <c r="M550" s="95"/>
      <c r="N550" s="95"/>
      <c r="O550" s="95"/>
      <c r="P550" s="95"/>
      <c r="Q550" s="95"/>
      <c r="R550" s="95"/>
      <c r="S550" s="95"/>
      <c r="T550" s="95"/>
    </row>
    <row r="551" spans="1:20" ht="12.75" customHeight="1" x14ac:dyDescent="0.3">
      <c r="A551" s="95"/>
      <c r="B551" s="95"/>
      <c r="C551" s="97"/>
      <c r="D551" s="95"/>
      <c r="E551" s="95"/>
      <c r="F551" s="95"/>
      <c r="G551" s="95"/>
      <c r="H551" s="95"/>
      <c r="I551" s="95"/>
      <c r="J551" s="95"/>
      <c r="K551" s="95"/>
      <c r="L551" s="95"/>
      <c r="M551" s="95"/>
      <c r="N551" s="95"/>
      <c r="O551" s="95"/>
      <c r="P551" s="95"/>
      <c r="Q551" s="95"/>
      <c r="R551" s="95"/>
      <c r="S551" s="95"/>
      <c r="T551" s="95"/>
    </row>
    <row r="552" spans="1:20" ht="12.75" customHeight="1" x14ac:dyDescent="0.3">
      <c r="A552" s="95"/>
      <c r="B552" s="95"/>
      <c r="C552" s="97"/>
      <c r="D552" s="95"/>
      <c r="E552" s="95"/>
      <c r="F552" s="95"/>
      <c r="G552" s="95"/>
      <c r="H552" s="95"/>
      <c r="I552" s="95"/>
      <c r="J552" s="95"/>
      <c r="K552" s="95"/>
      <c r="L552" s="95"/>
      <c r="M552" s="95"/>
      <c r="N552" s="95"/>
      <c r="O552" s="95"/>
      <c r="P552" s="95"/>
      <c r="Q552" s="95"/>
      <c r="R552" s="95"/>
      <c r="S552" s="95"/>
      <c r="T552" s="95"/>
    </row>
    <row r="553" spans="1:20" ht="12.75" customHeight="1" x14ac:dyDescent="0.3">
      <c r="A553" s="95"/>
      <c r="B553" s="95"/>
      <c r="C553" s="97"/>
      <c r="D553" s="95"/>
      <c r="E553" s="95"/>
      <c r="F553" s="95"/>
      <c r="G553" s="95"/>
      <c r="H553" s="95"/>
      <c r="I553" s="95"/>
      <c r="J553" s="95"/>
      <c r="K553" s="95"/>
      <c r="L553" s="95"/>
      <c r="M553" s="95"/>
      <c r="N553" s="95"/>
      <c r="O553" s="95"/>
      <c r="P553" s="95"/>
      <c r="Q553" s="95"/>
      <c r="R553" s="95"/>
      <c r="S553" s="95"/>
      <c r="T553" s="95"/>
    </row>
    <row r="554" spans="1:20" ht="12.75" customHeight="1" x14ac:dyDescent="0.3">
      <c r="A554" s="95"/>
      <c r="B554" s="95"/>
      <c r="C554" s="97"/>
      <c r="D554" s="95"/>
      <c r="E554" s="95"/>
      <c r="F554" s="95"/>
      <c r="G554" s="95"/>
      <c r="H554" s="95"/>
      <c r="I554" s="95"/>
      <c r="J554" s="95"/>
      <c r="K554" s="95"/>
      <c r="L554" s="95"/>
      <c r="M554" s="95"/>
      <c r="N554" s="95"/>
      <c r="O554" s="95"/>
      <c r="P554" s="95"/>
      <c r="Q554" s="95"/>
      <c r="R554" s="95"/>
      <c r="S554" s="95"/>
      <c r="T554" s="95"/>
    </row>
    <row r="555" spans="1:20" ht="12.75" customHeight="1" x14ac:dyDescent="0.3">
      <c r="A555" s="95"/>
      <c r="B555" s="95"/>
      <c r="C555" s="97"/>
      <c r="D555" s="95"/>
      <c r="E555" s="95"/>
      <c r="F555" s="95"/>
      <c r="G555" s="95"/>
      <c r="H555" s="95"/>
      <c r="I555" s="95"/>
      <c r="J555" s="95"/>
      <c r="K555" s="95"/>
      <c r="L555" s="95"/>
      <c r="M555" s="95"/>
      <c r="N555" s="95"/>
      <c r="O555" s="95"/>
      <c r="P555" s="95"/>
      <c r="Q555" s="95"/>
      <c r="R555" s="95"/>
      <c r="S555" s="95"/>
      <c r="T555" s="95"/>
    </row>
    <row r="556" spans="1:20" ht="12.75" customHeight="1" x14ac:dyDescent="0.3">
      <c r="A556" s="95"/>
      <c r="B556" s="95"/>
      <c r="C556" s="97"/>
      <c r="D556" s="95"/>
      <c r="E556" s="95"/>
      <c r="F556" s="95"/>
      <c r="G556" s="95"/>
      <c r="H556" s="95"/>
      <c r="I556" s="95"/>
      <c r="J556" s="95"/>
      <c r="K556" s="95"/>
      <c r="L556" s="95"/>
      <c r="M556" s="95"/>
      <c r="N556" s="95"/>
      <c r="O556" s="95"/>
      <c r="P556" s="95"/>
      <c r="Q556" s="95"/>
      <c r="R556" s="95"/>
      <c r="S556" s="95"/>
      <c r="T556" s="95"/>
    </row>
    <row r="557" spans="1:20" ht="12.75" customHeight="1" x14ac:dyDescent="0.3">
      <c r="A557" s="95"/>
      <c r="B557" s="95"/>
      <c r="C557" s="97"/>
      <c r="D557" s="95"/>
      <c r="E557" s="95"/>
      <c r="F557" s="95"/>
      <c r="G557" s="95"/>
      <c r="H557" s="95"/>
      <c r="I557" s="95"/>
      <c r="J557" s="95"/>
      <c r="K557" s="95"/>
      <c r="L557" s="95"/>
      <c r="M557" s="95"/>
      <c r="N557" s="95"/>
      <c r="O557" s="95"/>
      <c r="P557" s="95"/>
      <c r="Q557" s="95"/>
      <c r="R557" s="95"/>
      <c r="S557" s="95"/>
      <c r="T557" s="95"/>
    </row>
    <row r="558" spans="1:20" ht="12.75" customHeight="1" x14ac:dyDescent="0.3">
      <c r="A558" s="95"/>
      <c r="B558" s="95"/>
      <c r="C558" s="97"/>
      <c r="D558" s="95"/>
      <c r="E558" s="95"/>
      <c r="F558" s="95"/>
      <c r="G558" s="95"/>
      <c r="H558" s="95"/>
      <c r="I558" s="95"/>
      <c r="J558" s="95"/>
      <c r="K558" s="95"/>
      <c r="L558" s="95"/>
      <c r="M558" s="95"/>
      <c r="N558" s="95"/>
      <c r="O558" s="95"/>
      <c r="P558" s="95"/>
      <c r="Q558" s="95"/>
      <c r="R558" s="95"/>
      <c r="S558" s="95"/>
      <c r="T558" s="95"/>
    </row>
    <row r="559" spans="1:20" ht="12.75" customHeight="1" x14ac:dyDescent="0.3">
      <c r="A559" s="95"/>
      <c r="B559" s="95"/>
      <c r="C559" s="97"/>
      <c r="D559" s="95"/>
      <c r="E559" s="95"/>
      <c r="F559" s="95"/>
      <c r="G559" s="95"/>
      <c r="H559" s="95"/>
      <c r="I559" s="95"/>
      <c r="J559" s="95"/>
      <c r="K559" s="95"/>
      <c r="L559" s="95"/>
      <c r="M559" s="95"/>
      <c r="N559" s="95"/>
      <c r="O559" s="95"/>
      <c r="P559" s="95"/>
      <c r="Q559" s="95"/>
      <c r="R559" s="95"/>
      <c r="S559" s="95"/>
      <c r="T559" s="95"/>
    </row>
    <row r="560" spans="1:20" ht="12.75" customHeight="1" x14ac:dyDescent="0.3">
      <c r="A560" s="95"/>
      <c r="B560" s="95"/>
      <c r="C560" s="97"/>
      <c r="D560" s="95"/>
      <c r="E560" s="95"/>
      <c r="F560" s="95"/>
      <c r="G560" s="95"/>
      <c r="H560" s="95"/>
      <c r="I560" s="95"/>
      <c r="J560" s="95"/>
      <c r="K560" s="95"/>
      <c r="L560" s="95"/>
      <c r="M560" s="95"/>
      <c r="N560" s="95"/>
      <c r="O560" s="95"/>
      <c r="P560" s="95"/>
      <c r="Q560" s="95"/>
      <c r="R560" s="95"/>
      <c r="S560" s="95"/>
      <c r="T560" s="95"/>
    </row>
    <row r="561" spans="1:20" ht="12.75" customHeight="1" x14ac:dyDescent="0.3">
      <c r="A561" s="95"/>
      <c r="B561" s="95"/>
      <c r="C561" s="97"/>
      <c r="D561" s="95"/>
      <c r="E561" s="95"/>
      <c r="F561" s="95"/>
      <c r="G561" s="95"/>
      <c r="H561" s="95"/>
      <c r="I561" s="95"/>
      <c r="J561" s="95"/>
      <c r="K561" s="95"/>
      <c r="L561" s="95"/>
      <c r="M561" s="95"/>
      <c r="N561" s="95"/>
      <c r="O561" s="95"/>
      <c r="P561" s="95"/>
      <c r="Q561" s="95"/>
      <c r="R561" s="95"/>
      <c r="S561" s="95"/>
      <c r="T561" s="95"/>
    </row>
    <row r="562" spans="1:20" ht="12.75" customHeight="1" x14ac:dyDescent="0.3">
      <c r="A562" s="95"/>
      <c r="B562" s="95"/>
      <c r="C562" s="97"/>
      <c r="D562" s="95"/>
      <c r="E562" s="95"/>
      <c r="F562" s="95"/>
      <c r="G562" s="95"/>
      <c r="H562" s="95"/>
      <c r="I562" s="95"/>
      <c r="J562" s="95"/>
      <c r="K562" s="95"/>
      <c r="L562" s="95"/>
      <c r="M562" s="95"/>
      <c r="N562" s="95"/>
      <c r="O562" s="95"/>
      <c r="P562" s="95"/>
      <c r="Q562" s="95"/>
      <c r="R562" s="95"/>
      <c r="S562" s="95"/>
      <c r="T562" s="95"/>
    </row>
    <row r="563" spans="1:20" ht="12.75" customHeight="1" x14ac:dyDescent="0.3">
      <c r="A563" s="95"/>
      <c r="B563" s="95"/>
      <c r="C563" s="97"/>
      <c r="D563" s="95"/>
      <c r="E563" s="95"/>
      <c r="F563" s="95"/>
      <c r="G563" s="95"/>
      <c r="H563" s="95"/>
      <c r="I563" s="95"/>
      <c r="J563" s="95"/>
      <c r="K563" s="95"/>
      <c r="L563" s="95"/>
      <c r="M563" s="95"/>
      <c r="N563" s="95"/>
      <c r="O563" s="95"/>
      <c r="P563" s="95"/>
      <c r="Q563" s="95"/>
      <c r="R563" s="95"/>
      <c r="S563" s="95"/>
      <c r="T563" s="95"/>
    </row>
    <row r="564" spans="1:20" ht="12.75" customHeight="1" x14ac:dyDescent="0.3">
      <c r="A564" s="95"/>
      <c r="B564" s="95"/>
      <c r="C564" s="97"/>
      <c r="D564" s="95"/>
      <c r="E564" s="95"/>
      <c r="F564" s="95"/>
      <c r="G564" s="95"/>
      <c r="H564" s="95"/>
      <c r="I564" s="95"/>
      <c r="J564" s="95"/>
      <c r="K564" s="95"/>
      <c r="L564" s="95"/>
      <c r="M564" s="95"/>
      <c r="N564" s="95"/>
      <c r="O564" s="95"/>
      <c r="P564" s="95"/>
      <c r="Q564" s="95"/>
      <c r="R564" s="95"/>
      <c r="S564" s="95"/>
      <c r="T564" s="95"/>
    </row>
    <row r="565" spans="1:20" ht="12.75" customHeight="1" x14ac:dyDescent="0.3">
      <c r="A565" s="95"/>
      <c r="B565" s="95"/>
      <c r="C565" s="97"/>
      <c r="D565" s="95"/>
      <c r="E565" s="95"/>
      <c r="F565" s="95"/>
      <c r="G565" s="95"/>
      <c r="H565" s="95"/>
      <c r="I565" s="95"/>
      <c r="J565" s="95"/>
      <c r="K565" s="95"/>
      <c r="L565" s="95"/>
      <c r="M565" s="95"/>
      <c r="N565" s="95"/>
      <c r="O565" s="95"/>
      <c r="P565" s="95"/>
      <c r="Q565" s="95"/>
      <c r="R565" s="95"/>
      <c r="S565" s="95"/>
      <c r="T565" s="95"/>
    </row>
    <row r="566" spans="1:20" ht="12.75" customHeight="1" x14ac:dyDescent="0.3">
      <c r="A566" s="95"/>
      <c r="B566" s="95"/>
      <c r="C566" s="97"/>
      <c r="D566" s="95"/>
      <c r="E566" s="95"/>
      <c r="F566" s="95"/>
      <c r="G566" s="95"/>
      <c r="H566" s="95"/>
      <c r="I566" s="95"/>
      <c r="J566" s="95"/>
      <c r="K566" s="95"/>
      <c r="L566" s="95"/>
      <c r="M566" s="95"/>
      <c r="N566" s="95"/>
      <c r="O566" s="95"/>
      <c r="P566" s="95"/>
      <c r="Q566" s="95"/>
      <c r="R566" s="95"/>
      <c r="S566" s="95"/>
      <c r="T566" s="95"/>
    </row>
    <row r="567" spans="1:20" ht="12.75" customHeight="1" x14ac:dyDescent="0.3">
      <c r="A567" s="95"/>
      <c r="B567" s="95"/>
      <c r="C567" s="97"/>
      <c r="D567" s="95"/>
      <c r="E567" s="95"/>
      <c r="F567" s="95"/>
      <c r="G567" s="95"/>
      <c r="H567" s="95"/>
      <c r="I567" s="95"/>
      <c r="J567" s="95"/>
      <c r="K567" s="95"/>
      <c r="L567" s="95"/>
      <c r="M567" s="95"/>
      <c r="N567" s="95"/>
      <c r="O567" s="95"/>
      <c r="P567" s="95"/>
      <c r="Q567" s="95"/>
      <c r="R567" s="95"/>
      <c r="S567" s="95"/>
      <c r="T567" s="95"/>
    </row>
    <row r="568" spans="1:20" ht="12.75" customHeight="1" x14ac:dyDescent="0.3">
      <c r="A568" s="95"/>
      <c r="B568" s="95"/>
      <c r="C568" s="97"/>
      <c r="D568" s="95"/>
      <c r="E568" s="95"/>
      <c r="F568" s="95"/>
      <c r="G568" s="95"/>
      <c r="H568" s="95"/>
      <c r="I568" s="95"/>
      <c r="J568" s="95"/>
      <c r="K568" s="95"/>
      <c r="L568" s="95"/>
      <c r="M568" s="95"/>
      <c r="N568" s="95"/>
      <c r="O568" s="95"/>
      <c r="P568" s="95"/>
      <c r="Q568" s="95"/>
      <c r="R568" s="95"/>
      <c r="S568" s="95"/>
      <c r="T568" s="95"/>
    </row>
    <row r="569" spans="1:20" ht="12.75" customHeight="1" x14ac:dyDescent="0.3">
      <c r="A569" s="95"/>
      <c r="B569" s="95"/>
      <c r="C569" s="97"/>
      <c r="D569" s="95"/>
      <c r="E569" s="95"/>
      <c r="F569" s="95"/>
      <c r="G569" s="95"/>
      <c r="H569" s="95"/>
      <c r="I569" s="95"/>
      <c r="J569" s="95"/>
      <c r="K569" s="95"/>
      <c r="L569" s="95"/>
      <c r="M569" s="95"/>
      <c r="N569" s="95"/>
      <c r="O569" s="95"/>
      <c r="P569" s="95"/>
      <c r="Q569" s="95"/>
      <c r="R569" s="95"/>
      <c r="S569" s="95"/>
      <c r="T569" s="95"/>
    </row>
    <row r="570" spans="1:20" ht="12.75" customHeight="1" x14ac:dyDescent="0.3">
      <c r="A570" s="95"/>
      <c r="B570" s="95"/>
      <c r="C570" s="97"/>
      <c r="D570" s="95"/>
      <c r="E570" s="95"/>
      <c r="F570" s="95"/>
      <c r="G570" s="95"/>
      <c r="H570" s="95"/>
      <c r="I570" s="95"/>
      <c r="J570" s="95"/>
      <c r="K570" s="95"/>
      <c r="L570" s="95"/>
      <c r="M570" s="95"/>
      <c r="N570" s="95"/>
      <c r="O570" s="95"/>
      <c r="P570" s="95"/>
      <c r="Q570" s="95"/>
      <c r="R570" s="95"/>
      <c r="S570" s="95"/>
      <c r="T570" s="95"/>
    </row>
    <row r="571" spans="1:20" ht="12.75" customHeight="1" x14ac:dyDescent="0.3">
      <c r="A571" s="95"/>
      <c r="B571" s="95"/>
      <c r="C571" s="97"/>
      <c r="D571" s="95"/>
      <c r="E571" s="95"/>
      <c r="F571" s="95"/>
      <c r="G571" s="95"/>
      <c r="H571" s="95"/>
      <c r="I571" s="95"/>
      <c r="J571" s="95"/>
      <c r="K571" s="95"/>
      <c r="L571" s="95"/>
      <c r="M571" s="95"/>
      <c r="N571" s="95"/>
      <c r="O571" s="95"/>
      <c r="P571" s="95"/>
      <c r="Q571" s="95"/>
      <c r="R571" s="95"/>
      <c r="S571" s="95"/>
      <c r="T571" s="95"/>
    </row>
    <row r="572" spans="1:20" ht="12.75" customHeight="1" x14ac:dyDescent="0.3">
      <c r="A572" s="95"/>
      <c r="B572" s="95"/>
      <c r="C572" s="97"/>
      <c r="D572" s="95"/>
      <c r="E572" s="95"/>
      <c r="F572" s="95"/>
      <c r="G572" s="95"/>
      <c r="H572" s="95"/>
      <c r="I572" s="95"/>
      <c r="J572" s="95"/>
      <c r="K572" s="95"/>
      <c r="L572" s="95"/>
      <c r="M572" s="95"/>
      <c r="N572" s="95"/>
      <c r="O572" s="95"/>
      <c r="P572" s="95"/>
      <c r="Q572" s="95"/>
      <c r="R572" s="95"/>
      <c r="S572" s="95"/>
      <c r="T572" s="95"/>
    </row>
    <row r="573" spans="1:20" ht="12.75" customHeight="1" x14ac:dyDescent="0.3">
      <c r="A573" s="95"/>
      <c r="B573" s="95"/>
      <c r="C573" s="97"/>
      <c r="D573" s="95"/>
      <c r="E573" s="95"/>
      <c r="F573" s="95"/>
      <c r="G573" s="95"/>
      <c r="H573" s="95"/>
      <c r="I573" s="95"/>
      <c r="J573" s="95"/>
      <c r="K573" s="95"/>
      <c r="L573" s="95"/>
      <c r="M573" s="95"/>
      <c r="N573" s="95"/>
      <c r="O573" s="95"/>
      <c r="P573" s="95"/>
      <c r="Q573" s="95"/>
      <c r="R573" s="95"/>
      <c r="S573" s="95"/>
      <c r="T573" s="95"/>
    </row>
    <row r="574" spans="1:20" ht="12.75" customHeight="1" x14ac:dyDescent="0.3">
      <c r="A574" s="95"/>
      <c r="B574" s="95"/>
      <c r="C574" s="97"/>
      <c r="D574" s="95"/>
      <c r="E574" s="95"/>
      <c r="F574" s="95"/>
      <c r="G574" s="95"/>
      <c r="H574" s="95"/>
      <c r="I574" s="95"/>
      <c r="J574" s="95"/>
      <c r="K574" s="95"/>
      <c r="L574" s="95"/>
      <c r="M574" s="95"/>
      <c r="N574" s="95"/>
      <c r="O574" s="95"/>
      <c r="P574" s="95"/>
      <c r="Q574" s="95"/>
      <c r="R574" s="95"/>
      <c r="S574" s="95"/>
      <c r="T574" s="95"/>
    </row>
    <row r="575" spans="1:20" ht="12.75" customHeight="1" x14ac:dyDescent="0.3">
      <c r="A575" s="95"/>
      <c r="B575" s="95"/>
      <c r="C575" s="97"/>
      <c r="D575" s="95"/>
      <c r="E575" s="95"/>
      <c r="F575" s="95"/>
      <c r="G575" s="95"/>
      <c r="H575" s="95"/>
      <c r="I575" s="95"/>
      <c r="J575" s="95"/>
      <c r="K575" s="95"/>
      <c r="L575" s="95"/>
      <c r="M575" s="95"/>
      <c r="N575" s="95"/>
      <c r="O575" s="95"/>
      <c r="P575" s="95"/>
      <c r="Q575" s="95"/>
      <c r="R575" s="95"/>
      <c r="S575" s="95"/>
      <c r="T575" s="95"/>
    </row>
    <row r="576" spans="1:20" ht="12.75" customHeight="1" x14ac:dyDescent="0.3">
      <c r="A576" s="95"/>
      <c r="B576" s="95"/>
      <c r="C576" s="97"/>
      <c r="D576" s="95"/>
      <c r="E576" s="95"/>
      <c r="F576" s="95"/>
      <c r="G576" s="95"/>
      <c r="H576" s="95"/>
      <c r="I576" s="95"/>
      <c r="J576" s="95"/>
      <c r="K576" s="95"/>
      <c r="L576" s="95"/>
      <c r="M576" s="95"/>
      <c r="N576" s="95"/>
      <c r="O576" s="95"/>
      <c r="P576" s="95"/>
      <c r="Q576" s="95"/>
      <c r="R576" s="95"/>
      <c r="S576" s="95"/>
      <c r="T576" s="95"/>
    </row>
    <row r="577" spans="1:20" ht="12.75" customHeight="1" x14ac:dyDescent="0.3">
      <c r="A577" s="95"/>
      <c r="B577" s="95"/>
      <c r="C577" s="97"/>
      <c r="D577" s="95"/>
      <c r="E577" s="95"/>
      <c r="F577" s="95"/>
      <c r="G577" s="95"/>
      <c r="H577" s="95"/>
      <c r="I577" s="95"/>
      <c r="J577" s="95"/>
      <c r="K577" s="95"/>
      <c r="L577" s="95"/>
      <c r="M577" s="95"/>
      <c r="N577" s="95"/>
      <c r="O577" s="95"/>
      <c r="P577" s="95"/>
      <c r="Q577" s="95"/>
      <c r="R577" s="95"/>
      <c r="S577" s="95"/>
      <c r="T577" s="95"/>
    </row>
    <row r="578" spans="1:20" ht="12.75" customHeight="1" x14ac:dyDescent="0.3">
      <c r="A578" s="95"/>
      <c r="B578" s="95"/>
      <c r="C578" s="97"/>
      <c r="D578" s="95"/>
      <c r="E578" s="95"/>
      <c r="F578" s="95"/>
      <c r="G578" s="95"/>
      <c r="H578" s="95"/>
      <c r="I578" s="95"/>
      <c r="J578" s="95"/>
      <c r="K578" s="95"/>
      <c r="L578" s="95"/>
      <c r="M578" s="95"/>
      <c r="N578" s="95"/>
      <c r="O578" s="95"/>
      <c r="P578" s="95"/>
      <c r="Q578" s="95"/>
      <c r="R578" s="95"/>
      <c r="S578" s="95"/>
      <c r="T578" s="95"/>
    </row>
    <row r="579" spans="1:20" ht="12.75" customHeight="1" x14ac:dyDescent="0.3">
      <c r="A579" s="95"/>
      <c r="B579" s="95"/>
      <c r="C579" s="97"/>
      <c r="D579" s="95"/>
      <c r="E579" s="95"/>
      <c r="F579" s="95"/>
      <c r="G579" s="95"/>
      <c r="H579" s="95"/>
      <c r="I579" s="95"/>
      <c r="J579" s="95"/>
      <c r="K579" s="95"/>
      <c r="L579" s="95"/>
      <c r="M579" s="95"/>
      <c r="N579" s="95"/>
      <c r="O579" s="95"/>
      <c r="P579" s="95"/>
      <c r="Q579" s="95"/>
      <c r="R579" s="95"/>
      <c r="S579" s="95"/>
      <c r="T579" s="95"/>
    </row>
    <row r="580" spans="1:20" ht="12.75" customHeight="1" x14ac:dyDescent="0.3">
      <c r="A580" s="95"/>
      <c r="B580" s="95"/>
      <c r="C580" s="97"/>
      <c r="D580" s="95"/>
      <c r="E580" s="95"/>
      <c r="F580" s="95"/>
      <c r="G580" s="95"/>
      <c r="H580" s="95"/>
      <c r="I580" s="95"/>
      <c r="J580" s="95"/>
      <c r="K580" s="95"/>
      <c r="L580" s="95"/>
      <c r="M580" s="95"/>
      <c r="N580" s="95"/>
      <c r="O580" s="95"/>
      <c r="P580" s="95"/>
      <c r="Q580" s="95"/>
      <c r="R580" s="95"/>
      <c r="S580" s="95"/>
      <c r="T580" s="95"/>
    </row>
    <row r="581" spans="1:20" ht="12.75" customHeight="1" x14ac:dyDescent="0.3">
      <c r="A581" s="95"/>
      <c r="B581" s="95"/>
      <c r="C581" s="97"/>
      <c r="D581" s="95"/>
      <c r="E581" s="95"/>
      <c r="F581" s="95"/>
      <c r="G581" s="95"/>
      <c r="H581" s="95"/>
      <c r="I581" s="95"/>
      <c r="J581" s="95"/>
      <c r="K581" s="95"/>
      <c r="L581" s="95"/>
      <c r="M581" s="95"/>
      <c r="N581" s="95"/>
      <c r="O581" s="95"/>
      <c r="P581" s="95"/>
      <c r="Q581" s="95"/>
      <c r="R581" s="95"/>
      <c r="S581" s="95"/>
      <c r="T581" s="95"/>
    </row>
    <row r="582" spans="1:20" ht="12.75" customHeight="1" x14ac:dyDescent="0.3">
      <c r="A582" s="95"/>
      <c r="B582" s="95"/>
      <c r="C582" s="97"/>
      <c r="D582" s="95"/>
      <c r="E582" s="95"/>
      <c r="F582" s="95"/>
      <c r="G582" s="95"/>
      <c r="H582" s="95"/>
      <c r="I582" s="95"/>
      <c r="J582" s="95"/>
      <c r="K582" s="95"/>
      <c r="L582" s="95"/>
      <c r="M582" s="95"/>
      <c r="N582" s="95"/>
      <c r="O582" s="95"/>
      <c r="P582" s="95"/>
      <c r="Q582" s="95"/>
      <c r="R582" s="95"/>
      <c r="S582" s="95"/>
      <c r="T582" s="95"/>
    </row>
    <row r="583" spans="1:20" ht="12.75" customHeight="1" x14ac:dyDescent="0.3">
      <c r="A583" s="95"/>
      <c r="B583" s="95"/>
      <c r="C583" s="97"/>
      <c r="D583" s="95"/>
      <c r="E583" s="95"/>
      <c r="F583" s="95"/>
      <c r="G583" s="95"/>
      <c r="H583" s="95"/>
      <c r="I583" s="95"/>
      <c r="J583" s="95"/>
      <c r="K583" s="95"/>
      <c r="L583" s="95"/>
      <c r="M583" s="95"/>
      <c r="N583" s="95"/>
      <c r="O583" s="95"/>
      <c r="P583" s="95"/>
      <c r="Q583" s="95"/>
      <c r="R583" s="95"/>
      <c r="S583" s="95"/>
      <c r="T583" s="95"/>
    </row>
    <row r="584" spans="1:20" ht="12.75" customHeight="1" x14ac:dyDescent="0.3">
      <c r="A584" s="95"/>
      <c r="B584" s="95"/>
      <c r="C584" s="97"/>
      <c r="D584" s="95"/>
      <c r="E584" s="95"/>
      <c r="F584" s="95"/>
      <c r="G584" s="95"/>
      <c r="H584" s="95"/>
      <c r="I584" s="95"/>
      <c r="J584" s="95"/>
      <c r="K584" s="95"/>
      <c r="L584" s="95"/>
      <c r="M584" s="95"/>
      <c r="N584" s="95"/>
      <c r="O584" s="95"/>
      <c r="P584" s="95"/>
      <c r="Q584" s="95"/>
      <c r="R584" s="95"/>
      <c r="S584" s="95"/>
      <c r="T584" s="95"/>
    </row>
    <row r="585" spans="1:20" ht="12.75" customHeight="1" x14ac:dyDescent="0.3">
      <c r="A585" s="95"/>
      <c r="B585" s="95"/>
      <c r="C585" s="97"/>
      <c r="D585" s="95"/>
      <c r="E585" s="95"/>
      <c r="F585" s="95"/>
      <c r="G585" s="95"/>
      <c r="H585" s="95"/>
      <c r="I585" s="95"/>
      <c r="J585" s="95"/>
      <c r="K585" s="95"/>
      <c r="L585" s="95"/>
      <c r="M585" s="95"/>
      <c r="N585" s="95"/>
      <c r="O585" s="95"/>
      <c r="P585" s="95"/>
      <c r="Q585" s="95"/>
      <c r="R585" s="95"/>
      <c r="S585" s="95"/>
      <c r="T585" s="95"/>
    </row>
    <row r="586" spans="1:20" ht="12.75" customHeight="1" x14ac:dyDescent="0.3">
      <c r="A586" s="95"/>
      <c r="B586" s="95"/>
      <c r="C586" s="97"/>
      <c r="D586" s="95"/>
      <c r="E586" s="95"/>
      <c r="F586" s="95"/>
      <c r="G586" s="95"/>
      <c r="H586" s="95"/>
      <c r="I586" s="95"/>
      <c r="J586" s="95"/>
      <c r="K586" s="95"/>
      <c r="L586" s="95"/>
      <c r="M586" s="95"/>
      <c r="N586" s="95"/>
      <c r="O586" s="95"/>
      <c r="P586" s="95"/>
      <c r="Q586" s="95"/>
      <c r="R586" s="95"/>
      <c r="S586" s="95"/>
      <c r="T586" s="95"/>
    </row>
    <row r="587" spans="1:20" ht="12.75" customHeight="1" x14ac:dyDescent="0.3">
      <c r="A587" s="95"/>
      <c r="B587" s="95"/>
      <c r="C587" s="97"/>
      <c r="D587" s="95"/>
      <c r="E587" s="95"/>
      <c r="F587" s="95"/>
      <c r="G587" s="95"/>
      <c r="H587" s="95"/>
      <c r="I587" s="95"/>
      <c r="J587" s="95"/>
      <c r="K587" s="95"/>
      <c r="L587" s="95"/>
      <c r="M587" s="95"/>
      <c r="N587" s="95"/>
      <c r="O587" s="95"/>
      <c r="P587" s="95"/>
      <c r="Q587" s="95"/>
      <c r="R587" s="95"/>
      <c r="S587" s="95"/>
      <c r="T587" s="95"/>
    </row>
    <row r="588" spans="1:20" ht="12.75" customHeight="1" x14ac:dyDescent="0.3">
      <c r="A588" s="95"/>
      <c r="B588" s="95"/>
      <c r="C588" s="97"/>
      <c r="D588" s="95"/>
      <c r="E588" s="95"/>
      <c r="F588" s="95"/>
      <c r="G588" s="95"/>
      <c r="H588" s="95"/>
      <c r="I588" s="95"/>
      <c r="J588" s="95"/>
      <c r="K588" s="95"/>
      <c r="L588" s="95"/>
      <c r="M588" s="95"/>
      <c r="N588" s="95"/>
      <c r="O588" s="95"/>
      <c r="P588" s="95"/>
      <c r="Q588" s="95"/>
      <c r="R588" s="95"/>
      <c r="S588" s="95"/>
      <c r="T588" s="95"/>
    </row>
    <row r="589" spans="1:20" ht="12.75" customHeight="1" x14ac:dyDescent="0.3">
      <c r="A589" s="95"/>
      <c r="B589" s="95"/>
      <c r="C589" s="97"/>
      <c r="D589" s="95"/>
      <c r="E589" s="95"/>
      <c r="F589" s="95"/>
      <c r="G589" s="95"/>
      <c r="H589" s="95"/>
      <c r="I589" s="95"/>
      <c r="J589" s="95"/>
      <c r="K589" s="95"/>
      <c r="L589" s="95"/>
      <c r="M589" s="95"/>
      <c r="N589" s="95"/>
      <c r="O589" s="95"/>
      <c r="P589" s="95"/>
      <c r="Q589" s="95"/>
      <c r="R589" s="95"/>
      <c r="S589" s="95"/>
      <c r="T589" s="95"/>
    </row>
    <row r="590" spans="1:20" ht="12.75" customHeight="1" x14ac:dyDescent="0.3">
      <c r="A590" s="95"/>
      <c r="B590" s="95"/>
      <c r="C590" s="97"/>
      <c r="D590" s="95"/>
      <c r="E590" s="95"/>
      <c r="F590" s="95"/>
      <c r="G590" s="95"/>
      <c r="H590" s="95"/>
      <c r="I590" s="95"/>
      <c r="J590" s="95"/>
      <c r="K590" s="95"/>
      <c r="L590" s="95"/>
      <c r="M590" s="95"/>
      <c r="N590" s="95"/>
      <c r="O590" s="95"/>
      <c r="P590" s="95"/>
      <c r="Q590" s="95"/>
      <c r="R590" s="95"/>
      <c r="S590" s="95"/>
      <c r="T590" s="95"/>
    </row>
    <row r="591" spans="1:20" ht="12.75" customHeight="1" x14ac:dyDescent="0.3">
      <c r="A591" s="95"/>
      <c r="B591" s="95"/>
      <c r="C591" s="97"/>
      <c r="D591" s="95"/>
      <c r="E591" s="95"/>
      <c r="F591" s="95"/>
      <c r="G591" s="95"/>
      <c r="H591" s="95"/>
      <c r="I591" s="95"/>
      <c r="J591" s="95"/>
      <c r="K591" s="95"/>
      <c r="L591" s="95"/>
      <c r="M591" s="95"/>
      <c r="N591" s="95"/>
      <c r="O591" s="95"/>
      <c r="P591" s="95"/>
      <c r="Q591" s="95"/>
      <c r="R591" s="95"/>
      <c r="S591" s="95"/>
      <c r="T591" s="95"/>
    </row>
    <row r="592" spans="1:20" ht="12.75" customHeight="1" x14ac:dyDescent="0.3">
      <c r="A592" s="95"/>
      <c r="B592" s="95"/>
      <c r="C592" s="97"/>
      <c r="D592" s="95"/>
      <c r="E592" s="95"/>
      <c r="F592" s="95"/>
      <c r="G592" s="95"/>
      <c r="H592" s="95"/>
      <c r="I592" s="95"/>
      <c r="J592" s="95"/>
      <c r="K592" s="95"/>
      <c r="L592" s="95"/>
      <c r="M592" s="95"/>
      <c r="N592" s="95"/>
      <c r="O592" s="95"/>
      <c r="P592" s="95"/>
      <c r="Q592" s="95"/>
      <c r="R592" s="95"/>
      <c r="S592" s="95"/>
      <c r="T592" s="95"/>
    </row>
    <row r="593" spans="1:20" ht="12.75" customHeight="1" x14ac:dyDescent="0.3">
      <c r="A593" s="95"/>
      <c r="B593" s="95"/>
      <c r="C593" s="97"/>
      <c r="D593" s="95"/>
      <c r="E593" s="95"/>
      <c r="F593" s="95"/>
      <c r="G593" s="95"/>
      <c r="H593" s="95"/>
      <c r="I593" s="95"/>
      <c r="J593" s="95"/>
      <c r="K593" s="95"/>
      <c r="L593" s="95"/>
      <c r="M593" s="95"/>
      <c r="N593" s="95"/>
      <c r="O593" s="95"/>
      <c r="P593" s="95"/>
      <c r="Q593" s="95"/>
      <c r="R593" s="95"/>
      <c r="S593" s="95"/>
      <c r="T593" s="95"/>
    </row>
    <row r="594" spans="1:20" ht="12.75" customHeight="1" x14ac:dyDescent="0.3">
      <c r="A594" s="95"/>
      <c r="B594" s="95"/>
      <c r="C594" s="97"/>
      <c r="D594" s="95"/>
      <c r="E594" s="95"/>
      <c r="F594" s="95"/>
      <c r="G594" s="95"/>
      <c r="H594" s="95"/>
      <c r="I594" s="95"/>
      <c r="J594" s="95"/>
      <c r="K594" s="95"/>
      <c r="L594" s="95"/>
      <c r="M594" s="95"/>
      <c r="N594" s="95"/>
      <c r="O594" s="95"/>
      <c r="P594" s="95"/>
      <c r="Q594" s="95"/>
      <c r="R594" s="95"/>
      <c r="S594" s="95"/>
      <c r="T594" s="95"/>
    </row>
    <row r="595" spans="1:20" ht="12.75" customHeight="1" x14ac:dyDescent="0.3">
      <c r="A595" s="95"/>
      <c r="B595" s="95"/>
      <c r="C595" s="97"/>
      <c r="D595" s="95"/>
      <c r="E595" s="95"/>
      <c r="F595" s="95"/>
      <c r="G595" s="95"/>
      <c r="H595" s="95"/>
      <c r="I595" s="95"/>
      <c r="J595" s="95"/>
      <c r="K595" s="95"/>
      <c r="L595" s="95"/>
      <c r="M595" s="95"/>
      <c r="N595" s="95"/>
      <c r="O595" s="95"/>
      <c r="P595" s="95"/>
      <c r="Q595" s="95"/>
      <c r="R595" s="95"/>
      <c r="S595" s="95"/>
      <c r="T595" s="95"/>
    </row>
    <row r="596" spans="1:20" ht="12.75" customHeight="1" x14ac:dyDescent="0.3">
      <c r="A596" s="95"/>
      <c r="B596" s="95"/>
      <c r="C596" s="97"/>
      <c r="D596" s="95"/>
      <c r="E596" s="95"/>
      <c r="F596" s="95"/>
      <c r="G596" s="95"/>
      <c r="H596" s="95"/>
      <c r="I596" s="95"/>
      <c r="J596" s="95"/>
      <c r="K596" s="95"/>
      <c r="L596" s="95"/>
      <c r="M596" s="95"/>
      <c r="N596" s="95"/>
      <c r="O596" s="95"/>
      <c r="P596" s="95"/>
      <c r="Q596" s="95"/>
      <c r="R596" s="95"/>
      <c r="S596" s="95"/>
      <c r="T596" s="95"/>
    </row>
    <row r="597" spans="1:20" ht="12.75" customHeight="1" x14ac:dyDescent="0.3">
      <c r="A597" s="95"/>
      <c r="B597" s="95"/>
      <c r="C597" s="97"/>
      <c r="D597" s="95"/>
      <c r="E597" s="95"/>
      <c r="F597" s="95"/>
      <c r="G597" s="95"/>
      <c r="H597" s="95"/>
      <c r="I597" s="95"/>
      <c r="J597" s="95"/>
      <c r="K597" s="95"/>
      <c r="L597" s="95"/>
      <c r="M597" s="95"/>
      <c r="N597" s="95"/>
      <c r="O597" s="95"/>
      <c r="P597" s="95"/>
      <c r="Q597" s="95"/>
      <c r="R597" s="95"/>
      <c r="S597" s="95"/>
      <c r="T597" s="95"/>
    </row>
    <row r="598" spans="1:20" ht="12.75" customHeight="1" x14ac:dyDescent="0.3">
      <c r="A598" s="95"/>
      <c r="B598" s="95"/>
      <c r="C598" s="97"/>
      <c r="D598" s="95"/>
      <c r="E598" s="95"/>
      <c r="F598" s="95"/>
      <c r="G598" s="95"/>
      <c r="H598" s="95"/>
      <c r="I598" s="95"/>
      <c r="J598" s="95"/>
      <c r="K598" s="95"/>
      <c r="L598" s="95"/>
      <c r="M598" s="95"/>
      <c r="N598" s="95"/>
      <c r="O598" s="95"/>
      <c r="P598" s="95"/>
      <c r="Q598" s="95"/>
      <c r="R598" s="95"/>
      <c r="S598" s="95"/>
      <c r="T598" s="95"/>
    </row>
    <row r="599" spans="1:20" ht="12.75" customHeight="1" x14ac:dyDescent="0.3">
      <c r="A599" s="95"/>
      <c r="B599" s="95"/>
      <c r="C599" s="97"/>
      <c r="D599" s="95"/>
      <c r="E599" s="95"/>
      <c r="F599" s="95"/>
      <c r="G599" s="95"/>
      <c r="H599" s="95"/>
      <c r="I599" s="95"/>
      <c r="J599" s="95"/>
      <c r="K599" s="95"/>
      <c r="L599" s="95"/>
      <c r="M599" s="95"/>
      <c r="N599" s="95"/>
      <c r="O599" s="95"/>
      <c r="P599" s="95"/>
      <c r="Q599" s="95"/>
      <c r="R599" s="95"/>
      <c r="S599" s="95"/>
      <c r="T599" s="95"/>
    </row>
    <row r="600" spans="1:20" ht="12.75" customHeight="1" x14ac:dyDescent="0.3">
      <c r="A600" s="95"/>
      <c r="B600" s="95"/>
      <c r="C600" s="97"/>
      <c r="D600" s="95"/>
      <c r="E600" s="95"/>
      <c r="F600" s="95"/>
      <c r="G600" s="95"/>
      <c r="H600" s="95"/>
      <c r="I600" s="95"/>
      <c r="J600" s="95"/>
      <c r="K600" s="95"/>
      <c r="L600" s="95"/>
      <c r="M600" s="95"/>
      <c r="N600" s="95"/>
      <c r="O600" s="95"/>
      <c r="P600" s="95"/>
      <c r="Q600" s="95"/>
      <c r="R600" s="95"/>
      <c r="S600" s="95"/>
      <c r="T600" s="95"/>
    </row>
    <row r="601" spans="1:20" ht="12.75" customHeight="1" x14ac:dyDescent="0.3">
      <c r="A601" s="95"/>
      <c r="B601" s="95"/>
      <c r="C601" s="97"/>
      <c r="D601" s="95"/>
      <c r="E601" s="95"/>
      <c r="F601" s="95"/>
      <c r="G601" s="95"/>
      <c r="H601" s="95"/>
      <c r="I601" s="95"/>
      <c r="J601" s="95"/>
      <c r="K601" s="95"/>
      <c r="L601" s="95"/>
      <c r="M601" s="95"/>
      <c r="N601" s="95"/>
      <c r="O601" s="95"/>
      <c r="P601" s="95"/>
      <c r="Q601" s="95"/>
      <c r="R601" s="95"/>
      <c r="S601" s="95"/>
      <c r="T601" s="95"/>
    </row>
    <row r="602" spans="1:20" ht="12.75" customHeight="1" x14ac:dyDescent="0.3">
      <c r="A602" s="95"/>
      <c r="B602" s="95"/>
      <c r="C602" s="97"/>
      <c r="D602" s="95"/>
      <c r="E602" s="95"/>
      <c r="F602" s="95"/>
      <c r="G602" s="95"/>
      <c r="H602" s="95"/>
      <c r="I602" s="95"/>
      <c r="J602" s="95"/>
      <c r="K602" s="95"/>
      <c r="L602" s="95"/>
      <c r="M602" s="95"/>
      <c r="N602" s="95"/>
      <c r="O602" s="95"/>
      <c r="P602" s="95"/>
      <c r="Q602" s="95"/>
      <c r="R602" s="95"/>
      <c r="S602" s="95"/>
      <c r="T602" s="95"/>
    </row>
    <row r="603" spans="1:20" ht="12.75" customHeight="1" x14ac:dyDescent="0.3">
      <c r="A603" s="95"/>
      <c r="B603" s="95"/>
      <c r="C603" s="97"/>
      <c r="D603" s="95"/>
      <c r="E603" s="95"/>
      <c r="F603" s="95"/>
      <c r="G603" s="95"/>
      <c r="H603" s="95"/>
      <c r="I603" s="95"/>
      <c r="J603" s="95"/>
      <c r="K603" s="95"/>
      <c r="L603" s="95"/>
      <c r="M603" s="95"/>
      <c r="N603" s="95"/>
      <c r="O603" s="95"/>
      <c r="P603" s="95"/>
      <c r="Q603" s="95"/>
      <c r="R603" s="95"/>
      <c r="S603" s="95"/>
      <c r="T603" s="95"/>
    </row>
    <row r="604" spans="1:20" ht="12.75" customHeight="1" x14ac:dyDescent="0.3">
      <c r="A604" s="95"/>
      <c r="B604" s="95"/>
      <c r="C604" s="97"/>
      <c r="D604" s="95"/>
      <c r="E604" s="95"/>
      <c r="F604" s="95"/>
      <c r="G604" s="95"/>
      <c r="H604" s="95"/>
      <c r="I604" s="95"/>
      <c r="J604" s="95"/>
      <c r="K604" s="95"/>
      <c r="L604" s="95"/>
      <c r="M604" s="95"/>
      <c r="N604" s="95"/>
      <c r="O604" s="95"/>
      <c r="P604" s="95"/>
      <c r="Q604" s="95"/>
      <c r="R604" s="95"/>
      <c r="S604" s="95"/>
      <c r="T604" s="95"/>
    </row>
    <row r="605" spans="1:20" ht="12.75" customHeight="1" x14ac:dyDescent="0.3">
      <c r="A605" s="95"/>
      <c r="B605" s="95"/>
      <c r="C605" s="97"/>
      <c r="D605" s="95"/>
      <c r="E605" s="95"/>
      <c r="F605" s="95"/>
      <c r="G605" s="95"/>
      <c r="H605" s="95"/>
      <c r="I605" s="95"/>
      <c r="J605" s="95"/>
      <c r="K605" s="95"/>
      <c r="L605" s="95"/>
      <c r="M605" s="95"/>
      <c r="N605" s="95"/>
      <c r="O605" s="95"/>
      <c r="P605" s="95"/>
      <c r="Q605" s="95"/>
      <c r="R605" s="95"/>
      <c r="S605" s="95"/>
      <c r="T605" s="95"/>
    </row>
    <row r="606" spans="1:20" ht="12.75" customHeight="1" x14ac:dyDescent="0.3">
      <c r="A606" s="95"/>
      <c r="B606" s="95"/>
      <c r="C606" s="97"/>
      <c r="D606" s="95"/>
      <c r="E606" s="95"/>
      <c r="F606" s="95"/>
      <c r="G606" s="95"/>
      <c r="H606" s="95"/>
      <c r="I606" s="95"/>
      <c r="J606" s="95"/>
      <c r="K606" s="95"/>
      <c r="L606" s="95"/>
      <c r="M606" s="95"/>
      <c r="N606" s="95"/>
      <c r="O606" s="95"/>
      <c r="P606" s="95"/>
      <c r="Q606" s="95"/>
      <c r="R606" s="95"/>
      <c r="S606" s="95"/>
      <c r="T606" s="95"/>
    </row>
    <row r="607" spans="1:20" ht="12.75" customHeight="1" x14ac:dyDescent="0.3">
      <c r="A607" s="95"/>
      <c r="B607" s="95"/>
      <c r="C607" s="97"/>
      <c r="D607" s="95"/>
      <c r="E607" s="95"/>
      <c r="F607" s="95"/>
      <c r="G607" s="95"/>
      <c r="H607" s="95"/>
      <c r="I607" s="95"/>
      <c r="J607" s="95"/>
      <c r="K607" s="95"/>
      <c r="L607" s="95"/>
      <c r="M607" s="95"/>
      <c r="N607" s="95"/>
      <c r="O607" s="95"/>
      <c r="P607" s="95"/>
      <c r="Q607" s="95"/>
      <c r="R607" s="95"/>
      <c r="S607" s="95"/>
      <c r="T607" s="95"/>
    </row>
    <row r="608" spans="1:20" ht="12.75" customHeight="1" x14ac:dyDescent="0.3">
      <c r="A608" s="95"/>
      <c r="B608" s="95"/>
      <c r="C608" s="97"/>
      <c r="D608" s="95"/>
      <c r="E608" s="95"/>
      <c r="F608" s="95"/>
      <c r="G608" s="95"/>
      <c r="H608" s="95"/>
      <c r="I608" s="95"/>
      <c r="J608" s="95"/>
      <c r="K608" s="95"/>
      <c r="L608" s="95"/>
      <c r="M608" s="95"/>
      <c r="N608" s="95"/>
      <c r="O608" s="95"/>
      <c r="P608" s="95"/>
      <c r="Q608" s="95"/>
      <c r="R608" s="95"/>
      <c r="S608" s="95"/>
      <c r="T608" s="95"/>
    </row>
    <row r="609" spans="1:20" ht="12.75" customHeight="1" x14ac:dyDescent="0.3">
      <c r="A609" s="95"/>
      <c r="B609" s="95"/>
      <c r="C609" s="97"/>
      <c r="D609" s="95"/>
      <c r="E609" s="95"/>
      <c r="F609" s="95"/>
      <c r="G609" s="95"/>
      <c r="H609" s="95"/>
      <c r="I609" s="95"/>
      <c r="J609" s="95"/>
      <c r="K609" s="95"/>
      <c r="L609" s="95"/>
      <c r="M609" s="95"/>
      <c r="N609" s="95"/>
      <c r="O609" s="95"/>
      <c r="P609" s="95"/>
      <c r="Q609" s="95"/>
      <c r="R609" s="95"/>
      <c r="S609" s="95"/>
      <c r="T609" s="95"/>
    </row>
    <row r="610" spans="1:20" ht="12.75" customHeight="1" x14ac:dyDescent="0.3">
      <c r="A610" s="95"/>
      <c r="B610" s="95"/>
      <c r="C610" s="97"/>
      <c r="D610" s="95"/>
      <c r="E610" s="95"/>
      <c r="F610" s="95"/>
      <c r="G610" s="95"/>
      <c r="H610" s="95"/>
      <c r="I610" s="95"/>
      <c r="J610" s="95"/>
      <c r="K610" s="95"/>
      <c r="L610" s="95"/>
      <c r="M610" s="95"/>
      <c r="N610" s="95"/>
      <c r="O610" s="95"/>
      <c r="P610" s="95"/>
      <c r="Q610" s="95"/>
      <c r="R610" s="95"/>
      <c r="S610" s="95"/>
      <c r="T610" s="95"/>
    </row>
    <row r="611" spans="1:20" ht="12.75" customHeight="1" x14ac:dyDescent="0.3">
      <c r="A611" s="95"/>
      <c r="B611" s="95"/>
      <c r="C611" s="97"/>
      <c r="D611" s="95"/>
      <c r="E611" s="95"/>
      <c r="F611" s="95"/>
      <c r="G611" s="95"/>
      <c r="H611" s="95"/>
      <c r="I611" s="95"/>
      <c r="J611" s="95"/>
      <c r="K611" s="95"/>
      <c r="L611" s="95"/>
      <c r="M611" s="95"/>
      <c r="N611" s="95"/>
      <c r="O611" s="95"/>
      <c r="P611" s="95"/>
      <c r="Q611" s="95"/>
      <c r="R611" s="95"/>
      <c r="S611" s="95"/>
      <c r="T611" s="95"/>
    </row>
    <row r="612" spans="1:20" ht="12.75" customHeight="1" x14ac:dyDescent="0.3">
      <c r="A612" s="95"/>
      <c r="B612" s="95"/>
      <c r="C612" s="97"/>
      <c r="D612" s="95"/>
      <c r="E612" s="95"/>
      <c r="F612" s="95"/>
      <c r="G612" s="95"/>
      <c r="H612" s="95"/>
      <c r="I612" s="95"/>
      <c r="J612" s="95"/>
      <c r="K612" s="95"/>
      <c r="L612" s="95"/>
      <c r="M612" s="95"/>
      <c r="N612" s="95"/>
      <c r="O612" s="95"/>
      <c r="P612" s="95"/>
      <c r="Q612" s="95"/>
      <c r="R612" s="95"/>
      <c r="S612" s="95"/>
      <c r="T612" s="95"/>
    </row>
    <row r="613" spans="1:20" ht="12.75" customHeight="1" x14ac:dyDescent="0.3">
      <c r="A613" s="95"/>
      <c r="B613" s="95"/>
      <c r="C613" s="97"/>
      <c r="D613" s="95"/>
      <c r="E613" s="95"/>
      <c r="F613" s="95"/>
      <c r="G613" s="95"/>
      <c r="H613" s="95"/>
      <c r="I613" s="95"/>
      <c r="J613" s="95"/>
      <c r="K613" s="95"/>
      <c r="L613" s="95"/>
      <c r="M613" s="95"/>
      <c r="N613" s="95"/>
      <c r="O613" s="95"/>
      <c r="P613" s="95"/>
      <c r="Q613" s="95"/>
      <c r="R613" s="95"/>
      <c r="S613" s="95"/>
      <c r="T613" s="95"/>
    </row>
    <row r="614" spans="1:20" ht="12.75" customHeight="1" x14ac:dyDescent="0.3">
      <c r="A614" s="95"/>
      <c r="B614" s="95"/>
      <c r="C614" s="97"/>
      <c r="D614" s="95"/>
      <c r="E614" s="95"/>
      <c r="F614" s="95"/>
      <c r="G614" s="95"/>
      <c r="H614" s="95"/>
      <c r="I614" s="95"/>
      <c r="J614" s="95"/>
      <c r="K614" s="95"/>
      <c r="L614" s="95"/>
      <c r="M614" s="95"/>
      <c r="N614" s="95"/>
      <c r="O614" s="95"/>
      <c r="P614" s="95"/>
      <c r="Q614" s="95"/>
      <c r="R614" s="95"/>
      <c r="S614" s="95"/>
      <c r="T614" s="95"/>
    </row>
    <row r="615" spans="1:20" ht="12.75" customHeight="1" x14ac:dyDescent="0.3">
      <c r="A615" s="95"/>
      <c r="B615" s="95"/>
      <c r="C615" s="97"/>
      <c r="D615" s="95"/>
      <c r="E615" s="95"/>
      <c r="F615" s="95"/>
      <c r="G615" s="95"/>
      <c r="H615" s="95"/>
      <c r="I615" s="95"/>
      <c r="J615" s="95"/>
      <c r="K615" s="95"/>
      <c r="L615" s="95"/>
      <c r="M615" s="95"/>
      <c r="N615" s="95"/>
      <c r="O615" s="95"/>
      <c r="P615" s="95"/>
      <c r="Q615" s="95"/>
      <c r="R615" s="95"/>
      <c r="S615" s="95"/>
      <c r="T615" s="95"/>
    </row>
    <row r="616" spans="1:20" ht="12.75" customHeight="1" x14ac:dyDescent="0.3">
      <c r="A616" s="95"/>
      <c r="B616" s="95"/>
      <c r="C616" s="97"/>
      <c r="D616" s="95"/>
      <c r="E616" s="95"/>
      <c r="F616" s="95"/>
      <c r="G616" s="95"/>
      <c r="H616" s="95"/>
      <c r="I616" s="95"/>
      <c r="J616" s="95"/>
      <c r="K616" s="95"/>
      <c r="L616" s="95"/>
      <c r="M616" s="95"/>
      <c r="N616" s="95"/>
      <c r="O616" s="95"/>
      <c r="P616" s="95"/>
      <c r="Q616" s="95"/>
      <c r="R616" s="95"/>
      <c r="S616" s="95"/>
      <c r="T616" s="95"/>
    </row>
    <row r="617" spans="1:20" ht="12.75" customHeight="1" x14ac:dyDescent="0.3">
      <c r="A617" s="95"/>
      <c r="B617" s="95"/>
      <c r="C617" s="97"/>
      <c r="D617" s="95"/>
      <c r="E617" s="95"/>
      <c r="F617" s="95"/>
      <c r="G617" s="95"/>
      <c r="H617" s="95"/>
      <c r="I617" s="95"/>
      <c r="J617" s="95"/>
      <c r="K617" s="95"/>
      <c r="L617" s="95"/>
      <c r="M617" s="95"/>
      <c r="N617" s="95"/>
      <c r="O617" s="95"/>
      <c r="P617" s="95"/>
      <c r="Q617" s="95"/>
      <c r="R617" s="95"/>
      <c r="S617" s="95"/>
      <c r="T617" s="95"/>
    </row>
    <row r="618" spans="1:20" ht="12.75" customHeight="1" x14ac:dyDescent="0.3">
      <c r="A618" s="95"/>
      <c r="B618" s="95"/>
      <c r="C618" s="97"/>
      <c r="D618" s="95"/>
      <c r="E618" s="95"/>
      <c r="F618" s="95"/>
      <c r="G618" s="95"/>
      <c r="H618" s="95"/>
      <c r="I618" s="95"/>
      <c r="J618" s="95"/>
      <c r="K618" s="95"/>
      <c r="L618" s="95"/>
      <c r="M618" s="95"/>
      <c r="N618" s="95"/>
      <c r="O618" s="95"/>
      <c r="P618" s="95"/>
      <c r="Q618" s="95"/>
      <c r="R618" s="95"/>
      <c r="S618" s="95"/>
      <c r="T618" s="95"/>
    </row>
    <row r="619" spans="1:20" ht="12.75" customHeight="1" x14ac:dyDescent="0.3">
      <c r="A619" s="95"/>
      <c r="B619" s="95"/>
      <c r="C619" s="97"/>
      <c r="D619" s="95"/>
      <c r="E619" s="95"/>
      <c r="F619" s="95"/>
      <c r="G619" s="95"/>
      <c r="H619" s="95"/>
      <c r="I619" s="95"/>
      <c r="J619" s="95"/>
      <c r="K619" s="95"/>
      <c r="L619" s="95"/>
      <c r="M619" s="95"/>
      <c r="N619" s="95"/>
      <c r="O619" s="95"/>
      <c r="P619" s="95"/>
      <c r="Q619" s="95"/>
      <c r="R619" s="95"/>
      <c r="S619" s="95"/>
      <c r="T619" s="95"/>
    </row>
    <row r="620" spans="1:20" ht="12.75" customHeight="1" x14ac:dyDescent="0.3">
      <c r="A620" s="95"/>
      <c r="B620" s="95"/>
      <c r="C620" s="97"/>
      <c r="D620" s="95"/>
      <c r="E620" s="95"/>
      <c r="F620" s="95"/>
      <c r="G620" s="95"/>
      <c r="H620" s="95"/>
      <c r="I620" s="95"/>
      <c r="J620" s="95"/>
      <c r="K620" s="95"/>
      <c r="L620" s="95"/>
      <c r="M620" s="95"/>
      <c r="N620" s="95"/>
      <c r="O620" s="95"/>
      <c r="P620" s="95"/>
      <c r="Q620" s="95"/>
      <c r="R620" s="95"/>
      <c r="S620" s="95"/>
      <c r="T620" s="95"/>
    </row>
    <row r="621" spans="1:20" ht="12.75" customHeight="1" x14ac:dyDescent="0.3">
      <c r="A621" s="95"/>
      <c r="B621" s="95"/>
      <c r="C621" s="97"/>
      <c r="D621" s="95"/>
      <c r="E621" s="95"/>
      <c r="F621" s="95"/>
      <c r="G621" s="95"/>
      <c r="H621" s="95"/>
      <c r="I621" s="95"/>
      <c r="J621" s="95"/>
      <c r="K621" s="95"/>
      <c r="L621" s="95"/>
      <c r="M621" s="95"/>
      <c r="N621" s="95"/>
      <c r="O621" s="95"/>
      <c r="P621" s="95"/>
      <c r="Q621" s="95"/>
      <c r="R621" s="95"/>
      <c r="S621" s="95"/>
      <c r="T621" s="95"/>
    </row>
    <row r="622" spans="1:20" ht="12.75" customHeight="1" x14ac:dyDescent="0.3">
      <c r="A622" s="95"/>
      <c r="B622" s="95"/>
      <c r="C622" s="97"/>
      <c r="D622" s="95"/>
      <c r="E622" s="95"/>
      <c r="F622" s="95"/>
      <c r="G622" s="95"/>
      <c r="H622" s="95"/>
      <c r="I622" s="95"/>
      <c r="J622" s="95"/>
      <c r="K622" s="95"/>
      <c r="L622" s="95"/>
      <c r="M622" s="95"/>
      <c r="N622" s="95"/>
      <c r="O622" s="95"/>
      <c r="P622" s="95"/>
      <c r="Q622" s="95"/>
      <c r="R622" s="95"/>
      <c r="S622" s="95"/>
      <c r="T622" s="95"/>
    </row>
    <row r="623" spans="1:20" ht="12.75" customHeight="1" x14ac:dyDescent="0.3">
      <c r="A623" s="95"/>
      <c r="B623" s="95"/>
      <c r="C623" s="97"/>
      <c r="D623" s="95"/>
      <c r="E623" s="95"/>
      <c r="F623" s="95"/>
      <c r="G623" s="95"/>
      <c r="H623" s="95"/>
      <c r="I623" s="95"/>
      <c r="J623" s="95"/>
      <c r="K623" s="95"/>
      <c r="L623" s="95"/>
      <c r="M623" s="95"/>
      <c r="N623" s="95"/>
      <c r="O623" s="95"/>
      <c r="P623" s="95"/>
      <c r="Q623" s="95"/>
      <c r="R623" s="95"/>
      <c r="S623" s="95"/>
      <c r="T623" s="95"/>
    </row>
    <row r="624" spans="1:20" ht="12.75" customHeight="1" x14ac:dyDescent="0.3">
      <c r="A624" s="95"/>
      <c r="B624" s="95"/>
      <c r="C624" s="97"/>
      <c r="D624" s="95"/>
      <c r="E624" s="95"/>
      <c r="F624" s="95"/>
      <c r="G624" s="95"/>
      <c r="H624" s="95"/>
      <c r="I624" s="95"/>
      <c r="J624" s="95"/>
      <c r="K624" s="95"/>
      <c r="L624" s="95"/>
      <c r="M624" s="95"/>
      <c r="N624" s="95"/>
      <c r="O624" s="95"/>
      <c r="P624" s="95"/>
      <c r="Q624" s="95"/>
      <c r="R624" s="95"/>
      <c r="S624" s="95"/>
      <c r="T624" s="95"/>
    </row>
    <row r="625" spans="1:20" ht="12.75" customHeight="1" x14ac:dyDescent="0.3">
      <c r="A625" s="95"/>
      <c r="B625" s="95"/>
      <c r="C625" s="97"/>
      <c r="D625" s="95"/>
      <c r="E625" s="95"/>
      <c r="F625" s="95"/>
      <c r="G625" s="95"/>
      <c r="H625" s="95"/>
      <c r="I625" s="95"/>
      <c r="J625" s="95"/>
      <c r="K625" s="95"/>
      <c r="L625" s="95"/>
      <c r="M625" s="95"/>
      <c r="N625" s="95"/>
      <c r="O625" s="95"/>
      <c r="P625" s="95"/>
      <c r="Q625" s="95"/>
      <c r="R625" s="95"/>
      <c r="S625" s="95"/>
      <c r="T625" s="95"/>
    </row>
    <row r="626" spans="1:20" ht="12.75" customHeight="1" x14ac:dyDescent="0.3">
      <c r="A626" s="95"/>
      <c r="B626" s="95"/>
      <c r="C626" s="97"/>
      <c r="D626" s="95"/>
      <c r="E626" s="95"/>
      <c r="F626" s="95"/>
      <c r="G626" s="95"/>
      <c r="H626" s="95"/>
      <c r="I626" s="95"/>
      <c r="J626" s="95"/>
      <c r="K626" s="95"/>
      <c r="L626" s="95"/>
      <c r="M626" s="95"/>
      <c r="N626" s="95"/>
      <c r="O626" s="95"/>
      <c r="P626" s="95"/>
      <c r="Q626" s="95"/>
      <c r="R626" s="95"/>
      <c r="S626" s="95"/>
      <c r="T626" s="95"/>
    </row>
    <row r="627" spans="1:20" ht="12.75" customHeight="1" x14ac:dyDescent="0.3">
      <c r="A627" s="95"/>
      <c r="B627" s="95"/>
      <c r="C627" s="97"/>
      <c r="D627" s="95"/>
      <c r="E627" s="95"/>
      <c r="F627" s="95"/>
      <c r="G627" s="95"/>
      <c r="H627" s="95"/>
      <c r="I627" s="95"/>
      <c r="J627" s="95"/>
      <c r="K627" s="95"/>
      <c r="L627" s="95"/>
      <c r="M627" s="95"/>
      <c r="N627" s="95"/>
      <c r="O627" s="95"/>
      <c r="P627" s="95"/>
      <c r="Q627" s="95"/>
      <c r="R627" s="95"/>
      <c r="S627" s="95"/>
      <c r="T627" s="95"/>
    </row>
    <row r="628" spans="1:20" ht="12.75" customHeight="1" x14ac:dyDescent="0.3">
      <c r="A628" s="95"/>
      <c r="B628" s="95"/>
      <c r="C628" s="97"/>
      <c r="D628" s="95"/>
      <c r="E628" s="95"/>
      <c r="F628" s="95"/>
      <c r="G628" s="95"/>
      <c r="H628" s="95"/>
      <c r="I628" s="95"/>
      <c r="J628" s="95"/>
      <c r="K628" s="95"/>
      <c r="L628" s="95"/>
      <c r="M628" s="95"/>
      <c r="N628" s="95"/>
      <c r="O628" s="95"/>
      <c r="P628" s="95"/>
      <c r="Q628" s="95"/>
      <c r="R628" s="95"/>
      <c r="S628" s="95"/>
      <c r="T628" s="95"/>
    </row>
    <row r="629" spans="1:20" ht="12.75" customHeight="1" x14ac:dyDescent="0.3">
      <c r="A629" s="95"/>
      <c r="B629" s="95"/>
      <c r="C629" s="97"/>
      <c r="D629" s="95"/>
      <c r="E629" s="95"/>
      <c r="F629" s="95"/>
      <c r="G629" s="95"/>
      <c r="H629" s="95"/>
      <c r="I629" s="95"/>
      <c r="J629" s="95"/>
      <c r="K629" s="95"/>
      <c r="L629" s="95"/>
      <c r="M629" s="95"/>
      <c r="N629" s="95"/>
      <c r="O629" s="95"/>
      <c r="P629" s="95"/>
      <c r="Q629" s="95"/>
      <c r="R629" s="95"/>
      <c r="S629" s="95"/>
      <c r="T629" s="95"/>
    </row>
    <row r="630" spans="1:20" ht="12.75" customHeight="1" x14ac:dyDescent="0.3">
      <c r="A630" s="95"/>
      <c r="B630" s="95"/>
      <c r="C630" s="97"/>
      <c r="D630" s="95"/>
      <c r="E630" s="95"/>
      <c r="F630" s="95"/>
      <c r="G630" s="95"/>
      <c r="H630" s="95"/>
      <c r="I630" s="95"/>
      <c r="J630" s="95"/>
      <c r="K630" s="95"/>
      <c r="L630" s="95"/>
      <c r="M630" s="95"/>
      <c r="N630" s="95"/>
      <c r="O630" s="95"/>
      <c r="P630" s="95"/>
      <c r="Q630" s="95"/>
      <c r="R630" s="95"/>
      <c r="S630" s="95"/>
      <c r="T630" s="95"/>
    </row>
    <row r="631" spans="1:20" ht="12.75" customHeight="1" x14ac:dyDescent="0.3">
      <c r="A631" s="95"/>
      <c r="B631" s="95"/>
      <c r="C631" s="97"/>
      <c r="D631" s="95"/>
      <c r="E631" s="95"/>
      <c r="F631" s="95"/>
      <c r="G631" s="95"/>
      <c r="H631" s="95"/>
      <c r="I631" s="95"/>
      <c r="J631" s="95"/>
      <c r="K631" s="95"/>
      <c r="L631" s="95"/>
      <c r="M631" s="95"/>
      <c r="N631" s="95"/>
      <c r="O631" s="95"/>
      <c r="P631" s="95"/>
      <c r="Q631" s="95"/>
      <c r="R631" s="95"/>
      <c r="S631" s="95"/>
      <c r="T631" s="95"/>
    </row>
    <row r="632" spans="1:20" ht="12.75" customHeight="1" x14ac:dyDescent="0.3">
      <c r="A632" s="95"/>
      <c r="B632" s="95"/>
      <c r="C632" s="97"/>
      <c r="D632" s="95"/>
      <c r="E632" s="95"/>
      <c r="F632" s="95"/>
      <c r="G632" s="95"/>
      <c r="H632" s="95"/>
      <c r="I632" s="95"/>
      <c r="J632" s="95"/>
      <c r="K632" s="95"/>
      <c r="L632" s="95"/>
      <c r="M632" s="95"/>
      <c r="N632" s="95"/>
      <c r="O632" s="95"/>
      <c r="P632" s="95"/>
      <c r="Q632" s="95"/>
      <c r="R632" s="95"/>
      <c r="S632" s="95"/>
      <c r="T632" s="95"/>
    </row>
    <row r="633" spans="1:20" ht="12.75" customHeight="1" x14ac:dyDescent="0.3">
      <c r="A633" s="95"/>
      <c r="B633" s="95"/>
      <c r="C633" s="97"/>
      <c r="D633" s="95"/>
      <c r="E633" s="95"/>
      <c r="F633" s="95"/>
      <c r="G633" s="95"/>
      <c r="H633" s="95"/>
      <c r="I633" s="95"/>
      <c r="J633" s="95"/>
      <c r="K633" s="95"/>
      <c r="L633" s="95"/>
      <c r="M633" s="95"/>
      <c r="N633" s="95"/>
      <c r="O633" s="95"/>
      <c r="P633" s="95"/>
      <c r="Q633" s="95"/>
      <c r="R633" s="95"/>
      <c r="S633" s="95"/>
      <c r="T633" s="95"/>
    </row>
    <row r="634" spans="1:20" ht="12.75" customHeight="1" x14ac:dyDescent="0.3">
      <c r="A634" s="95"/>
      <c r="B634" s="95"/>
      <c r="C634" s="97"/>
      <c r="D634" s="95"/>
      <c r="E634" s="95"/>
      <c r="F634" s="95"/>
      <c r="G634" s="95"/>
      <c r="H634" s="95"/>
      <c r="I634" s="95"/>
      <c r="J634" s="95"/>
      <c r="K634" s="95"/>
      <c r="L634" s="95"/>
      <c r="M634" s="95"/>
      <c r="N634" s="95"/>
      <c r="O634" s="95"/>
      <c r="P634" s="95"/>
      <c r="Q634" s="95"/>
      <c r="R634" s="95"/>
      <c r="S634" s="95"/>
      <c r="T634" s="95"/>
    </row>
    <row r="635" spans="1:20" ht="12.75" customHeight="1" x14ac:dyDescent="0.3">
      <c r="A635" s="95"/>
      <c r="B635" s="95"/>
      <c r="C635" s="97"/>
      <c r="D635" s="95"/>
      <c r="E635" s="95"/>
      <c r="F635" s="95"/>
      <c r="G635" s="95"/>
      <c r="H635" s="95"/>
      <c r="I635" s="95"/>
      <c r="J635" s="95"/>
      <c r="K635" s="95"/>
      <c r="L635" s="95"/>
      <c r="M635" s="95"/>
      <c r="N635" s="95"/>
      <c r="O635" s="95"/>
      <c r="P635" s="95"/>
      <c r="Q635" s="95"/>
      <c r="R635" s="95"/>
      <c r="S635" s="95"/>
      <c r="T635" s="95"/>
    </row>
    <row r="636" spans="1:20" ht="12.75" customHeight="1" x14ac:dyDescent="0.3">
      <c r="A636" s="95"/>
      <c r="B636" s="95"/>
      <c r="C636" s="97"/>
      <c r="D636" s="95"/>
      <c r="E636" s="95"/>
      <c r="F636" s="95"/>
      <c r="G636" s="95"/>
      <c r="H636" s="95"/>
      <c r="I636" s="95"/>
      <c r="J636" s="95"/>
      <c r="K636" s="95"/>
      <c r="L636" s="95"/>
      <c r="M636" s="95"/>
      <c r="N636" s="95"/>
      <c r="O636" s="95"/>
      <c r="P636" s="95"/>
      <c r="Q636" s="95"/>
      <c r="R636" s="95"/>
      <c r="S636" s="95"/>
      <c r="T636" s="95"/>
    </row>
    <row r="637" spans="1:20" ht="12.75" customHeight="1" x14ac:dyDescent="0.3">
      <c r="A637" s="95"/>
      <c r="B637" s="95"/>
      <c r="C637" s="97"/>
      <c r="D637" s="95"/>
      <c r="E637" s="95"/>
      <c r="F637" s="95"/>
      <c r="G637" s="95"/>
      <c r="H637" s="95"/>
      <c r="I637" s="95"/>
      <c r="J637" s="95"/>
      <c r="K637" s="95"/>
      <c r="L637" s="95"/>
      <c r="M637" s="95"/>
      <c r="N637" s="95"/>
      <c r="O637" s="95"/>
      <c r="P637" s="95"/>
      <c r="Q637" s="95"/>
      <c r="R637" s="95"/>
      <c r="S637" s="95"/>
      <c r="T637" s="95"/>
    </row>
    <row r="638" spans="1:20" ht="12.75" customHeight="1" x14ac:dyDescent="0.3">
      <c r="A638" s="95"/>
      <c r="B638" s="95"/>
      <c r="C638" s="97"/>
      <c r="D638" s="95"/>
      <c r="E638" s="95"/>
      <c r="F638" s="95"/>
      <c r="G638" s="95"/>
      <c r="H638" s="95"/>
      <c r="I638" s="95"/>
      <c r="J638" s="95"/>
      <c r="K638" s="95"/>
      <c r="L638" s="95"/>
      <c r="M638" s="95"/>
      <c r="N638" s="95"/>
      <c r="O638" s="95"/>
      <c r="P638" s="95"/>
      <c r="Q638" s="95"/>
      <c r="R638" s="95"/>
      <c r="S638" s="95"/>
      <c r="T638" s="95"/>
    </row>
    <row r="639" spans="1:20" ht="12.75" customHeight="1" x14ac:dyDescent="0.3">
      <c r="A639" s="95"/>
      <c r="B639" s="95"/>
      <c r="C639" s="97"/>
      <c r="D639" s="95"/>
      <c r="E639" s="95"/>
      <c r="F639" s="95"/>
      <c r="G639" s="95"/>
      <c r="H639" s="95"/>
      <c r="I639" s="95"/>
      <c r="J639" s="95"/>
      <c r="K639" s="95"/>
      <c r="L639" s="95"/>
      <c r="M639" s="95"/>
      <c r="N639" s="95"/>
      <c r="O639" s="95"/>
      <c r="P639" s="95"/>
      <c r="Q639" s="95"/>
      <c r="R639" s="95"/>
      <c r="S639" s="95"/>
      <c r="T639" s="95"/>
    </row>
    <row r="640" spans="1:20" ht="12.75" customHeight="1" x14ac:dyDescent="0.3">
      <c r="A640" s="95"/>
      <c r="B640" s="95"/>
      <c r="C640" s="97"/>
      <c r="D640" s="95"/>
      <c r="E640" s="95"/>
      <c r="F640" s="95"/>
      <c r="G640" s="95"/>
      <c r="H640" s="95"/>
      <c r="I640" s="95"/>
      <c r="J640" s="95"/>
      <c r="K640" s="95"/>
      <c r="L640" s="95"/>
      <c r="M640" s="95"/>
      <c r="N640" s="95"/>
      <c r="O640" s="95"/>
      <c r="P640" s="95"/>
      <c r="Q640" s="95"/>
      <c r="R640" s="95"/>
      <c r="S640" s="95"/>
      <c r="T640" s="95"/>
    </row>
    <row r="641" spans="1:20" ht="12.75" customHeight="1" x14ac:dyDescent="0.3">
      <c r="A641" s="95"/>
      <c r="B641" s="95"/>
      <c r="C641" s="97"/>
      <c r="D641" s="95"/>
      <c r="E641" s="95"/>
      <c r="F641" s="95"/>
      <c r="G641" s="95"/>
      <c r="H641" s="95"/>
      <c r="I641" s="95"/>
      <c r="J641" s="95"/>
      <c r="K641" s="95"/>
      <c r="L641" s="95"/>
      <c r="M641" s="95"/>
      <c r="N641" s="95"/>
      <c r="O641" s="95"/>
      <c r="P641" s="95"/>
      <c r="Q641" s="95"/>
      <c r="R641" s="95"/>
      <c r="S641" s="95"/>
      <c r="T641" s="95"/>
    </row>
    <row r="642" spans="1:20" ht="12.75" customHeight="1" x14ac:dyDescent="0.3">
      <c r="A642" s="95"/>
      <c r="B642" s="95"/>
      <c r="C642" s="97"/>
      <c r="D642" s="95"/>
      <c r="E642" s="95"/>
      <c r="F642" s="95"/>
      <c r="G642" s="95"/>
      <c r="H642" s="95"/>
      <c r="I642" s="95"/>
      <c r="J642" s="95"/>
      <c r="K642" s="95"/>
      <c r="L642" s="95"/>
      <c r="M642" s="95"/>
      <c r="N642" s="95"/>
      <c r="O642" s="95"/>
      <c r="P642" s="95"/>
      <c r="Q642" s="95"/>
      <c r="R642" s="95"/>
      <c r="S642" s="95"/>
      <c r="T642" s="95"/>
    </row>
    <row r="643" spans="1:20" ht="12.75" customHeight="1" x14ac:dyDescent="0.3">
      <c r="A643" s="95"/>
      <c r="B643" s="95"/>
      <c r="C643" s="97"/>
      <c r="D643" s="95"/>
      <c r="E643" s="95"/>
      <c r="F643" s="95"/>
      <c r="G643" s="95"/>
      <c r="H643" s="95"/>
      <c r="I643" s="95"/>
      <c r="J643" s="95"/>
      <c r="K643" s="95"/>
      <c r="L643" s="95"/>
      <c r="M643" s="95"/>
      <c r="N643" s="95"/>
      <c r="O643" s="95"/>
      <c r="P643" s="95"/>
      <c r="Q643" s="95"/>
      <c r="R643" s="95"/>
      <c r="S643" s="95"/>
      <c r="T643" s="95"/>
    </row>
    <row r="644" spans="1:20" ht="12.75" customHeight="1" x14ac:dyDescent="0.3">
      <c r="A644" s="95"/>
      <c r="B644" s="95"/>
      <c r="C644" s="97"/>
      <c r="D644" s="95"/>
      <c r="E644" s="95"/>
      <c r="F644" s="95"/>
      <c r="G644" s="95"/>
      <c r="H644" s="95"/>
      <c r="I644" s="95"/>
      <c r="J644" s="95"/>
      <c r="K644" s="95"/>
      <c r="L644" s="95"/>
      <c r="M644" s="95"/>
      <c r="N644" s="95"/>
      <c r="O644" s="95"/>
      <c r="P644" s="95"/>
      <c r="Q644" s="95"/>
      <c r="R644" s="95"/>
      <c r="S644" s="95"/>
      <c r="T644" s="95"/>
    </row>
    <row r="645" spans="1:20" ht="12.75" customHeight="1" x14ac:dyDescent="0.3">
      <c r="A645" s="95"/>
      <c r="B645" s="95"/>
      <c r="C645" s="97"/>
      <c r="D645" s="95"/>
      <c r="E645" s="95"/>
      <c r="F645" s="95"/>
      <c r="G645" s="95"/>
      <c r="H645" s="95"/>
      <c r="I645" s="95"/>
      <c r="J645" s="95"/>
      <c r="K645" s="95"/>
      <c r="L645" s="95"/>
      <c r="M645" s="95"/>
      <c r="N645" s="95"/>
      <c r="O645" s="95"/>
      <c r="P645" s="95"/>
      <c r="Q645" s="95"/>
      <c r="R645" s="95"/>
      <c r="S645" s="95"/>
      <c r="T645" s="95"/>
    </row>
    <row r="646" spans="1:20" ht="12.75" customHeight="1" x14ac:dyDescent="0.3">
      <c r="A646" s="95"/>
      <c r="B646" s="95"/>
      <c r="C646" s="97"/>
      <c r="D646" s="95"/>
      <c r="E646" s="95"/>
      <c r="F646" s="95"/>
      <c r="G646" s="95"/>
      <c r="H646" s="95"/>
      <c r="I646" s="95"/>
      <c r="J646" s="95"/>
      <c r="K646" s="95"/>
      <c r="L646" s="95"/>
      <c r="M646" s="95"/>
      <c r="N646" s="95"/>
      <c r="O646" s="95"/>
      <c r="P646" s="95"/>
      <c r="Q646" s="95"/>
      <c r="R646" s="95"/>
      <c r="S646" s="95"/>
      <c r="T646" s="95"/>
    </row>
    <row r="647" spans="1:20" ht="12.75" customHeight="1" x14ac:dyDescent="0.3">
      <c r="A647" s="95"/>
      <c r="B647" s="95"/>
      <c r="C647" s="97"/>
      <c r="D647" s="95"/>
      <c r="E647" s="95"/>
      <c r="F647" s="95"/>
      <c r="G647" s="95"/>
      <c r="H647" s="95"/>
      <c r="I647" s="95"/>
      <c r="J647" s="95"/>
      <c r="K647" s="95"/>
      <c r="L647" s="95"/>
      <c r="M647" s="95"/>
      <c r="N647" s="95"/>
      <c r="O647" s="95"/>
      <c r="P647" s="95"/>
      <c r="Q647" s="95"/>
      <c r="R647" s="95"/>
      <c r="S647" s="95"/>
      <c r="T647" s="95"/>
    </row>
    <row r="648" spans="1:20" ht="12.75" customHeight="1" x14ac:dyDescent="0.3">
      <c r="A648" s="95"/>
      <c r="B648" s="95"/>
      <c r="C648" s="97"/>
      <c r="D648" s="95"/>
      <c r="E648" s="95"/>
      <c r="F648" s="95"/>
      <c r="G648" s="95"/>
      <c r="H648" s="95"/>
      <c r="I648" s="95"/>
      <c r="J648" s="95"/>
      <c r="K648" s="95"/>
      <c r="L648" s="95"/>
      <c r="M648" s="95"/>
      <c r="N648" s="95"/>
      <c r="O648" s="95"/>
      <c r="P648" s="95"/>
      <c r="Q648" s="95"/>
      <c r="R648" s="95"/>
      <c r="S648" s="95"/>
      <c r="T648" s="95"/>
    </row>
    <row r="649" spans="1:20" ht="12.75" customHeight="1" x14ac:dyDescent="0.3">
      <c r="A649" s="95"/>
      <c r="B649" s="95"/>
      <c r="C649" s="97"/>
      <c r="D649" s="95"/>
      <c r="E649" s="95"/>
      <c r="F649" s="95"/>
      <c r="G649" s="95"/>
      <c r="H649" s="95"/>
      <c r="I649" s="95"/>
      <c r="J649" s="95"/>
      <c r="K649" s="95"/>
      <c r="L649" s="95"/>
      <c r="M649" s="95"/>
      <c r="N649" s="95"/>
      <c r="O649" s="95"/>
      <c r="P649" s="95"/>
      <c r="Q649" s="95"/>
      <c r="R649" s="95"/>
      <c r="S649" s="95"/>
      <c r="T649" s="95"/>
    </row>
    <row r="650" spans="1:20" ht="12.75" customHeight="1" x14ac:dyDescent="0.3">
      <c r="A650" s="95"/>
      <c r="B650" s="95"/>
      <c r="C650" s="97"/>
      <c r="D650" s="95"/>
      <c r="E650" s="95"/>
      <c r="F650" s="95"/>
      <c r="G650" s="95"/>
      <c r="H650" s="95"/>
      <c r="I650" s="95"/>
      <c r="J650" s="95"/>
      <c r="K650" s="95"/>
      <c r="L650" s="95"/>
      <c r="M650" s="95"/>
      <c r="N650" s="95"/>
      <c r="O650" s="95"/>
      <c r="P650" s="95"/>
      <c r="Q650" s="95"/>
      <c r="R650" s="95"/>
      <c r="S650" s="95"/>
      <c r="T650" s="95"/>
    </row>
    <row r="651" spans="1:20" ht="12.75" customHeight="1" x14ac:dyDescent="0.3">
      <c r="A651" s="95"/>
      <c r="B651" s="95"/>
      <c r="C651" s="97"/>
      <c r="D651" s="95"/>
      <c r="E651" s="95"/>
      <c r="F651" s="95"/>
      <c r="G651" s="95"/>
      <c r="H651" s="95"/>
      <c r="I651" s="95"/>
      <c r="J651" s="95"/>
      <c r="K651" s="95"/>
      <c r="L651" s="95"/>
      <c r="M651" s="95"/>
      <c r="N651" s="95"/>
      <c r="O651" s="95"/>
      <c r="P651" s="95"/>
      <c r="Q651" s="95"/>
      <c r="R651" s="95"/>
      <c r="S651" s="95"/>
      <c r="T651" s="95"/>
    </row>
    <row r="652" spans="1:20" ht="12.75" customHeight="1" x14ac:dyDescent="0.3">
      <c r="A652" s="95"/>
      <c r="B652" s="95"/>
      <c r="C652" s="97"/>
      <c r="D652" s="95"/>
      <c r="E652" s="95"/>
      <c r="F652" s="95"/>
      <c r="G652" s="95"/>
      <c r="H652" s="95"/>
      <c r="I652" s="95"/>
      <c r="J652" s="95"/>
      <c r="K652" s="95"/>
      <c r="L652" s="95"/>
      <c r="M652" s="95"/>
      <c r="N652" s="95"/>
      <c r="O652" s="95"/>
      <c r="P652" s="95"/>
      <c r="Q652" s="95"/>
      <c r="R652" s="95"/>
      <c r="S652" s="95"/>
      <c r="T652" s="95"/>
    </row>
    <row r="653" spans="1:20" ht="12.75" customHeight="1" x14ac:dyDescent="0.3">
      <c r="A653" s="95"/>
      <c r="B653" s="95"/>
      <c r="C653" s="97"/>
      <c r="D653" s="95"/>
      <c r="E653" s="95"/>
      <c r="F653" s="95"/>
      <c r="G653" s="95"/>
      <c r="H653" s="95"/>
      <c r="I653" s="95"/>
      <c r="J653" s="95"/>
      <c r="K653" s="95"/>
      <c r="L653" s="95"/>
      <c r="M653" s="95"/>
      <c r="N653" s="95"/>
      <c r="O653" s="95"/>
      <c r="P653" s="95"/>
      <c r="Q653" s="95"/>
      <c r="R653" s="95"/>
      <c r="S653" s="95"/>
      <c r="T653" s="95"/>
    </row>
    <row r="654" spans="1:20" ht="12.75" customHeight="1" x14ac:dyDescent="0.3">
      <c r="A654" s="95"/>
      <c r="B654" s="95"/>
      <c r="C654" s="97"/>
      <c r="D654" s="95"/>
      <c r="E654" s="95"/>
      <c r="F654" s="95"/>
      <c r="G654" s="95"/>
      <c r="H654" s="95"/>
      <c r="I654" s="95"/>
      <c r="J654" s="95"/>
      <c r="K654" s="95"/>
      <c r="L654" s="95"/>
      <c r="M654" s="95"/>
      <c r="N654" s="95"/>
      <c r="O654" s="95"/>
      <c r="P654" s="95"/>
      <c r="Q654" s="95"/>
      <c r="R654" s="95"/>
      <c r="S654" s="95"/>
      <c r="T654" s="95"/>
    </row>
    <row r="655" spans="1:20" ht="12.75" customHeight="1" x14ac:dyDescent="0.3">
      <c r="A655" s="95"/>
      <c r="B655" s="95"/>
      <c r="C655" s="97"/>
      <c r="D655" s="95"/>
      <c r="E655" s="95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  <c r="Q655" s="95"/>
      <c r="R655" s="95"/>
      <c r="S655" s="95"/>
      <c r="T655" s="95"/>
    </row>
    <row r="656" spans="1:20" ht="12.75" customHeight="1" x14ac:dyDescent="0.3">
      <c r="A656" s="95"/>
      <c r="B656" s="95"/>
      <c r="C656" s="97"/>
      <c r="D656" s="95"/>
      <c r="E656" s="95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  <c r="Q656" s="95"/>
      <c r="R656" s="95"/>
      <c r="S656" s="95"/>
      <c r="T656" s="95"/>
    </row>
    <row r="657" spans="1:20" ht="12.75" customHeight="1" x14ac:dyDescent="0.3">
      <c r="A657" s="95"/>
      <c r="B657" s="95"/>
      <c r="C657" s="97"/>
      <c r="D657" s="95"/>
      <c r="E657" s="95"/>
      <c r="F657" s="95"/>
      <c r="G657" s="95"/>
      <c r="H657" s="95"/>
      <c r="I657" s="95"/>
      <c r="J657" s="95"/>
      <c r="K657" s="95"/>
      <c r="L657" s="95"/>
      <c r="M657" s="95"/>
      <c r="N657" s="95"/>
      <c r="O657" s="95"/>
      <c r="P657" s="95"/>
      <c r="Q657" s="95"/>
      <c r="R657" s="95"/>
      <c r="S657" s="95"/>
      <c r="T657" s="95"/>
    </row>
    <row r="658" spans="1:20" ht="12.75" customHeight="1" x14ac:dyDescent="0.3">
      <c r="A658" s="95"/>
      <c r="B658" s="95"/>
      <c r="C658" s="97"/>
      <c r="D658" s="95"/>
      <c r="E658" s="95"/>
      <c r="F658" s="95"/>
      <c r="G658" s="95"/>
      <c r="H658" s="95"/>
      <c r="I658" s="95"/>
      <c r="J658" s="95"/>
      <c r="K658" s="95"/>
      <c r="L658" s="95"/>
      <c r="M658" s="95"/>
      <c r="N658" s="95"/>
      <c r="O658" s="95"/>
      <c r="P658" s="95"/>
      <c r="Q658" s="95"/>
      <c r="R658" s="95"/>
      <c r="S658" s="95"/>
      <c r="T658" s="95"/>
    </row>
    <row r="659" spans="1:20" ht="12.75" customHeight="1" x14ac:dyDescent="0.3">
      <c r="A659" s="95"/>
      <c r="B659" s="95"/>
      <c r="C659" s="97"/>
      <c r="D659" s="95"/>
      <c r="E659" s="95"/>
      <c r="F659" s="95"/>
      <c r="G659" s="95"/>
      <c r="H659" s="95"/>
      <c r="I659" s="95"/>
      <c r="J659" s="95"/>
      <c r="K659" s="95"/>
      <c r="L659" s="95"/>
      <c r="M659" s="95"/>
      <c r="N659" s="95"/>
      <c r="O659" s="95"/>
      <c r="P659" s="95"/>
      <c r="Q659" s="95"/>
      <c r="R659" s="95"/>
      <c r="S659" s="95"/>
      <c r="T659" s="95"/>
    </row>
    <row r="660" spans="1:20" ht="12.75" customHeight="1" x14ac:dyDescent="0.3">
      <c r="A660" s="95"/>
      <c r="B660" s="95"/>
      <c r="C660" s="97"/>
      <c r="D660" s="95"/>
      <c r="E660" s="95"/>
      <c r="F660" s="95"/>
      <c r="G660" s="95"/>
      <c r="H660" s="95"/>
      <c r="I660" s="95"/>
      <c r="J660" s="95"/>
      <c r="K660" s="95"/>
      <c r="L660" s="95"/>
      <c r="M660" s="95"/>
      <c r="N660" s="95"/>
      <c r="O660" s="95"/>
      <c r="P660" s="95"/>
      <c r="Q660" s="95"/>
      <c r="R660" s="95"/>
      <c r="S660" s="95"/>
      <c r="T660" s="95"/>
    </row>
    <row r="661" spans="1:20" ht="12.75" customHeight="1" x14ac:dyDescent="0.3">
      <c r="A661" s="95"/>
      <c r="B661" s="95"/>
      <c r="C661" s="97"/>
      <c r="D661" s="95"/>
      <c r="E661" s="95"/>
      <c r="F661" s="95"/>
      <c r="G661" s="95"/>
      <c r="H661" s="95"/>
      <c r="I661" s="95"/>
      <c r="J661" s="95"/>
      <c r="K661" s="95"/>
      <c r="L661" s="95"/>
      <c r="M661" s="95"/>
      <c r="N661" s="95"/>
      <c r="O661" s="95"/>
      <c r="P661" s="95"/>
      <c r="Q661" s="95"/>
      <c r="R661" s="95"/>
      <c r="S661" s="95"/>
      <c r="T661" s="95"/>
    </row>
    <row r="662" spans="1:20" ht="12.75" customHeight="1" x14ac:dyDescent="0.3">
      <c r="A662" s="95"/>
      <c r="B662" s="95"/>
      <c r="C662" s="97"/>
      <c r="D662" s="95"/>
      <c r="E662" s="95"/>
      <c r="F662" s="95"/>
      <c r="G662" s="95"/>
      <c r="H662" s="95"/>
      <c r="I662" s="95"/>
      <c r="J662" s="95"/>
      <c r="K662" s="95"/>
      <c r="L662" s="95"/>
      <c r="M662" s="95"/>
      <c r="N662" s="95"/>
      <c r="O662" s="95"/>
      <c r="P662" s="95"/>
      <c r="Q662" s="95"/>
      <c r="R662" s="95"/>
      <c r="S662" s="95"/>
      <c r="T662" s="95"/>
    </row>
    <row r="663" spans="1:20" ht="12.75" customHeight="1" x14ac:dyDescent="0.3">
      <c r="A663" s="95"/>
      <c r="B663" s="95"/>
      <c r="C663" s="97"/>
      <c r="D663" s="95"/>
      <c r="E663" s="95"/>
      <c r="F663" s="95"/>
      <c r="G663" s="95"/>
      <c r="H663" s="95"/>
      <c r="I663" s="95"/>
      <c r="J663" s="95"/>
      <c r="K663" s="95"/>
      <c r="L663" s="95"/>
      <c r="M663" s="95"/>
      <c r="N663" s="95"/>
      <c r="O663" s="95"/>
      <c r="P663" s="95"/>
      <c r="Q663" s="95"/>
      <c r="R663" s="95"/>
      <c r="S663" s="95"/>
      <c r="T663" s="95"/>
    </row>
    <row r="664" spans="1:20" ht="12.75" customHeight="1" x14ac:dyDescent="0.3">
      <c r="A664" s="95"/>
      <c r="B664" s="95"/>
      <c r="C664" s="97"/>
      <c r="D664" s="95"/>
      <c r="E664" s="95"/>
      <c r="F664" s="95"/>
      <c r="G664" s="95"/>
      <c r="H664" s="95"/>
      <c r="I664" s="95"/>
      <c r="J664" s="95"/>
      <c r="K664" s="95"/>
      <c r="L664" s="95"/>
      <c r="M664" s="95"/>
      <c r="N664" s="95"/>
      <c r="O664" s="95"/>
      <c r="P664" s="95"/>
      <c r="Q664" s="95"/>
      <c r="R664" s="95"/>
      <c r="S664" s="95"/>
      <c r="T664" s="95"/>
    </row>
    <row r="665" spans="1:20" ht="12.75" customHeight="1" x14ac:dyDescent="0.3">
      <c r="A665" s="95"/>
      <c r="B665" s="95"/>
      <c r="C665" s="97"/>
      <c r="D665" s="95"/>
      <c r="E665" s="95"/>
      <c r="F665" s="95"/>
      <c r="G665" s="95"/>
      <c r="H665" s="95"/>
      <c r="I665" s="95"/>
      <c r="J665" s="95"/>
      <c r="K665" s="95"/>
      <c r="L665" s="95"/>
      <c r="M665" s="95"/>
      <c r="N665" s="95"/>
      <c r="O665" s="95"/>
      <c r="P665" s="95"/>
      <c r="Q665" s="95"/>
      <c r="R665" s="95"/>
      <c r="S665" s="95"/>
      <c r="T665" s="95"/>
    </row>
    <row r="666" spans="1:20" ht="12.75" customHeight="1" x14ac:dyDescent="0.3">
      <c r="A666" s="95"/>
      <c r="B666" s="95"/>
      <c r="C666" s="97"/>
      <c r="D666" s="95"/>
      <c r="E666" s="95"/>
      <c r="F666" s="95"/>
      <c r="G666" s="95"/>
      <c r="H666" s="95"/>
      <c r="I666" s="95"/>
      <c r="J666" s="95"/>
      <c r="K666" s="95"/>
      <c r="L666" s="95"/>
      <c r="M666" s="95"/>
      <c r="N666" s="95"/>
      <c r="O666" s="95"/>
      <c r="P666" s="95"/>
      <c r="Q666" s="95"/>
      <c r="R666" s="95"/>
      <c r="S666" s="95"/>
      <c r="T666" s="95"/>
    </row>
    <row r="667" spans="1:20" ht="12.75" customHeight="1" x14ac:dyDescent="0.3">
      <c r="A667" s="95"/>
      <c r="B667" s="95"/>
      <c r="C667" s="97"/>
      <c r="D667" s="95"/>
      <c r="E667" s="95"/>
      <c r="F667" s="95"/>
      <c r="G667" s="95"/>
      <c r="H667" s="95"/>
      <c r="I667" s="95"/>
      <c r="J667" s="95"/>
      <c r="K667" s="95"/>
      <c r="L667" s="95"/>
      <c r="M667" s="95"/>
      <c r="N667" s="95"/>
      <c r="O667" s="95"/>
      <c r="P667" s="95"/>
      <c r="Q667" s="95"/>
      <c r="R667" s="95"/>
      <c r="S667" s="95"/>
      <c r="T667" s="95"/>
    </row>
    <row r="668" spans="1:20" ht="12.75" customHeight="1" x14ac:dyDescent="0.3">
      <c r="A668" s="95"/>
      <c r="B668" s="95"/>
      <c r="C668" s="97"/>
      <c r="D668" s="95"/>
      <c r="E668" s="95"/>
      <c r="F668" s="95"/>
      <c r="G668" s="95"/>
      <c r="H668" s="95"/>
      <c r="I668" s="95"/>
      <c r="J668" s="95"/>
      <c r="K668" s="95"/>
      <c r="L668" s="95"/>
      <c r="M668" s="95"/>
      <c r="N668" s="95"/>
      <c r="O668" s="95"/>
      <c r="P668" s="95"/>
      <c r="Q668" s="95"/>
      <c r="R668" s="95"/>
      <c r="S668" s="95"/>
      <c r="T668" s="95"/>
    </row>
    <row r="669" spans="1:20" ht="12.75" customHeight="1" x14ac:dyDescent="0.3">
      <c r="A669" s="95"/>
      <c r="B669" s="95"/>
      <c r="C669" s="97"/>
      <c r="D669" s="95"/>
      <c r="E669" s="95"/>
      <c r="F669" s="95"/>
      <c r="G669" s="95"/>
      <c r="H669" s="95"/>
      <c r="I669" s="95"/>
      <c r="J669" s="95"/>
      <c r="K669" s="95"/>
      <c r="L669" s="95"/>
      <c r="M669" s="95"/>
      <c r="N669" s="95"/>
      <c r="O669" s="95"/>
      <c r="P669" s="95"/>
      <c r="Q669" s="95"/>
      <c r="R669" s="95"/>
      <c r="S669" s="95"/>
      <c r="T669" s="95"/>
    </row>
    <row r="670" spans="1:20" ht="12.75" customHeight="1" x14ac:dyDescent="0.3">
      <c r="A670" s="95"/>
      <c r="B670" s="95"/>
      <c r="C670" s="97"/>
      <c r="D670" s="95"/>
      <c r="E670" s="95"/>
      <c r="F670" s="95"/>
      <c r="G670" s="95"/>
      <c r="H670" s="95"/>
      <c r="I670" s="95"/>
      <c r="J670" s="95"/>
      <c r="K670" s="95"/>
      <c r="L670" s="95"/>
      <c r="M670" s="95"/>
      <c r="N670" s="95"/>
      <c r="O670" s="95"/>
      <c r="P670" s="95"/>
      <c r="Q670" s="95"/>
      <c r="R670" s="95"/>
      <c r="S670" s="95"/>
      <c r="T670" s="95"/>
    </row>
    <row r="671" spans="1:20" ht="12.75" customHeight="1" x14ac:dyDescent="0.3">
      <c r="A671" s="95"/>
      <c r="B671" s="95"/>
      <c r="C671" s="97"/>
      <c r="D671" s="95"/>
      <c r="E671" s="95"/>
      <c r="F671" s="95"/>
      <c r="G671" s="95"/>
      <c r="H671" s="95"/>
      <c r="I671" s="95"/>
      <c r="J671" s="95"/>
      <c r="K671" s="95"/>
      <c r="L671" s="95"/>
      <c r="M671" s="95"/>
      <c r="N671" s="95"/>
      <c r="O671" s="95"/>
      <c r="P671" s="95"/>
      <c r="Q671" s="95"/>
      <c r="R671" s="95"/>
      <c r="S671" s="95"/>
      <c r="T671" s="95"/>
    </row>
    <row r="672" spans="1:20" ht="12.75" customHeight="1" x14ac:dyDescent="0.3">
      <c r="A672" s="95"/>
      <c r="B672" s="95"/>
      <c r="C672" s="97"/>
      <c r="D672" s="95"/>
      <c r="E672" s="95"/>
      <c r="F672" s="95"/>
      <c r="G672" s="95"/>
      <c r="H672" s="95"/>
      <c r="I672" s="95"/>
      <c r="J672" s="95"/>
      <c r="K672" s="95"/>
      <c r="L672" s="95"/>
      <c r="M672" s="95"/>
      <c r="N672" s="95"/>
      <c r="O672" s="95"/>
      <c r="P672" s="95"/>
      <c r="Q672" s="95"/>
      <c r="R672" s="95"/>
      <c r="S672" s="95"/>
      <c r="T672" s="95"/>
    </row>
    <row r="673" spans="1:20" ht="12.75" customHeight="1" x14ac:dyDescent="0.3">
      <c r="A673" s="95"/>
      <c r="B673" s="95"/>
      <c r="C673" s="97"/>
      <c r="D673" s="95"/>
      <c r="E673" s="95"/>
      <c r="F673" s="95"/>
      <c r="G673" s="95"/>
      <c r="H673" s="95"/>
      <c r="I673" s="95"/>
      <c r="J673" s="95"/>
      <c r="K673" s="95"/>
      <c r="L673" s="95"/>
      <c r="M673" s="95"/>
      <c r="N673" s="95"/>
      <c r="O673" s="95"/>
      <c r="P673" s="95"/>
      <c r="Q673" s="95"/>
      <c r="R673" s="95"/>
      <c r="S673" s="95"/>
      <c r="T673" s="95"/>
    </row>
    <row r="674" spans="1:20" ht="12.75" customHeight="1" x14ac:dyDescent="0.3">
      <c r="A674" s="95"/>
      <c r="B674" s="95"/>
      <c r="C674" s="97"/>
      <c r="D674" s="95"/>
      <c r="E674" s="95"/>
      <c r="F674" s="95"/>
      <c r="G674" s="95"/>
      <c r="H674" s="95"/>
      <c r="I674" s="95"/>
      <c r="J674" s="95"/>
      <c r="K674" s="95"/>
      <c r="L674" s="95"/>
      <c r="M674" s="95"/>
      <c r="N674" s="95"/>
      <c r="O674" s="95"/>
      <c r="P674" s="95"/>
      <c r="Q674" s="95"/>
      <c r="R674" s="95"/>
      <c r="S674" s="95"/>
      <c r="T674" s="95"/>
    </row>
    <row r="675" spans="1:20" ht="12.75" customHeight="1" x14ac:dyDescent="0.3">
      <c r="A675" s="95"/>
      <c r="B675" s="95"/>
      <c r="C675" s="97"/>
      <c r="D675" s="95"/>
      <c r="E675" s="95"/>
      <c r="F675" s="95"/>
      <c r="G675" s="95"/>
      <c r="H675" s="95"/>
      <c r="I675" s="95"/>
      <c r="J675" s="95"/>
      <c r="K675" s="95"/>
      <c r="L675" s="95"/>
      <c r="M675" s="95"/>
      <c r="N675" s="95"/>
      <c r="O675" s="95"/>
      <c r="P675" s="95"/>
      <c r="Q675" s="95"/>
      <c r="R675" s="95"/>
      <c r="S675" s="95"/>
      <c r="T675" s="95"/>
    </row>
    <row r="676" spans="1:20" ht="12.75" customHeight="1" x14ac:dyDescent="0.3">
      <c r="A676" s="95"/>
      <c r="B676" s="95"/>
      <c r="C676" s="97"/>
      <c r="D676" s="95"/>
      <c r="E676" s="95"/>
      <c r="F676" s="95"/>
      <c r="G676" s="95"/>
      <c r="H676" s="95"/>
      <c r="I676" s="95"/>
      <c r="J676" s="95"/>
      <c r="K676" s="95"/>
      <c r="L676" s="95"/>
      <c r="M676" s="95"/>
      <c r="N676" s="95"/>
      <c r="O676" s="95"/>
      <c r="P676" s="95"/>
      <c r="Q676" s="95"/>
      <c r="R676" s="95"/>
      <c r="S676" s="95"/>
      <c r="T676" s="95"/>
    </row>
    <row r="677" spans="1:20" ht="12.75" customHeight="1" x14ac:dyDescent="0.3">
      <c r="A677" s="95"/>
      <c r="B677" s="95"/>
      <c r="C677" s="97"/>
      <c r="D677" s="95"/>
      <c r="E677" s="95"/>
      <c r="F677" s="95"/>
      <c r="G677" s="95"/>
      <c r="H677" s="95"/>
      <c r="I677" s="95"/>
      <c r="J677" s="95"/>
      <c r="K677" s="95"/>
      <c r="L677" s="95"/>
      <c r="M677" s="95"/>
      <c r="N677" s="95"/>
      <c r="O677" s="95"/>
      <c r="P677" s="95"/>
      <c r="Q677" s="95"/>
      <c r="R677" s="95"/>
      <c r="S677" s="95"/>
      <c r="T677" s="95"/>
    </row>
    <row r="678" spans="1:20" ht="12.75" customHeight="1" x14ac:dyDescent="0.3">
      <c r="A678" s="95"/>
      <c r="B678" s="95"/>
      <c r="C678" s="97"/>
      <c r="D678" s="95"/>
      <c r="E678" s="95"/>
      <c r="F678" s="95"/>
      <c r="G678" s="95"/>
      <c r="H678" s="95"/>
      <c r="I678" s="95"/>
      <c r="J678" s="95"/>
      <c r="K678" s="95"/>
      <c r="L678" s="95"/>
      <c r="M678" s="95"/>
      <c r="N678" s="95"/>
      <c r="O678" s="95"/>
      <c r="P678" s="95"/>
      <c r="Q678" s="95"/>
      <c r="R678" s="95"/>
      <c r="S678" s="95"/>
      <c r="T678" s="95"/>
    </row>
    <row r="679" spans="1:20" ht="12.75" customHeight="1" x14ac:dyDescent="0.3">
      <c r="A679" s="95"/>
      <c r="B679" s="95"/>
      <c r="C679" s="97"/>
      <c r="D679" s="95"/>
      <c r="E679" s="95"/>
      <c r="F679" s="95"/>
      <c r="G679" s="95"/>
      <c r="H679" s="95"/>
      <c r="I679" s="95"/>
      <c r="J679" s="95"/>
      <c r="K679" s="95"/>
      <c r="L679" s="95"/>
      <c r="M679" s="95"/>
      <c r="N679" s="95"/>
      <c r="O679" s="95"/>
      <c r="P679" s="95"/>
      <c r="Q679" s="95"/>
      <c r="R679" s="95"/>
      <c r="S679" s="95"/>
      <c r="T679" s="95"/>
    </row>
    <row r="680" spans="1:20" ht="12.75" customHeight="1" x14ac:dyDescent="0.3">
      <c r="A680" s="95"/>
      <c r="B680" s="95"/>
      <c r="C680" s="97"/>
      <c r="D680" s="95"/>
      <c r="E680" s="95"/>
      <c r="F680" s="95"/>
      <c r="G680" s="95"/>
      <c r="H680" s="95"/>
      <c r="I680" s="95"/>
      <c r="J680" s="95"/>
      <c r="K680" s="95"/>
      <c r="L680" s="95"/>
      <c r="M680" s="95"/>
      <c r="N680" s="95"/>
      <c r="O680" s="95"/>
      <c r="P680" s="95"/>
      <c r="Q680" s="95"/>
      <c r="R680" s="95"/>
      <c r="S680" s="95"/>
      <c r="T680" s="95"/>
    </row>
    <row r="681" spans="1:20" ht="12.75" customHeight="1" x14ac:dyDescent="0.3">
      <c r="A681" s="95"/>
      <c r="B681" s="95"/>
      <c r="C681" s="97"/>
      <c r="D681" s="95"/>
      <c r="E681" s="9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  <c r="Q681" s="95"/>
      <c r="R681" s="95"/>
      <c r="S681" s="95"/>
      <c r="T681" s="95"/>
    </row>
    <row r="682" spans="1:20" ht="12.75" customHeight="1" x14ac:dyDescent="0.3">
      <c r="A682" s="95"/>
      <c r="B682" s="95"/>
      <c r="C682" s="97"/>
      <c r="D682" s="95"/>
      <c r="E682" s="9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  <c r="Q682" s="95"/>
      <c r="R682" s="95"/>
      <c r="S682" s="95"/>
      <c r="T682" s="95"/>
    </row>
    <row r="683" spans="1:20" ht="12.75" customHeight="1" x14ac:dyDescent="0.3">
      <c r="A683" s="95"/>
      <c r="B683" s="95"/>
      <c r="C683" s="97"/>
      <c r="D683" s="95"/>
      <c r="E683" s="95"/>
      <c r="F683" s="95"/>
      <c r="G683" s="95"/>
      <c r="H683" s="95"/>
      <c r="I683" s="95"/>
      <c r="J683" s="95"/>
      <c r="K683" s="95"/>
      <c r="L683" s="95"/>
      <c r="M683" s="95"/>
      <c r="N683" s="95"/>
      <c r="O683" s="95"/>
      <c r="P683" s="95"/>
      <c r="Q683" s="95"/>
      <c r="R683" s="95"/>
      <c r="S683" s="95"/>
      <c r="T683" s="95"/>
    </row>
    <row r="684" spans="1:20" ht="12.75" customHeight="1" x14ac:dyDescent="0.3">
      <c r="A684" s="95"/>
      <c r="B684" s="95"/>
      <c r="C684" s="97"/>
      <c r="D684" s="95"/>
      <c r="E684" s="95"/>
      <c r="F684" s="95"/>
      <c r="G684" s="95"/>
      <c r="H684" s="95"/>
      <c r="I684" s="95"/>
      <c r="J684" s="95"/>
      <c r="K684" s="95"/>
      <c r="L684" s="95"/>
      <c r="M684" s="95"/>
      <c r="N684" s="95"/>
      <c r="O684" s="95"/>
      <c r="P684" s="95"/>
      <c r="Q684" s="95"/>
      <c r="R684" s="95"/>
      <c r="S684" s="95"/>
      <c r="T684" s="95"/>
    </row>
    <row r="685" spans="1:20" ht="12.75" customHeight="1" x14ac:dyDescent="0.3">
      <c r="A685" s="95"/>
      <c r="B685" s="95"/>
      <c r="C685" s="97"/>
      <c r="D685" s="95"/>
      <c r="E685" s="95"/>
      <c r="F685" s="95"/>
      <c r="G685" s="95"/>
      <c r="H685" s="95"/>
      <c r="I685" s="95"/>
      <c r="J685" s="95"/>
      <c r="K685" s="95"/>
      <c r="L685" s="95"/>
      <c r="M685" s="95"/>
      <c r="N685" s="95"/>
      <c r="O685" s="95"/>
      <c r="P685" s="95"/>
      <c r="Q685" s="95"/>
      <c r="R685" s="95"/>
      <c r="S685" s="95"/>
      <c r="T685" s="95"/>
    </row>
    <row r="686" spans="1:20" ht="12.75" customHeight="1" x14ac:dyDescent="0.3">
      <c r="A686" s="95"/>
      <c r="B686" s="95"/>
      <c r="C686" s="97"/>
      <c r="D686" s="95"/>
      <c r="E686" s="95"/>
      <c r="F686" s="95"/>
      <c r="G686" s="95"/>
      <c r="H686" s="95"/>
      <c r="I686" s="95"/>
      <c r="J686" s="95"/>
      <c r="K686" s="95"/>
      <c r="L686" s="95"/>
      <c r="M686" s="95"/>
      <c r="N686" s="95"/>
      <c r="O686" s="95"/>
      <c r="P686" s="95"/>
      <c r="Q686" s="95"/>
      <c r="R686" s="95"/>
      <c r="S686" s="95"/>
      <c r="T686" s="95"/>
    </row>
    <row r="687" spans="1:20" ht="12.75" customHeight="1" x14ac:dyDescent="0.3">
      <c r="A687" s="95"/>
      <c r="B687" s="95"/>
      <c r="C687" s="97"/>
      <c r="D687" s="95"/>
      <c r="E687" s="95"/>
      <c r="F687" s="95"/>
      <c r="G687" s="95"/>
      <c r="H687" s="95"/>
      <c r="I687" s="95"/>
      <c r="J687" s="95"/>
      <c r="K687" s="95"/>
      <c r="L687" s="95"/>
      <c r="M687" s="95"/>
      <c r="N687" s="95"/>
      <c r="O687" s="95"/>
      <c r="P687" s="95"/>
      <c r="Q687" s="95"/>
      <c r="R687" s="95"/>
      <c r="S687" s="95"/>
      <c r="T687" s="95"/>
    </row>
    <row r="688" spans="1:20" ht="12.75" customHeight="1" x14ac:dyDescent="0.3">
      <c r="A688" s="95"/>
      <c r="B688" s="95"/>
      <c r="C688" s="97"/>
      <c r="D688" s="95"/>
      <c r="E688" s="95"/>
      <c r="F688" s="95"/>
      <c r="G688" s="95"/>
      <c r="H688" s="95"/>
      <c r="I688" s="95"/>
      <c r="J688" s="95"/>
      <c r="K688" s="95"/>
      <c r="L688" s="95"/>
      <c r="M688" s="95"/>
      <c r="N688" s="95"/>
      <c r="O688" s="95"/>
      <c r="P688" s="95"/>
      <c r="Q688" s="95"/>
      <c r="R688" s="95"/>
      <c r="S688" s="95"/>
      <c r="T688" s="95"/>
    </row>
    <row r="689" spans="1:20" ht="12.75" customHeight="1" x14ac:dyDescent="0.3">
      <c r="A689" s="95"/>
      <c r="B689" s="95"/>
      <c r="C689" s="97"/>
      <c r="D689" s="95"/>
      <c r="E689" s="95"/>
      <c r="F689" s="95"/>
      <c r="G689" s="95"/>
      <c r="H689" s="95"/>
      <c r="I689" s="95"/>
      <c r="J689" s="95"/>
      <c r="K689" s="95"/>
      <c r="L689" s="95"/>
      <c r="M689" s="95"/>
      <c r="N689" s="95"/>
      <c r="O689" s="95"/>
      <c r="P689" s="95"/>
      <c r="Q689" s="95"/>
      <c r="R689" s="95"/>
      <c r="S689" s="95"/>
      <c r="T689" s="95"/>
    </row>
    <row r="690" spans="1:20" ht="12.75" customHeight="1" x14ac:dyDescent="0.3">
      <c r="A690" s="95"/>
      <c r="B690" s="95"/>
      <c r="C690" s="97"/>
      <c r="D690" s="95"/>
      <c r="E690" s="95"/>
      <c r="F690" s="95"/>
      <c r="G690" s="95"/>
      <c r="H690" s="95"/>
      <c r="I690" s="95"/>
      <c r="J690" s="95"/>
      <c r="K690" s="95"/>
      <c r="L690" s="95"/>
      <c r="M690" s="95"/>
      <c r="N690" s="95"/>
      <c r="O690" s="95"/>
      <c r="P690" s="95"/>
      <c r="Q690" s="95"/>
      <c r="R690" s="95"/>
      <c r="S690" s="95"/>
      <c r="T690" s="95"/>
    </row>
    <row r="691" spans="1:20" ht="12.75" customHeight="1" x14ac:dyDescent="0.3">
      <c r="A691" s="95"/>
      <c r="B691" s="95"/>
      <c r="C691" s="97"/>
      <c r="D691" s="95"/>
      <c r="E691" s="95"/>
      <c r="F691" s="95"/>
      <c r="G691" s="95"/>
      <c r="H691" s="95"/>
      <c r="I691" s="95"/>
      <c r="J691" s="95"/>
      <c r="K691" s="95"/>
      <c r="L691" s="95"/>
      <c r="M691" s="95"/>
      <c r="N691" s="95"/>
      <c r="O691" s="95"/>
      <c r="P691" s="95"/>
      <c r="Q691" s="95"/>
      <c r="R691" s="95"/>
      <c r="S691" s="95"/>
      <c r="T691" s="95"/>
    </row>
    <row r="692" spans="1:20" ht="12.75" customHeight="1" x14ac:dyDescent="0.3">
      <c r="A692" s="95"/>
      <c r="B692" s="95"/>
      <c r="C692" s="97"/>
      <c r="D692" s="95"/>
      <c r="E692" s="95"/>
      <c r="F692" s="95"/>
      <c r="G692" s="95"/>
      <c r="H692" s="95"/>
      <c r="I692" s="95"/>
      <c r="J692" s="95"/>
      <c r="K692" s="95"/>
      <c r="L692" s="95"/>
      <c r="M692" s="95"/>
      <c r="N692" s="95"/>
      <c r="O692" s="95"/>
      <c r="P692" s="95"/>
      <c r="Q692" s="95"/>
      <c r="R692" s="95"/>
      <c r="S692" s="95"/>
      <c r="T692" s="95"/>
    </row>
    <row r="693" spans="1:20" ht="12.75" customHeight="1" x14ac:dyDescent="0.3">
      <c r="A693" s="95"/>
      <c r="B693" s="95"/>
      <c r="C693" s="97"/>
      <c r="D693" s="95"/>
      <c r="E693" s="95"/>
      <c r="F693" s="95"/>
      <c r="G693" s="95"/>
      <c r="H693" s="95"/>
      <c r="I693" s="95"/>
      <c r="J693" s="95"/>
      <c r="K693" s="95"/>
      <c r="L693" s="95"/>
      <c r="M693" s="95"/>
      <c r="N693" s="95"/>
      <c r="O693" s="95"/>
      <c r="P693" s="95"/>
      <c r="Q693" s="95"/>
      <c r="R693" s="95"/>
      <c r="S693" s="95"/>
      <c r="T693" s="95"/>
    </row>
    <row r="694" spans="1:20" ht="12.75" customHeight="1" x14ac:dyDescent="0.3">
      <c r="A694" s="95"/>
      <c r="B694" s="95"/>
      <c r="C694" s="97"/>
      <c r="D694" s="95"/>
      <c r="E694" s="95"/>
      <c r="F694" s="95"/>
      <c r="G694" s="95"/>
      <c r="H694" s="95"/>
      <c r="I694" s="95"/>
      <c r="J694" s="95"/>
      <c r="K694" s="95"/>
      <c r="L694" s="95"/>
      <c r="M694" s="95"/>
      <c r="N694" s="95"/>
      <c r="O694" s="95"/>
      <c r="P694" s="95"/>
      <c r="Q694" s="95"/>
      <c r="R694" s="95"/>
      <c r="S694" s="95"/>
      <c r="T694" s="95"/>
    </row>
    <row r="695" spans="1:20" ht="12.75" customHeight="1" x14ac:dyDescent="0.3">
      <c r="A695" s="95"/>
      <c r="B695" s="95"/>
      <c r="C695" s="97"/>
      <c r="D695" s="95"/>
      <c r="E695" s="95"/>
      <c r="F695" s="95"/>
      <c r="G695" s="95"/>
      <c r="H695" s="95"/>
      <c r="I695" s="95"/>
      <c r="J695" s="95"/>
      <c r="K695" s="95"/>
      <c r="L695" s="95"/>
      <c r="M695" s="95"/>
      <c r="N695" s="95"/>
      <c r="O695" s="95"/>
      <c r="P695" s="95"/>
      <c r="Q695" s="95"/>
      <c r="R695" s="95"/>
      <c r="S695" s="95"/>
      <c r="T695" s="95"/>
    </row>
    <row r="696" spans="1:20" ht="12.75" customHeight="1" x14ac:dyDescent="0.3">
      <c r="A696" s="95"/>
      <c r="B696" s="95"/>
      <c r="C696" s="97"/>
      <c r="D696" s="95"/>
      <c r="E696" s="95"/>
      <c r="F696" s="95"/>
      <c r="G696" s="95"/>
      <c r="H696" s="95"/>
      <c r="I696" s="95"/>
      <c r="J696" s="95"/>
      <c r="K696" s="95"/>
      <c r="L696" s="95"/>
      <c r="M696" s="95"/>
      <c r="N696" s="95"/>
      <c r="O696" s="95"/>
      <c r="P696" s="95"/>
      <c r="Q696" s="95"/>
      <c r="R696" s="95"/>
      <c r="S696" s="95"/>
      <c r="T696" s="95"/>
    </row>
    <row r="697" spans="1:20" ht="12.75" customHeight="1" x14ac:dyDescent="0.3">
      <c r="A697" s="95"/>
      <c r="B697" s="95"/>
      <c r="C697" s="97"/>
      <c r="D697" s="95"/>
      <c r="E697" s="95"/>
      <c r="F697" s="95"/>
      <c r="G697" s="95"/>
      <c r="H697" s="95"/>
      <c r="I697" s="95"/>
      <c r="J697" s="95"/>
      <c r="K697" s="95"/>
      <c r="L697" s="95"/>
      <c r="M697" s="95"/>
      <c r="N697" s="95"/>
      <c r="O697" s="95"/>
      <c r="P697" s="95"/>
      <c r="Q697" s="95"/>
      <c r="R697" s="95"/>
      <c r="S697" s="95"/>
      <c r="T697" s="95"/>
    </row>
    <row r="698" spans="1:20" ht="12.75" customHeight="1" x14ac:dyDescent="0.3">
      <c r="A698" s="95"/>
      <c r="B698" s="95"/>
      <c r="C698" s="97"/>
      <c r="D698" s="95"/>
      <c r="E698" s="95"/>
      <c r="F698" s="95"/>
      <c r="G698" s="95"/>
      <c r="H698" s="95"/>
      <c r="I698" s="95"/>
      <c r="J698" s="95"/>
      <c r="K698" s="95"/>
      <c r="L698" s="95"/>
      <c r="M698" s="95"/>
      <c r="N698" s="95"/>
      <c r="O698" s="95"/>
      <c r="P698" s="95"/>
      <c r="Q698" s="95"/>
      <c r="R698" s="95"/>
      <c r="S698" s="95"/>
      <c r="T698" s="95"/>
    </row>
    <row r="699" spans="1:20" ht="12.75" customHeight="1" x14ac:dyDescent="0.3">
      <c r="A699" s="95"/>
      <c r="B699" s="95"/>
      <c r="C699" s="97"/>
      <c r="D699" s="95"/>
      <c r="E699" s="95"/>
      <c r="F699" s="95"/>
      <c r="G699" s="95"/>
      <c r="H699" s="95"/>
      <c r="I699" s="95"/>
      <c r="J699" s="95"/>
      <c r="K699" s="95"/>
      <c r="L699" s="95"/>
      <c r="M699" s="95"/>
      <c r="N699" s="95"/>
      <c r="O699" s="95"/>
      <c r="P699" s="95"/>
      <c r="Q699" s="95"/>
      <c r="R699" s="95"/>
      <c r="S699" s="95"/>
      <c r="T699" s="95"/>
    </row>
    <row r="700" spans="1:20" ht="12.75" customHeight="1" x14ac:dyDescent="0.3">
      <c r="A700" s="95"/>
      <c r="B700" s="95"/>
      <c r="C700" s="97"/>
      <c r="D700" s="95"/>
      <c r="E700" s="95"/>
      <c r="F700" s="95"/>
      <c r="G700" s="95"/>
      <c r="H700" s="95"/>
      <c r="I700" s="95"/>
      <c r="J700" s="95"/>
      <c r="K700" s="95"/>
      <c r="L700" s="95"/>
      <c r="M700" s="95"/>
      <c r="N700" s="95"/>
      <c r="O700" s="95"/>
      <c r="P700" s="95"/>
      <c r="Q700" s="95"/>
      <c r="R700" s="95"/>
      <c r="S700" s="95"/>
      <c r="T700" s="95"/>
    </row>
    <row r="701" spans="1:20" ht="12.75" customHeight="1" x14ac:dyDescent="0.3">
      <c r="A701" s="95"/>
      <c r="B701" s="95"/>
      <c r="C701" s="97"/>
      <c r="D701" s="95"/>
      <c r="E701" s="95"/>
      <c r="F701" s="95"/>
      <c r="G701" s="95"/>
      <c r="H701" s="95"/>
      <c r="I701" s="95"/>
      <c r="J701" s="95"/>
      <c r="K701" s="95"/>
      <c r="L701" s="95"/>
      <c r="M701" s="95"/>
      <c r="N701" s="95"/>
      <c r="O701" s="95"/>
      <c r="P701" s="95"/>
      <c r="Q701" s="95"/>
      <c r="R701" s="95"/>
      <c r="S701" s="95"/>
      <c r="T701" s="95"/>
    </row>
    <row r="702" spans="1:20" ht="12.75" customHeight="1" x14ac:dyDescent="0.3">
      <c r="A702" s="95"/>
      <c r="B702" s="95"/>
      <c r="C702" s="97"/>
      <c r="D702" s="95"/>
      <c r="E702" s="95"/>
      <c r="F702" s="95"/>
      <c r="G702" s="95"/>
      <c r="H702" s="95"/>
      <c r="I702" s="95"/>
      <c r="J702" s="95"/>
      <c r="K702" s="95"/>
      <c r="L702" s="95"/>
      <c r="M702" s="95"/>
      <c r="N702" s="95"/>
      <c r="O702" s="95"/>
      <c r="P702" s="95"/>
      <c r="Q702" s="95"/>
      <c r="R702" s="95"/>
      <c r="S702" s="95"/>
      <c r="T702" s="95"/>
    </row>
    <row r="703" spans="1:20" ht="12.75" customHeight="1" x14ac:dyDescent="0.3">
      <c r="A703" s="95"/>
      <c r="B703" s="95"/>
      <c r="C703" s="97"/>
      <c r="D703" s="95"/>
      <c r="E703" s="95"/>
      <c r="F703" s="95"/>
      <c r="G703" s="95"/>
      <c r="H703" s="95"/>
      <c r="I703" s="95"/>
      <c r="J703" s="95"/>
      <c r="K703" s="95"/>
      <c r="L703" s="95"/>
      <c r="M703" s="95"/>
      <c r="N703" s="95"/>
      <c r="O703" s="95"/>
      <c r="P703" s="95"/>
      <c r="Q703" s="95"/>
      <c r="R703" s="95"/>
      <c r="S703" s="95"/>
      <c r="T703" s="95"/>
    </row>
    <row r="704" spans="1:20" ht="12.75" customHeight="1" x14ac:dyDescent="0.3">
      <c r="A704" s="95"/>
      <c r="B704" s="95"/>
      <c r="C704" s="97"/>
      <c r="D704" s="95"/>
      <c r="E704" s="95"/>
      <c r="F704" s="95"/>
      <c r="G704" s="95"/>
      <c r="H704" s="95"/>
      <c r="I704" s="95"/>
      <c r="J704" s="95"/>
      <c r="K704" s="95"/>
      <c r="L704" s="95"/>
      <c r="M704" s="95"/>
      <c r="N704" s="95"/>
      <c r="O704" s="95"/>
      <c r="P704" s="95"/>
      <c r="Q704" s="95"/>
      <c r="R704" s="95"/>
      <c r="S704" s="95"/>
      <c r="T704" s="95"/>
    </row>
    <row r="705" spans="1:20" ht="12.75" customHeight="1" x14ac:dyDescent="0.3">
      <c r="A705" s="95"/>
      <c r="B705" s="95"/>
      <c r="C705" s="97"/>
      <c r="D705" s="95"/>
      <c r="E705" s="95"/>
      <c r="F705" s="95"/>
      <c r="G705" s="95"/>
      <c r="H705" s="95"/>
      <c r="I705" s="95"/>
      <c r="J705" s="95"/>
      <c r="K705" s="95"/>
      <c r="L705" s="95"/>
      <c r="M705" s="95"/>
      <c r="N705" s="95"/>
      <c r="O705" s="95"/>
      <c r="P705" s="95"/>
      <c r="Q705" s="95"/>
      <c r="R705" s="95"/>
      <c r="S705" s="95"/>
      <c r="T705" s="95"/>
    </row>
    <row r="706" spans="1:20" ht="12.75" customHeight="1" x14ac:dyDescent="0.3">
      <c r="A706" s="95"/>
      <c r="B706" s="95"/>
      <c r="C706" s="97"/>
      <c r="D706" s="95"/>
      <c r="E706" s="95"/>
      <c r="F706" s="95"/>
      <c r="G706" s="95"/>
      <c r="H706" s="95"/>
      <c r="I706" s="95"/>
      <c r="J706" s="95"/>
      <c r="K706" s="95"/>
      <c r="L706" s="95"/>
      <c r="M706" s="95"/>
      <c r="N706" s="95"/>
      <c r="O706" s="95"/>
      <c r="P706" s="95"/>
      <c r="Q706" s="95"/>
      <c r="R706" s="95"/>
      <c r="S706" s="95"/>
      <c r="T706" s="95"/>
    </row>
    <row r="707" spans="1:20" ht="12.75" customHeight="1" x14ac:dyDescent="0.3">
      <c r="A707" s="95"/>
      <c r="B707" s="95"/>
      <c r="C707" s="97"/>
      <c r="D707" s="95"/>
      <c r="E707" s="95"/>
      <c r="F707" s="95"/>
      <c r="G707" s="95"/>
      <c r="H707" s="95"/>
      <c r="I707" s="95"/>
      <c r="J707" s="95"/>
      <c r="K707" s="95"/>
      <c r="L707" s="95"/>
      <c r="M707" s="95"/>
      <c r="N707" s="95"/>
      <c r="O707" s="95"/>
      <c r="P707" s="95"/>
      <c r="Q707" s="95"/>
      <c r="R707" s="95"/>
      <c r="S707" s="95"/>
      <c r="T707" s="95"/>
    </row>
    <row r="708" spans="1:20" ht="12.75" customHeight="1" x14ac:dyDescent="0.3">
      <c r="A708" s="95"/>
      <c r="B708" s="95"/>
      <c r="C708" s="97"/>
      <c r="D708" s="95"/>
      <c r="E708" s="95"/>
      <c r="F708" s="95"/>
      <c r="G708" s="95"/>
      <c r="H708" s="95"/>
      <c r="I708" s="95"/>
      <c r="J708" s="95"/>
      <c r="K708" s="95"/>
      <c r="L708" s="95"/>
      <c r="M708" s="95"/>
      <c r="N708" s="95"/>
      <c r="O708" s="95"/>
      <c r="P708" s="95"/>
      <c r="Q708" s="95"/>
      <c r="R708" s="95"/>
      <c r="S708" s="95"/>
      <c r="T708" s="95"/>
    </row>
    <row r="709" spans="1:20" ht="12.75" customHeight="1" x14ac:dyDescent="0.3">
      <c r="A709" s="95"/>
      <c r="B709" s="95"/>
      <c r="C709" s="97"/>
      <c r="D709" s="95"/>
      <c r="E709" s="95"/>
      <c r="F709" s="95"/>
      <c r="G709" s="95"/>
      <c r="H709" s="95"/>
      <c r="I709" s="95"/>
      <c r="J709" s="95"/>
      <c r="K709" s="95"/>
      <c r="L709" s="95"/>
      <c r="M709" s="95"/>
      <c r="N709" s="95"/>
      <c r="O709" s="95"/>
      <c r="P709" s="95"/>
      <c r="Q709" s="95"/>
      <c r="R709" s="95"/>
      <c r="S709" s="95"/>
      <c r="T709" s="95"/>
    </row>
    <row r="710" spans="1:20" ht="12.75" customHeight="1" x14ac:dyDescent="0.3">
      <c r="A710" s="95"/>
      <c r="B710" s="95"/>
      <c r="C710" s="97"/>
      <c r="D710" s="95"/>
      <c r="E710" s="95"/>
      <c r="F710" s="95"/>
      <c r="G710" s="95"/>
      <c r="H710" s="95"/>
      <c r="I710" s="95"/>
      <c r="J710" s="95"/>
      <c r="K710" s="95"/>
      <c r="L710" s="95"/>
      <c r="M710" s="95"/>
      <c r="N710" s="95"/>
      <c r="O710" s="95"/>
      <c r="P710" s="95"/>
      <c r="Q710" s="95"/>
      <c r="R710" s="95"/>
      <c r="S710" s="95"/>
      <c r="T710" s="95"/>
    </row>
    <row r="711" spans="1:20" ht="12.75" customHeight="1" x14ac:dyDescent="0.3">
      <c r="A711" s="95"/>
      <c r="B711" s="95"/>
      <c r="C711" s="97"/>
      <c r="D711" s="95"/>
      <c r="E711" s="95"/>
      <c r="F711" s="95"/>
      <c r="G711" s="95"/>
      <c r="H711" s="95"/>
      <c r="I711" s="95"/>
      <c r="J711" s="95"/>
      <c r="K711" s="95"/>
      <c r="L711" s="95"/>
      <c r="M711" s="95"/>
      <c r="N711" s="95"/>
      <c r="O711" s="95"/>
      <c r="P711" s="95"/>
      <c r="Q711" s="95"/>
      <c r="R711" s="95"/>
      <c r="S711" s="95"/>
      <c r="T711" s="95"/>
    </row>
    <row r="712" spans="1:20" ht="12.75" customHeight="1" x14ac:dyDescent="0.3">
      <c r="A712" s="95"/>
      <c r="B712" s="95"/>
      <c r="C712" s="97"/>
      <c r="D712" s="95"/>
      <c r="E712" s="95"/>
      <c r="F712" s="95"/>
      <c r="G712" s="95"/>
      <c r="H712" s="95"/>
      <c r="I712" s="95"/>
      <c r="J712" s="95"/>
      <c r="K712" s="95"/>
      <c r="L712" s="95"/>
      <c r="M712" s="95"/>
      <c r="N712" s="95"/>
      <c r="O712" s="95"/>
      <c r="P712" s="95"/>
      <c r="Q712" s="95"/>
      <c r="R712" s="95"/>
      <c r="S712" s="95"/>
      <c r="T712" s="95"/>
    </row>
    <row r="713" spans="1:20" ht="12.75" customHeight="1" x14ac:dyDescent="0.3">
      <c r="A713" s="95"/>
      <c r="B713" s="95"/>
      <c r="C713" s="97"/>
      <c r="D713" s="95"/>
      <c r="E713" s="95"/>
      <c r="F713" s="95"/>
      <c r="G713" s="95"/>
      <c r="H713" s="95"/>
      <c r="I713" s="95"/>
      <c r="J713" s="95"/>
      <c r="K713" s="95"/>
      <c r="L713" s="95"/>
      <c r="M713" s="95"/>
      <c r="N713" s="95"/>
      <c r="O713" s="95"/>
      <c r="P713" s="95"/>
      <c r="Q713" s="95"/>
      <c r="R713" s="95"/>
      <c r="S713" s="95"/>
      <c r="T713" s="95"/>
    </row>
    <row r="714" spans="1:20" ht="12.75" customHeight="1" x14ac:dyDescent="0.3">
      <c r="A714" s="95"/>
      <c r="B714" s="95"/>
      <c r="C714" s="97"/>
      <c r="D714" s="95"/>
      <c r="E714" s="95"/>
      <c r="F714" s="95"/>
      <c r="G714" s="95"/>
      <c r="H714" s="95"/>
      <c r="I714" s="95"/>
      <c r="J714" s="95"/>
      <c r="K714" s="95"/>
      <c r="L714" s="95"/>
      <c r="M714" s="95"/>
      <c r="N714" s="95"/>
      <c r="O714" s="95"/>
      <c r="P714" s="95"/>
      <c r="Q714" s="95"/>
      <c r="R714" s="95"/>
      <c r="S714" s="95"/>
      <c r="T714" s="95"/>
    </row>
    <row r="715" spans="1:20" ht="12.75" customHeight="1" x14ac:dyDescent="0.3">
      <c r="A715" s="95"/>
      <c r="B715" s="95"/>
      <c r="C715" s="97"/>
      <c r="D715" s="95"/>
      <c r="E715" s="95"/>
      <c r="F715" s="95"/>
      <c r="G715" s="95"/>
      <c r="H715" s="95"/>
      <c r="I715" s="95"/>
      <c r="J715" s="95"/>
      <c r="K715" s="95"/>
      <c r="L715" s="95"/>
      <c r="M715" s="95"/>
      <c r="N715" s="95"/>
      <c r="O715" s="95"/>
      <c r="P715" s="95"/>
      <c r="Q715" s="95"/>
      <c r="R715" s="95"/>
      <c r="S715" s="95"/>
      <c r="T715" s="95"/>
    </row>
    <row r="716" spans="1:20" ht="12.75" customHeight="1" x14ac:dyDescent="0.3">
      <c r="A716" s="95"/>
      <c r="B716" s="95"/>
      <c r="C716" s="97"/>
      <c r="D716" s="95"/>
      <c r="E716" s="95"/>
      <c r="F716" s="95"/>
      <c r="G716" s="95"/>
      <c r="H716" s="95"/>
      <c r="I716" s="95"/>
      <c r="J716" s="95"/>
      <c r="K716" s="95"/>
      <c r="L716" s="95"/>
      <c r="M716" s="95"/>
      <c r="N716" s="95"/>
      <c r="O716" s="95"/>
      <c r="P716" s="95"/>
      <c r="Q716" s="95"/>
      <c r="R716" s="95"/>
      <c r="S716" s="95"/>
      <c r="T716" s="95"/>
    </row>
    <row r="717" spans="1:20" ht="12.75" customHeight="1" x14ac:dyDescent="0.3">
      <c r="A717" s="95"/>
      <c r="B717" s="95"/>
      <c r="C717" s="97"/>
      <c r="D717" s="95"/>
      <c r="E717" s="95"/>
      <c r="F717" s="95"/>
      <c r="G717" s="95"/>
      <c r="H717" s="95"/>
      <c r="I717" s="95"/>
      <c r="J717" s="95"/>
      <c r="K717" s="95"/>
      <c r="L717" s="95"/>
      <c r="M717" s="95"/>
      <c r="N717" s="95"/>
      <c r="O717" s="95"/>
      <c r="P717" s="95"/>
      <c r="Q717" s="95"/>
      <c r="R717" s="95"/>
      <c r="S717" s="95"/>
      <c r="T717" s="95"/>
    </row>
    <row r="718" spans="1:20" ht="12.75" customHeight="1" x14ac:dyDescent="0.3">
      <c r="A718" s="95"/>
      <c r="B718" s="95"/>
      <c r="C718" s="97"/>
      <c r="D718" s="95"/>
      <c r="E718" s="95"/>
      <c r="F718" s="95"/>
      <c r="G718" s="95"/>
      <c r="H718" s="95"/>
      <c r="I718" s="95"/>
      <c r="J718" s="95"/>
      <c r="K718" s="95"/>
      <c r="L718" s="95"/>
      <c r="M718" s="95"/>
      <c r="N718" s="95"/>
      <c r="O718" s="95"/>
      <c r="P718" s="95"/>
      <c r="Q718" s="95"/>
      <c r="R718" s="95"/>
      <c r="S718" s="95"/>
      <c r="T718" s="95"/>
    </row>
    <row r="719" spans="1:20" ht="12.75" customHeight="1" x14ac:dyDescent="0.3">
      <c r="A719" s="95"/>
      <c r="B719" s="95"/>
      <c r="C719" s="97"/>
      <c r="D719" s="95"/>
      <c r="E719" s="95"/>
      <c r="F719" s="95"/>
      <c r="G719" s="95"/>
      <c r="H719" s="95"/>
      <c r="I719" s="95"/>
      <c r="J719" s="95"/>
      <c r="K719" s="95"/>
      <c r="L719" s="95"/>
      <c r="M719" s="95"/>
      <c r="N719" s="95"/>
      <c r="O719" s="95"/>
      <c r="P719" s="95"/>
      <c r="Q719" s="95"/>
      <c r="R719" s="95"/>
      <c r="S719" s="95"/>
      <c r="T719" s="95"/>
    </row>
    <row r="720" spans="1:20" ht="12.75" customHeight="1" x14ac:dyDescent="0.3">
      <c r="A720" s="95"/>
      <c r="B720" s="95"/>
      <c r="C720" s="97"/>
      <c r="D720" s="95"/>
      <c r="E720" s="95"/>
      <c r="F720" s="95"/>
      <c r="G720" s="95"/>
      <c r="H720" s="95"/>
      <c r="I720" s="95"/>
      <c r="J720" s="95"/>
      <c r="K720" s="95"/>
      <c r="L720" s="95"/>
      <c r="M720" s="95"/>
      <c r="N720" s="95"/>
      <c r="O720" s="95"/>
      <c r="P720" s="95"/>
      <c r="Q720" s="95"/>
      <c r="R720" s="95"/>
      <c r="S720" s="95"/>
      <c r="T720" s="95"/>
    </row>
    <row r="721" spans="1:20" ht="12.75" customHeight="1" x14ac:dyDescent="0.3">
      <c r="A721" s="95"/>
      <c r="B721" s="95"/>
      <c r="C721" s="97"/>
      <c r="D721" s="95"/>
      <c r="E721" s="95"/>
      <c r="F721" s="95"/>
      <c r="G721" s="95"/>
      <c r="H721" s="95"/>
      <c r="I721" s="95"/>
      <c r="J721" s="95"/>
      <c r="K721" s="95"/>
      <c r="L721" s="95"/>
      <c r="M721" s="95"/>
      <c r="N721" s="95"/>
      <c r="O721" s="95"/>
      <c r="P721" s="95"/>
      <c r="Q721" s="95"/>
      <c r="R721" s="95"/>
      <c r="S721" s="95"/>
      <c r="T721" s="95"/>
    </row>
    <row r="722" spans="1:20" ht="12.75" customHeight="1" x14ac:dyDescent="0.3">
      <c r="A722" s="95"/>
      <c r="B722" s="95"/>
      <c r="C722" s="97"/>
      <c r="D722" s="95"/>
      <c r="E722" s="95"/>
      <c r="F722" s="95"/>
      <c r="G722" s="95"/>
      <c r="H722" s="95"/>
      <c r="I722" s="95"/>
      <c r="J722" s="95"/>
      <c r="K722" s="95"/>
      <c r="L722" s="95"/>
      <c r="M722" s="95"/>
      <c r="N722" s="95"/>
      <c r="O722" s="95"/>
      <c r="P722" s="95"/>
      <c r="Q722" s="95"/>
      <c r="R722" s="95"/>
      <c r="S722" s="95"/>
      <c r="T722" s="95"/>
    </row>
    <row r="723" spans="1:20" ht="12.75" customHeight="1" x14ac:dyDescent="0.3">
      <c r="A723" s="95"/>
      <c r="B723" s="95"/>
      <c r="C723" s="97"/>
      <c r="D723" s="95"/>
      <c r="E723" s="95"/>
      <c r="F723" s="95"/>
      <c r="G723" s="95"/>
      <c r="H723" s="95"/>
      <c r="I723" s="95"/>
      <c r="J723" s="95"/>
      <c r="K723" s="95"/>
      <c r="L723" s="95"/>
      <c r="M723" s="95"/>
      <c r="N723" s="95"/>
      <c r="O723" s="95"/>
      <c r="P723" s="95"/>
      <c r="Q723" s="95"/>
      <c r="R723" s="95"/>
      <c r="S723" s="95"/>
      <c r="T723" s="95"/>
    </row>
    <row r="724" spans="1:20" ht="12.75" customHeight="1" x14ac:dyDescent="0.3">
      <c r="A724" s="95"/>
      <c r="B724" s="95"/>
      <c r="C724" s="97"/>
      <c r="D724" s="95"/>
      <c r="E724" s="95"/>
      <c r="F724" s="95"/>
      <c r="G724" s="95"/>
      <c r="H724" s="95"/>
      <c r="I724" s="95"/>
      <c r="J724" s="95"/>
      <c r="K724" s="95"/>
      <c r="L724" s="95"/>
      <c r="M724" s="95"/>
      <c r="N724" s="95"/>
      <c r="O724" s="95"/>
      <c r="P724" s="95"/>
      <c r="Q724" s="95"/>
      <c r="R724" s="95"/>
      <c r="S724" s="95"/>
      <c r="T724" s="95"/>
    </row>
    <row r="725" spans="1:20" ht="12.75" customHeight="1" x14ac:dyDescent="0.3">
      <c r="A725" s="95"/>
      <c r="B725" s="95"/>
      <c r="C725" s="97"/>
      <c r="D725" s="95"/>
      <c r="E725" s="95"/>
      <c r="F725" s="95"/>
      <c r="G725" s="95"/>
      <c r="H725" s="95"/>
      <c r="I725" s="95"/>
      <c r="J725" s="95"/>
      <c r="K725" s="95"/>
      <c r="L725" s="95"/>
      <c r="M725" s="95"/>
      <c r="N725" s="95"/>
      <c r="O725" s="95"/>
      <c r="P725" s="95"/>
      <c r="Q725" s="95"/>
      <c r="R725" s="95"/>
      <c r="S725" s="95"/>
      <c r="T725" s="95"/>
    </row>
    <row r="726" spans="1:20" ht="12.75" customHeight="1" x14ac:dyDescent="0.3">
      <c r="A726" s="95"/>
      <c r="B726" s="95"/>
      <c r="C726" s="97"/>
      <c r="D726" s="95"/>
      <c r="E726" s="95"/>
      <c r="F726" s="95"/>
      <c r="G726" s="95"/>
      <c r="H726" s="95"/>
      <c r="I726" s="95"/>
      <c r="J726" s="95"/>
      <c r="K726" s="95"/>
      <c r="L726" s="95"/>
      <c r="M726" s="95"/>
      <c r="N726" s="95"/>
      <c r="O726" s="95"/>
      <c r="P726" s="95"/>
      <c r="Q726" s="95"/>
      <c r="R726" s="95"/>
      <c r="S726" s="95"/>
      <c r="T726" s="95"/>
    </row>
    <row r="727" spans="1:20" ht="12.75" customHeight="1" x14ac:dyDescent="0.3">
      <c r="A727" s="95"/>
      <c r="B727" s="95"/>
      <c r="C727" s="97"/>
      <c r="D727" s="95"/>
      <c r="E727" s="95"/>
      <c r="F727" s="95"/>
      <c r="G727" s="95"/>
      <c r="H727" s="95"/>
      <c r="I727" s="95"/>
      <c r="J727" s="95"/>
      <c r="K727" s="95"/>
      <c r="L727" s="95"/>
      <c r="M727" s="95"/>
      <c r="N727" s="95"/>
      <c r="O727" s="95"/>
      <c r="P727" s="95"/>
      <c r="Q727" s="95"/>
      <c r="R727" s="95"/>
      <c r="S727" s="95"/>
      <c r="T727" s="95"/>
    </row>
    <row r="728" spans="1:20" ht="12.75" customHeight="1" x14ac:dyDescent="0.3">
      <c r="A728" s="95"/>
      <c r="B728" s="95"/>
      <c r="C728" s="97"/>
      <c r="D728" s="95"/>
      <c r="E728" s="95"/>
      <c r="F728" s="95"/>
      <c r="G728" s="95"/>
      <c r="H728" s="95"/>
      <c r="I728" s="95"/>
      <c r="J728" s="95"/>
      <c r="K728" s="95"/>
      <c r="L728" s="95"/>
      <c r="M728" s="95"/>
      <c r="N728" s="95"/>
      <c r="O728" s="95"/>
      <c r="P728" s="95"/>
      <c r="Q728" s="95"/>
      <c r="R728" s="95"/>
      <c r="S728" s="95"/>
      <c r="T728" s="95"/>
    </row>
    <row r="729" spans="1:20" ht="12.75" customHeight="1" x14ac:dyDescent="0.3">
      <c r="A729" s="95"/>
      <c r="B729" s="95"/>
      <c r="C729" s="97"/>
      <c r="D729" s="95"/>
      <c r="E729" s="95"/>
      <c r="F729" s="95"/>
      <c r="G729" s="95"/>
      <c r="H729" s="95"/>
      <c r="I729" s="95"/>
      <c r="J729" s="95"/>
      <c r="K729" s="95"/>
      <c r="L729" s="95"/>
      <c r="M729" s="95"/>
      <c r="N729" s="95"/>
      <c r="O729" s="95"/>
      <c r="P729" s="95"/>
      <c r="Q729" s="95"/>
      <c r="R729" s="95"/>
      <c r="S729" s="95"/>
      <c r="T729" s="95"/>
    </row>
    <row r="730" spans="1:20" ht="12.75" customHeight="1" x14ac:dyDescent="0.3">
      <c r="A730" s="95"/>
      <c r="B730" s="95"/>
      <c r="C730" s="97"/>
      <c r="D730" s="95"/>
      <c r="E730" s="95"/>
      <c r="F730" s="95"/>
      <c r="G730" s="95"/>
      <c r="H730" s="95"/>
      <c r="I730" s="95"/>
      <c r="J730" s="95"/>
      <c r="K730" s="95"/>
      <c r="L730" s="95"/>
      <c r="M730" s="95"/>
      <c r="N730" s="95"/>
      <c r="O730" s="95"/>
      <c r="P730" s="95"/>
      <c r="Q730" s="95"/>
      <c r="R730" s="95"/>
      <c r="S730" s="95"/>
      <c r="T730" s="95"/>
    </row>
    <row r="731" spans="1:20" ht="12.75" customHeight="1" x14ac:dyDescent="0.3">
      <c r="A731" s="95"/>
      <c r="B731" s="95"/>
      <c r="C731" s="97"/>
      <c r="D731" s="95"/>
      <c r="E731" s="95"/>
      <c r="F731" s="95"/>
      <c r="G731" s="95"/>
      <c r="H731" s="95"/>
      <c r="I731" s="95"/>
      <c r="J731" s="95"/>
      <c r="K731" s="95"/>
      <c r="L731" s="95"/>
      <c r="M731" s="95"/>
      <c r="N731" s="95"/>
      <c r="O731" s="95"/>
      <c r="P731" s="95"/>
      <c r="Q731" s="95"/>
      <c r="R731" s="95"/>
      <c r="S731" s="95"/>
      <c r="T731" s="95"/>
    </row>
    <row r="732" spans="1:20" ht="12.75" customHeight="1" x14ac:dyDescent="0.3">
      <c r="A732" s="95"/>
      <c r="B732" s="95"/>
      <c r="C732" s="97"/>
      <c r="D732" s="95"/>
      <c r="E732" s="95"/>
      <c r="F732" s="95"/>
      <c r="G732" s="95"/>
      <c r="H732" s="95"/>
      <c r="I732" s="95"/>
      <c r="J732" s="95"/>
      <c r="K732" s="95"/>
      <c r="L732" s="95"/>
      <c r="M732" s="95"/>
      <c r="N732" s="95"/>
      <c r="O732" s="95"/>
      <c r="P732" s="95"/>
      <c r="Q732" s="95"/>
      <c r="R732" s="95"/>
      <c r="S732" s="95"/>
      <c r="T732" s="95"/>
    </row>
    <row r="733" spans="1:20" ht="12.75" customHeight="1" x14ac:dyDescent="0.3">
      <c r="A733" s="95"/>
      <c r="B733" s="95"/>
      <c r="C733" s="97"/>
      <c r="D733" s="95"/>
      <c r="E733" s="95"/>
      <c r="F733" s="95"/>
      <c r="G733" s="95"/>
      <c r="H733" s="95"/>
      <c r="I733" s="95"/>
      <c r="J733" s="95"/>
      <c r="K733" s="95"/>
      <c r="L733" s="95"/>
      <c r="M733" s="95"/>
      <c r="N733" s="95"/>
      <c r="O733" s="95"/>
      <c r="P733" s="95"/>
      <c r="Q733" s="95"/>
      <c r="R733" s="95"/>
      <c r="S733" s="95"/>
      <c r="T733" s="95"/>
    </row>
    <row r="734" spans="1:20" ht="12.75" customHeight="1" x14ac:dyDescent="0.3">
      <c r="A734" s="95"/>
      <c r="B734" s="95"/>
      <c r="C734" s="97"/>
      <c r="D734" s="95"/>
      <c r="E734" s="95"/>
      <c r="F734" s="95"/>
      <c r="G734" s="95"/>
      <c r="H734" s="95"/>
      <c r="I734" s="95"/>
      <c r="J734" s="95"/>
      <c r="K734" s="95"/>
      <c r="L734" s="95"/>
      <c r="M734" s="95"/>
      <c r="N734" s="95"/>
      <c r="O734" s="95"/>
      <c r="P734" s="95"/>
      <c r="Q734" s="95"/>
      <c r="R734" s="95"/>
      <c r="S734" s="95"/>
      <c r="T734" s="95"/>
    </row>
    <row r="735" spans="1:20" ht="12.75" customHeight="1" x14ac:dyDescent="0.3">
      <c r="A735" s="95"/>
      <c r="B735" s="95"/>
      <c r="C735" s="97"/>
      <c r="D735" s="95"/>
      <c r="E735" s="95"/>
      <c r="F735" s="95"/>
      <c r="G735" s="95"/>
      <c r="H735" s="95"/>
      <c r="I735" s="95"/>
      <c r="J735" s="95"/>
      <c r="K735" s="95"/>
      <c r="L735" s="95"/>
      <c r="M735" s="95"/>
      <c r="N735" s="95"/>
      <c r="O735" s="95"/>
      <c r="P735" s="95"/>
      <c r="Q735" s="95"/>
      <c r="R735" s="95"/>
      <c r="S735" s="95"/>
      <c r="T735" s="95"/>
    </row>
    <row r="736" spans="1:20" ht="12.75" customHeight="1" x14ac:dyDescent="0.3">
      <c r="A736" s="95"/>
      <c r="B736" s="95"/>
      <c r="C736" s="97"/>
      <c r="D736" s="95"/>
      <c r="E736" s="95"/>
      <c r="F736" s="95"/>
      <c r="G736" s="95"/>
      <c r="H736" s="95"/>
      <c r="I736" s="95"/>
      <c r="J736" s="95"/>
      <c r="K736" s="95"/>
      <c r="L736" s="95"/>
      <c r="M736" s="95"/>
      <c r="N736" s="95"/>
      <c r="O736" s="95"/>
      <c r="P736" s="95"/>
      <c r="Q736" s="95"/>
      <c r="R736" s="95"/>
      <c r="S736" s="95"/>
      <c r="T736" s="95"/>
    </row>
    <row r="737" spans="1:20" ht="12.75" customHeight="1" x14ac:dyDescent="0.3">
      <c r="A737" s="95"/>
      <c r="B737" s="95"/>
      <c r="C737" s="97"/>
      <c r="D737" s="95"/>
      <c r="E737" s="95"/>
      <c r="F737" s="95"/>
      <c r="G737" s="95"/>
      <c r="H737" s="95"/>
      <c r="I737" s="95"/>
      <c r="J737" s="95"/>
      <c r="K737" s="95"/>
      <c r="L737" s="95"/>
      <c r="M737" s="95"/>
      <c r="N737" s="95"/>
      <c r="O737" s="95"/>
      <c r="P737" s="95"/>
      <c r="Q737" s="95"/>
      <c r="R737" s="95"/>
      <c r="S737" s="95"/>
      <c r="T737" s="95"/>
    </row>
    <row r="738" spans="1:20" ht="12.75" customHeight="1" x14ac:dyDescent="0.3">
      <c r="A738" s="95"/>
      <c r="B738" s="95"/>
      <c r="C738" s="97"/>
      <c r="D738" s="95"/>
      <c r="E738" s="95"/>
      <c r="F738" s="95"/>
      <c r="G738" s="95"/>
      <c r="H738" s="95"/>
      <c r="I738" s="95"/>
      <c r="J738" s="95"/>
      <c r="K738" s="95"/>
      <c r="L738" s="95"/>
      <c r="M738" s="95"/>
      <c r="N738" s="95"/>
      <c r="O738" s="95"/>
      <c r="P738" s="95"/>
      <c r="Q738" s="95"/>
      <c r="R738" s="95"/>
      <c r="S738" s="95"/>
      <c r="T738" s="95"/>
    </row>
    <row r="739" spans="1:20" ht="12.75" customHeight="1" x14ac:dyDescent="0.3">
      <c r="A739" s="95"/>
      <c r="B739" s="95"/>
      <c r="C739" s="97"/>
      <c r="D739" s="95"/>
      <c r="E739" s="95"/>
      <c r="F739" s="95"/>
      <c r="G739" s="95"/>
      <c r="H739" s="95"/>
      <c r="I739" s="95"/>
      <c r="J739" s="95"/>
      <c r="K739" s="95"/>
      <c r="L739" s="95"/>
      <c r="M739" s="95"/>
      <c r="N739" s="95"/>
      <c r="O739" s="95"/>
      <c r="P739" s="95"/>
      <c r="Q739" s="95"/>
      <c r="R739" s="95"/>
      <c r="S739" s="95"/>
      <c r="T739" s="95"/>
    </row>
    <row r="740" spans="1:20" ht="12.75" customHeight="1" x14ac:dyDescent="0.3">
      <c r="A740" s="95"/>
      <c r="B740" s="95"/>
      <c r="C740" s="97"/>
      <c r="D740" s="95"/>
      <c r="E740" s="95"/>
      <c r="F740" s="95"/>
      <c r="G740" s="95"/>
      <c r="H740" s="95"/>
      <c r="I740" s="95"/>
      <c r="J740" s="95"/>
      <c r="K740" s="95"/>
      <c r="L740" s="95"/>
      <c r="M740" s="95"/>
      <c r="N740" s="95"/>
      <c r="O740" s="95"/>
      <c r="P740" s="95"/>
      <c r="Q740" s="95"/>
      <c r="R740" s="95"/>
      <c r="S740" s="95"/>
      <c r="T740" s="95"/>
    </row>
    <row r="741" spans="1:20" ht="12.75" customHeight="1" x14ac:dyDescent="0.3">
      <c r="A741" s="95"/>
      <c r="B741" s="95"/>
      <c r="C741" s="97"/>
      <c r="D741" s="95"/>
      <c r="E741" s="95"/>
      <c r="F741" s="95"/>
      <c r="G741" s="95"/>
      <c r="H741" s="95"/>
      <c r="I741" s="95"/>
      <c r="J741" s="95"/>
      <c r="K741" s="95"/>
      <c r="L741" s="95"/>
      <c r="M741" s="95"/>
      <c r="N741" s="95"/>
      <c r="O741" s="95"/>
      <c r="P741" s="95"/>
      <c r="Q741" s="95"/>
      <c r="R741" s="95"/>
      <c r="S741" s="95"/>
      <c r="T741" s="95"/>
    </row>
    <row r="742" spans="1:20" ht="12.75" customHeight="1" x14ac:dyDescent="0.3">
      <c r="A742" s="95"/>
      <c r="B742" s="95"/>
      <c r="C742" s="97"/>
      <c r="D742" s="95"/>
      <c r="E742" s="95"/>
      <c r="F742" s="95"/>
      <c r="G742" s="95"/>
      <c r="H742" s="95"/>
      <c r="I742" s="95"/>
      <c r="J742" s="95"/>
      <c r="K742" s="95"/>
      <c r="L742" s="95"/>
      <c r="M742" s="95"/>
      <c r="N742" s="95"/>
      <c r="O742" s="95"/>
      <c r="P742" s="95"/>
      <c r="Q742" s="95"/>
      <c r="R742" s="95"/>
      <c r="S742" s="95"/>
      <c r="T742" s="95"/>
    </row>
    <row r="743" spans="1:20" ht="12.75" customHeight="1" x14ac:dyDescent="0.3">
      <c r="A743" s="95"/>
      <c r="B743" s="95"/>
      <c r="C743" s="97"/>
      <c r="D743" s="95"/>
      <c r="E743" s="95"/>
      <c r="F743" s="95"/>
      <c r="G743" s="95"/>
      <c r="H743" s="95"/>
      <c r="I743" s="95"/>
      <c r="J743" s="95"/>
      <c r="K743" s="95"/>
      <c r="L743" s="95"/>
      <c r="M743" s="95"/>
      <c r="N743" s="95"/>
      <c r="O743" s="95"/>
      <c r="P743" s="95"/>
      <c r="Q743" s="95"/>
      <c r="R743" s="95"/>
      <c r="S743" s="95"/>
      <c r="T743" s="95"/>
    </row>
    <row r="744" spans="1:20" ht="12.75" customHeight="1" x14ac:dyDescent="0.3">
      <c r="A744" s="95"/>
      <c r="B744" s="95"/>
      <c r="C744" s="97"/>
      <c r="D744" s="95"/>
      <c r="E744" s="95"/>
      <c r="F744" s="95"/>
      <c r="G744" s="95"/>
      <c r="H744" s="95"/>
      <c r="I744" s="95"/>
      <c r="J744" s="95"/>
      <c r="K744" s="95"/>
      <c r="L744" s="95"/>
      <c r="M744" s="95"/>
      <c r="N744" s="95"/>
      <c r="O744" s="95"/>
      <c r="P744" s="95"/>
      <c r="Q744" s="95"/>
      <c r="R744" s="95"/>
      <c r="S744" s="95"/>
      <c r="T744" s="95"/>
    </row>
    <row r="745" spans="1:20" ht="12.75" customHeight="1" x14ac:dyDescent="0.3">
      <c r="A745" s="95"/>
      <c r="B745" s="95"/>
      <c r="C745" s="97"/>
      <c r="D745" s="95"/>
      <c r="E745" s="95"/>
      <c r="F745" s="95"/>
      <c r="G745" s="95"/>
      <c r="H745" s="95"/>
      <c r="I745" s="95"/>
      <c r="J745" s="95"/>
      <c r="K745" s="95"/>
      <c r="L745" s="95"/>
      <c r="M745" s="95"/>
      <c r="N745" s="95"/>
      <c r="O745" s="95"/>
      <c r="P745" s="95"/>
      <c r="Q745" s="95"/>
      <c r="R745" s="95"/>
      <c r="S745" s="95"/>
      <c r="T745" s="95"/>
    </row>
    <row r="746" spans="1:20" ht="12.75" customHeight="1" x14ac:dyDescent="0.3">
      <c r="A746" s="95"/>
      <c r="B746" s="95"/>
      <c r="C746" s="97"/>
      <c r="D746" s="95"/>
      <c r="E746" s="95"/>
      <c r="F746" s="95"/>
      <c r="G746" s="95"/>
      <c r="H746" s="95"/>
      <c r="I746" s="95"/>
      <c r="J746" s="95"/>
      <c r="K746" s="95"/>
      <c r="L746" s="95"/>
      <c r="M746" s="95"/>
      <c r="N746" s="95"/>
      <c r="O746" s="95"/>
      <c r="P746" s="95"/>
      <c r="Q746" s="95"/>
      <c r="R746" s="95"/>
      <c r="S746" s="95"/>
      <c r="T746" s="95"/>
    </row>
    <row r="747" spans="1:20" ht="12.75" customHeight="1" x14ac:dyDescent="0.3">
      <c r="A747" s="95"/>
      <c r="B747" s="95"/>
      <c r="C747" s="97"/>
      <c r="D747" s="95"/>
      <c r="E747" s="95"/>
      <c r="F747" s="95"/>
      <c r="G747" s="95"/>
      <c r="H747" s="95"/>
      <c r="I747" s="95"/>
      <c r="J747" s="95"/>
      <c r="K747" s="95"/>
      <c r="L747" s="95"/>
      <c r="M747" s="95"/>
      <c r="N747" s="95"/>
      <c r="O747" s="95"/>
      <c r="P747" s="95"/>
      <c r="Q747" s="95"/>
      <c r="R747" s="95"/>
      <c r="S747" s="95"/>
      <c r="T747" s="95"/>
    </row>
    <row r="748" spans="1:20" ht="12.75" customHeight="1" x14ac:dyDescent="0.3">
      <c r="A748" s="95"/>
      <c r="B748" s="95"/>
      <c r="C748" s="97"/>
      <c r="D748" s="95"/>
      <c r="E748" s="95"/>
      <c r="F748" s="95"/>
      <c r="G748" s="95"/>
      <c r="H748" s="95"/>
      <c r="I748" s="95"/>
      <c r="J748" s="95"/>
      <c r="K748" s="95"/>
      <c r="L748" s="95"/>
      <c r="M748" s="95"/>
      <c r="N748" s="95"/>
      <c r="O748" s="95"/>
      <c r="P748" s="95"/>
      <c r="Q748" s="95"/>
      <c r="R748" s="95"/>
      <c r="S748" s="95"/>
      <c r="T748" s="95"/>
    </row>
    <row r="749" spans="1:20" ht="12.75" customHeight="1" x14ac:dyDescent="0.3">
      <c r="A749" s="95"/>
      <c r="B749" s="95"/>
      <c r="C749" s="97"/>
      <c r="D749" s="95"/>
      <c r="E749" s="95"/>
      <c r="F749" s="95"/>
      <c r="G749" s="95"/>
      <c r="H749" s="95"/>
      <c r="I749" s="95"/>
      <c r="J749" s="95"/>
      <c r="K749" s="95"/>
      <c r="L749" s="95"/>
      <c r="M749" s="95"/>
      <c r="N749" s="95"/>
      <c r="O749" s="95"/>
      <c r="P749" s="95"/>
      <c r="Q749" s="95"/>
      <c r="R749" s="95"/>
      <c r="S749" s="95"/>
      <c r="T749" s="95"/>
    </row>
    <row r="750" spans="1:20" ht="12.75" customHeight="1" x14ac:dyDescent="0.3">
      <c r="A750" s="95"/>
      <c r="B750" s="95"/>
      <c r="C750" s="97"/>
      <c r="D750" s="95"/>
      <c r="E750" s="95"/>
      <c r="F750" s="95"/>
      <c r="G750" s="95"/>
      <c r="H750" s="95"/>
      <c r="I750" s="95"/>
      <c r="J750" s="95"/>
      <c r="K750" s="95"/>
      <c r="L750" s="95"/>
      <c r="M750" s="95"/>
      <c r="N750" s="95"/>
      <c r="O750" s="95"/>
      <c r="P750" s="95"/>
      <c r="Q750" s="95"/>
      <c r="R750" s="95"/>
      <c r="S750" s="95"/>
      <c r="T750" s="95"/>
    </row>
    <row r="751" spans="1:20" ht="12.75" customHeight="1" x14ac:dyDescent="0.3">
      <c r="A751" s="95"/>
      <c r="B751" s="95"/>
      <c r="C751" s="97"/>
      <c r="D751" s="95"/>
      <c r="E751" s="95"/>
      <c r="F751" s="95"/>
      <c r="G751" s="95"/>
      <c r="H751" s="95"/>
      <c r="I751" s="95"/>
      <c r="J751" s="95"/>
      <c r="K751" s="95"/>
      <c r="L751" s="95"/>
      <c r="M751" s="95"/>
      <c r="N751" s="95"/>
      <c r="O751" s="95"/>
      <c r="P751" s="95"/>
      <c r="Q751" s="95"/>
      <c r="R751" s="95"/>
      <c r="S751" s="95"/>
      <c r="T751" s="95"/>
    </row>
    <row r="752" spans="1:20" ht="12.75" customHeight="1" x14ac:dyDescent="0.3">
      <c r="A752" s="95"/>
      <c r="B752" s="95"/>
      <c r="C752" s="97"/>
      <c r="D752" s="95"/>
      <c r="E752" s="95"/>
      <c r="F752" s="95"/>
      <c r="G752" s="95"/>
      <c r="H752" s="95"/>
      <c r="I752" s="95"/>
      <c r="J752" s="95"/>
      <c r="K752" s="95"/>
      <c r="L752" s="95"/>
      <c r="M752" s="95"/>
      <c r="N752" s="95"/>
      <c r="O752" s="95"/>
      <c r="P752" s="95"/>
      <c r="Q752" s="95"/>
      <c r="R752" s="95"/>
      <c r="S752" s="95"/>
      <c r="T752" s="95"/>
    </row>
    <row r="753" spans="1:20" ht="12.75" customHeight="1" x14ac:dyDescent="0.3">
      <c r="A753" s="95"/>
      <c r="B753" s="95"/>
      <c r="C753" s="97"/>
      <c r="D753" s="95"/>
      <c r="E753" s="95"/>
      <c r="F753" s="95"/>
      <c r="G753" s="95"/>
      <c r="H753" s="95"/>
      <c r="I753" s="95"/>
      <c r="J753" s="95"/>
      <c r="K753" s="95"/>
      <c r="L753" s="95"/>
      <c r="M753" s="95"/>
      <c r="N753" s="95"/>
      <c r="O753" s="95"/>
      <c r="P753" s="95"/>
      <c r="Q753" s="95"/>
      <c r="R753" s="95"/>
      <c r="S753" s="95"/>
      <c r="T753" s="95"/>
    </row>
    <row r="754" spans="1:20" ht="12.75" customHeight="1" x14ac:dyDescent="0.3">
      <c r="A754" s="95"/>
      <c r="B754" s="95"/>
      <c r="C754" s="97"/>
      <c r="D754" s="95"/>
      <c r="E754" s="95"/>
      <c r="F754" s="95"/>
      <c r="G754" s="95"/>
      <c r="H754" s="95"/>
      <c r="I754" s="95"/>
      <c r="J754" s="95"/>
      <c r="K754" s="95"/>
      <c r="L754" s="95"/>
      <c r="M754" s="95"/>
      <c r="N754" s="95"/>
      <c r="O754" s="95"/>
      <c r="P754" s="95"/>
      <c r="Q754" s="95"/>
      <c r="R754" s="95"/>
      <c r="S754" s="95"/>
      <c r="T754" s="95"/>
    </row>
    <row r="755" spans="1:20" ht="12.75" customHeight="1" x14ac:dyDescent="0.3">
      <c r="A755" s="95"/>
      <c r="B755" s="95"/>
      <c r="C755" s="97"/>
      <c r="D755" s="95"/>
      <c r="E755" s="95"/>
      <c r="F755" s="95"/>
      <c r="G755" s="95"/>
      <c r="H755" s="95"/>
      <c r="I755" s="95"/>
      <c r="J755" s="95"/>
      <c r="K755" s="95"/>
      <c r="L755" s="95"/>
      <c r="M755" s="95"/>
      <c r="N755" s="95"/>
      <c r="O755" s="95"/>
      <c r="P755" s="95"/>
      <c r="Q755" s="95"/>
      <c r="R755" s="95"/>
      <c r="S755" s="95"/>
      <c r="T755" s="95"/>
    </row>
    <row r="756" spans="1:20" ht="12.75" customHeight="1" x14ac:dyDescent="0.3">
      <c r="A756" s="95"/>
      <c r="B756" s="95"/>
      <c r="C756" s="97"/>
      <c r="D756" s="95"/>
      <c r="E756" s="95"/>
      <c r="F756" s="95"/>
      <c r="G756" s="95"/>
      <c r="H756" s="95"/>
      <c r="I756" s="95"/>
      <c r="J756" s="95"/>
      <c r="K756" s="95"/>
      <c r="L756" s="95"/>
      <c r="M756" s="95"/>
      <c r="N756" s="95"/>
      <c r="O756" s="95"/>
      <c r="P756" s="95"/>
      <c r="Q756" s="95"/>
      <c r="R756" s="95"/>
      <c r="S756" s="95"/>
      <c r="T756" s="95"/>
    </row>
    <row r="757" spans="1:20" ht="12.75" customHeight="1" x14ac:dyDescent="0.3">
      <c r="A757" s="95"/>
      <c r="B757" s="95"/>
      <c r="C757" s="97"/>
      <c r="D757" s="95"/>
      <c r="E757" s="95"/>
      <c r="F757" s="95"/>
      <c r="G757" s="95"/>
      <c r="H757" s="95"/>
      <c r="I757" s="95"/>
      <c r="J757" s="95"/>
      <c r="K757" s="95"/>
      <c r="L757" s="95"/>
      <c r="M757" s="95"/>
      <c r="N757" s="95"/>
      <c r="O757" s="95"/>
      <c r="P757" s="95"/>
      <c r="Q757" s="95"/>
      <c r="R757" s="95"/>
      <c r="S757" s="95"/>
      <c r="T757" s="95"/>
    </row>
    <row r="758" spans="1:20" ht="12.75" customHeight="1" x14ac:dyDescent="0.3">
      <c r="A758" s="95"/>
      <c r="B758" s="95"/>
      <c r="C758" s="97"/>
      <c r="D758" s="95"/>
      <c r="E758" s="95"/>
      <c r="F758" s="95"/>
      <c r="G758" s="95"/>
      <c r="H758" s="95"/>
      <c r="I758" s="95"/>
      <c r="J758" s="95"/>
      <c r="K758" s="95"/>
      <c r="L758" s="95"/>
      <c r="M758" s="95"/>
      <c r="N758" s="95"/>
      <c r="O758" s="95"/>
      <c r="P758" s="95"/>
      <c r="Q758" s="95"/>
      <c r="R758" s="95"/>
      <c r="S758" s="95"/>
      <c r="T758" s="95"/>
    </row>
    <row r="759" spans="1:20" ht="12.75" customHeight="1" x14ac:dyDescent="0.3">
      <c r="A759" s="95"/>
      <c r="B759" s="95"/>
      <c r="C759" s="97"/>
      <c r="D759" s="95"/>
      <c r="E759" s="95"/>
      <c r="F759" s="95"/>
      <c r="G759" s="95"/>
      <c r="H759" s="95"/>
      <c r="I759" s="95"/>
      <c r="J759" s="95"/>
      <c r="K759" s="95"/>
      <c r="L759" s="95"/>
      <c r="M759" s="95"/>
      <c r="N759" s="95"/>
      <c r="O759" s="95"/>
      <c r="P759" s="95"/>
      <c r="Q759" s="95"/>
      <c r="R759" s="95"/>
      <c r="S759" s="95"/>
      <c r="T759" s="95"/>
    </row>
    <row r="760" spans="1:20" ht="12.75" customHeight="1" x14ac:dyDescent="0.3">
      <c r="A760" s="95"/>
      <c r="B760" s="95"/>
      <c r="C760" s="97"/>
      <c r="D760" s="95"/>
      <c r="E760" s="95"/>
      <c r="F760" s="95"/>
      <c r="G760" s="95"/>
      <c r="H760" s="95"/>
      <c r="I760" s="95"/>
      <c r="J760" s="95"/>
      <c r="K760" s="95"/>
      <c r="L760" s="95"/>
      <c r="M760" s="95"/>
      <c r="N760" s="95"/>
      <c r="O760" s="95"/>
      <c r="P760" s="95"/>
      <c r="Q760" s="95"/>
      <c r="R760" s="95"/>
      <c r="S760" s="95"/>
      <c r="T760" s="95"/>
    </row>
    <row r="761" spans="1:20" ht="12.75" customHeight="1" x14ac:dyDescent="0.3">
      <c r="A761" s="95"/>
      <c r="B761" s="95"/>
      <c r="C761" s="97"/>
      <c r="D761" s="95"/>
      <c r="E761" s="95"/>
      <c r="F761" s="95"/>
      <c r="G761" s="95"/>
      <c r="H761" s="95"/>
      <c r="I761" s="95"/>
      <c r="J761" s="95"/>
      <c r="K761" s="95"/>
      <c r="L761" s="95"/>
      <c r="M761" s="95"/>
      <c r="N761" s="95"/>
      <c r="O761" s="95"/>
      <c r="P761" s="95"/>
      <c r="Q761" s="95"/>
      <c r="R761" s="95"/>
      <c r="S761" s="95"/>
      <c r="T761" s="95"/>
    </row>
    <row r="762" spans="1:20" ht="12.75" customHeight="1" x14ac:dyDescent="0.3">
      <c r="A762" s="95"/>
      <c r="B762" s="95"/>
      <c r="C762" s="97"/>
      <c r="D762" s="95"/>
      <c r="E762" s="95"/>
      <c r="F762" s="95"/>
      <c r="G762" s="95"/>
      <c r="H762" s="95"/>
      <c r="I762" s="95"/>
      <c r="J762" s="95"/>
      <c r="K762" s="95"/>
      <c r="L762" s="95"/>
      <c r="M762" s="95"/>
      <c r="N762" s="95"/>
      <c r="O762" s="95"/>
      <c r="P762" s="95"/>
      <c r="Q762" s="95"/>
      <c r="R762" s="95"/>
      <c r="S762" s="95"/>
      <c r="T762" s="95"/>
    </row>
    <row r="763" spans="1:20" ht="12.75" customHeight="1" x14ac:dyDescent="0.3">
      <c r="A763" s="95"/>
      <c r="B763" s="95"/>
      <c r="C763" s="97"/>
      <c r="D763" s="95"/>
      <c r="E763" s="95"/>
      <c r="F763" s="95"/>
      <c r="G763" s="95"/>
      <c r="H763" s="95"/>
      <c r="I763" s="95"/>
      <c r="J763" s="95"/>
      <c r="K763" s="95"/>
      <c r="L763" s="95"/>
      <c r="M763" s="95"/>
      <c r="N763" s="95"/>
      <c r="O763" s="95"/>
      <c r="P763" s="95"/>
      <c r="Q763" s="95"/>
      <c r="R763" s="95"/>
      <c r="S763" s="95"/>
      <c r="T763" s="95"/>
    </row>
    <row r="764" spans="1:20" ht="12.75" customHeight="1" x14ac:dyDescent="0.3">
      <c r="A764" s="95"/>
      <c r="B764" s="95"/>
      <c r="C764" s="97"/>
      <c r="D764" s="95"/>
      <c r="E764" s="95"/>
      <c r="F764" s="95"/>
      <c r="G764" s="95"/>
      <c r="H764" s="95"/>
      <c r="I764" s="95"/>
      <c r="J764" s="95"/>
      <c r="K764" s="95"/>
      <c r="L764" s="95"/>
      <c r="M764" s="95"/>
      <c r="N764" s="95"/>
      <c r="O764" s="95"/>
      <c r="P764" s="95"/>
      <c r="Q764" s="95"/>
      <c r="R764" s="95"/>
      <c r="S764" s="95"/>
      <c r="T764" s="95"/>
    </row>
    <row r="765" spans="1:20" ht="12.75" customHeight="1" x14ac:dyDescent="0.3">
      <c r="A765" s="95"/>
      <c r="B765" s="95"/>
      <c r="C765" s="97"/>
      <c r="D765" s="95"/>
      <c r="E765" s="95"/>
      <c r="F765" s="95"/>
      <c r="G765" s="95"/>
      <c r="H765" s="95"/>
      <c r="I765" s="95"/>
      <c r="J765" s="95"/>
      <c r="K765" s="95"/>
      <c r="L765" s="95"/>
      <c r="M765" s="95"/>
      <c r="N765" s="95"/>
      <c r="O765" s="95"/>
      <c r="P765" s="95"/>
      <c r="Q765" s="95"/>
      <c r="R765" s="95"/>
      <c r="S765" s="95"/>
      <c r="T765" s="95"/>
    </row>
    <row r="766" spans="1:20" ht="12.75" customHeight="1" x14ac:dyDescent="0.3">
      <c r="A766" s="95"/>
      <c r="B766" s="95"/>
      <c r="C766" s="97"/>
      <c r="D766" s="95"/>
      <c r="E766" s="95"/>
      <c r="F766" s="95"/>
      <c r="G766" s="95"/>
      <c r="H766" s="95"/>
      <c r="I766" s="95"/>
      <c r="J766" s="95"/>
      <c r="K766" s="95"/>
      <c r="L766" s="95"/>
      <c r="M766" s="95"/>
      <c r="N766" s="95"/>
      <c r="O766" s="95"/>
      <c r="P766" s="95"/>
      <c r="Q766" s="95"/>
      <c r="R766" s="95"/>
      <c r="S766" s="95"/>
      <c r="T766" s="95"/>
    </row>
    <row r="767" spans="1:20" ht="12.75" customHeight="1" x14ac:dyDescent="0.3">
      <c r="A767" s="95"/>
      <c r="B767" s="95"/>
      <c r="C767" s="97"/>
      <c r="D767" s="95"/>
      <c r="E767" s="95"/>
      <c r="F767" s="95"/>
      <c r="G767" s="95"/>
      <c r="H767" s="95"/>
      <c r="I767" s="95"/>
      <c r="J767" s="95"/>
      <c r="K767" s="95"/>
      <c r="L767" s="95"/>
      <c r="M767" s="95"/>
      <c r="N767" s="95"/>
      <c r="O767" s="95"/>
      <c r="P767" s="95"/>
      <c r="Q767" s="95"/>
      <c r="R767" s="95"/>
      <c r="S767" s="95"/>
      <c r="T767" s="95"/>
    </row>
    <row r="768" spans="1:20" ht="12.75" customHeight="1" x14ac:dyDescent="0.3">
      <c r="A768" s="95"/>
      <c r="B768" s="95"/>
      <c r="C768" s="97"/>
      <c r="D768" s="95"/>
      <c r="E768" s="95"/>
      <c r="F768" s="95"/>
      <c r="G768" s="95"/>
      <c r="H768" s="95"/>
      <c r="I768" s="95"/>
      <c r="J768" s="95"/>
      <c r="K768" s="95"/>
      <c r="L768" s="95"/>
      <c r="M768" s="95"/>
      <c r="N768" s="95"/>
      <c r="O768" s="95"/>
      <c r="P768" s="95"/>
      <c r="Q768" s="95"/>
      <c r="R768" s="95"/>
      <c r="S768" s="95"/>
      <c r="T768" s="95"/>
    </row>
    <row r="769" spans="1:20" ht="12.75" customHeight="1" x14ac:dyDescent="0.3">
      <c r="A769" s="95"/>
      <c r="B769" s="95"/>
      <c r="C769" s="97"/>
      <c r="D769" s="95"/>
      <c r="E769" s="95"/>
      <c r="F769" s="95"/>
      <c r="G769" s="95"/>
      <c r="H769" s="95"/>
      <c r="I769" s="95"/>
      <c r="J769" s="95"/>
      <c r="K769" s="95"/>
      <c r="L769" s="95"/>
      <c r="M769" s="95"/>
      <c r="N769" s="95"/>
      <c r="O769" s="95"/>
      <c r="P769" s="95"/>
      <c r="Q769" s="95"/>
      <c r="R769" s="95"/>
      <c r="S769" s="95"/>
      <c r="T769" s="95"/>
    </row>
    <row r="770" spans="1:20" ht="12.75" customHeight="1" x14ac:dyDescent="0.3">
      <c r="A770" s="95"/>
      <c r="B770" s="95"/>
      <c r="C770" s="97"/>
      <c r="D770" s="95"/>
      <c r="E770" s="95"/>
      <c r="F770" s="95"/>
      <c r="G770" s="95"/>
      <c r="H770" s="95"/>
      <c r="I770" s="95"/>
      <c r="J770" s="95"/>
      <c r="K770" s="95"/>
      <c r="L770" s="95"/>
      <c r="M770" s="95"/>
      <c r="N770" s="95"/>
      <c r="O770" s="95"/>
      <c r="P770" s="95"/>
      <c r="Q770" s="95"/>
      <c r="R770" s="95"/>
      <c r="S770" s="95"/>
      <c r="T770" s="95"/>
    </row>
    <row r="771" spans="1:20" ht="12.75" customHeight="1" x14ac:dyDescent="0.3">
      <c r="A771" s="95"/>
      <c r="B771" s="95"/>
      <c r="C771" s="97"/>
      <c r="D771" s="95"/>
      <c r="E771" s="95"/>
      <c r="F771" s="95"/>
      <c r="G771" s="95"/>
      <c r="H771" s="95"/>
      <c r="I771" s="95"/>
      <c r="J771" s="95"/>
      <c r="K771" s="95"/>
      <c r="L771" s="95"/>
      <c r="M771" s="95"/>
      <c r="N771" s="95"/>
      <c r="O771" s="95"/>
      <c r="P771" s="95"/>
      <c r="Q771" s="95"/>
      <c r="R771" s="95"/>
      <c r="S771" s="95"/>
      <c r="T771" s="95"/>
    </row>
    <row r="772" spans="1:20" ht="12.75" customHeight="1" x14ac:dyDescent="0.3">
      <c r="A772" s="95"/>
      <c r="B772" s="95"/>
      <c r="C772" s="97"/>
      <c r="D772" s="95"/>
      <c r="E772" s="95"/>
      <c r="F772" s="95"/>
      <c r="G772" s="95"/>
      <c r="H772" s="95"/>
      <c r="I772" s="95"/>
      <c r="J772" s="95"/>
      <c r="K772" s="95"/>
      <c r="L772" s="95"/>
      <c r="M772" s="95"/>
      <c r="N772" s="95"/>
      <c r="O772" s="95"/>
      <c r="P772" s="95"/>
      <c r="Q772" s="95"/>
      <c r="R772" s="95"/>
      <c r="S772" s="95"/>
      <c r="T772" s="95"/>
    </row>
    <row r="773" spans="1:20" ht="12.75" customHeight="1" x14ac:dyDescent="0.3">
      <c r="A773" s="95"/>
      <c r="B773" s="95"/>
      <c r="C773" s="97"/>
      <c r="D773" s="95"/>
      <c r="E773" s="95"/>
      <c r="F773" s="95"/>
      <c r="G773" s="95"/>
      <c r="H773" s="95"/>
      <c r="I773" s="95"/>
      <c r="J773" s="95"/>
      <c r="K773" s="95"/>
      <c r="L773" s="95"/>
      <c r="M773" s="95"/>
      <c r="N773" s="95"/>
      <c r="O773" s="95"/>
      <c r="P773" s="95"/>
      <c r="Q773" s="95"/>
      <c r="R773" s="95"/>
      <c r="S773" s="95"/>
      <c r="T773" s="95"/>
    </row>
    <row r="774" spans="1:20" ht="12.75" customHeight="1" x14ac:dyDescent="0.3">
      <c r="A774" s="95"/>
      <c r="B774" s="95"/>
      <c r="C774" s="97"/>
      <c r="D774" s="95"/>
      <c r="E774" s="95"/>
      <c r="F774" s="95"/>
      <c r="G774" s="95"/>
      <c r="H774" s="95"/>
      <c r="I774" s="95"/>
      <c r="J774" s="95"/>
      <c r="K774" s="95"/>
      <c r="L774" s="95"/>
      <c r="M774" s="95"/>
      <c r="N774" s="95"/>
      <c r="O774" s="95"/>
      <c r="P774" s="95"/>
      <c r="Q774" s="95"/>
      <c r="R774" s="95"/>
      <c r="S774" s="95"/>
      <c r="T774" s="95"/>
    </row>
    <row r="775" spans="1:20" ht="12.75" customHeight="1" x14ac:dyDescent="0.3">
      <c r="A775" s="95"/>
      <c r="B775" s="95"/>
      <c r="C775" s="97"/>
      <c r="D775" s="95"/>
      <c r="E775" s="95"/>
      <c r="F775" s="95"/>
      <c r="G775" s="95"/>
      <c r="H775" s="95"/>
      <c r="I775" s="95"/>
      <c r="J775" s="95"/>
      <c r="K775" s="95"/>
      <c r="L775" s="95"/>
      <c r="M775" s="95"/>
      <c r="N775" s="95"/>
      <c r="O775" s="95"/>
      <c r="P775" s="95"/>
      <c r="Q775" s="95"/>
      <c r="R775" s="95"/>
      <c r="S775" s="95"/>
      <c r="T775" s="95"/>
    </row>
    <row r="776" spans="1:20" ht="12.75" customHeight="1" x14ac:dyDescent="0.3">
      <c r="A776" s="95"/>
      <c r="B776" s="95"/>
      <c r="C776" s="97"/>
      <c r="D776" s="95"/>
      <c r="E776" s="95"/>
      <c r="F776" s="95"/>
      <c r="G776" s="95"/>
      <c r="H776" s="95"/>
      <c r="I776" s="95"/>
      <c r="J776" s="95"/>
      <c r="K776" s="95"/>
      <c r="L776" s="95"/>
      <c r="M776" s="95"/>
      <c r="N776" s="95"/>
      <c r="O776" s="95"/>
      <c r="P776" s="95"/>
      <c r="Q776" s="95"/>
      <c r="R776" s="95"/>
      <c r="S776" s="95"/>
      <c r="T776" s="95"/>
    </row>
    <row r="777" spans="1:20" ht="12.75" customHeight="1" x14ac:dyDescent="0.3">
      <c r="A777" s="95"/>
      <c r="B777" s="95"/>
      <c r="C777" s="97"/>
      <c r="D777" s="95"/>
      <c r="E777" s="95"/>
      <c r="F777" s="95"/>
      <c r="G777" s="95"/>
      <c r="H777" s="95"/>
      <c r="I777" s="95"/>
      <c r="J777" s="95"/>
      <c r="K777" s="95"/>
      <c r="L777" s="95"/>
      <c r="M777" s="95"/>
      <c r="N777" s="95"/>
      <c r="O777" s="95"/>
      <c r="P777" s="95"/>
      <c r="Q777" s="95"/>
      <c r="R777" s="95"/>
      <c r="S777" s="95"/>
      <c r="T777" s="95"/>
    </row>
    <row r="778" spans="1:20" ht="12.75" customHeight="1" x14ac:dyDescent="0.3">
      <c r="A778" s="95"/>
      <c r="B778" s="95"/>
      <c r="C778" s="97"/>
      <c r="D778" s="95"/>
      <c r="E778" s="95"/>
      <c r="F778" s="95"/>
      <c r="G778" s="95"/>
      <c r="H778" s="95"/>
      <c r="I778" s="95"/>
      <c r="J778" s="95"/>
      <c r="K778" s="95"/>
      <c r="L778" s="95"/>
      <c r="M778" s="95"/>
      <c r="N778" s="95"/>
      <c r="O778" s="95"/>
      <c r="P778" s="95"/>
      <c r="Q778" s="95"/>
      <c r="R778" s="95"/>
      <c r="S778" s="95"/>
      <c r="T778" s="95"/>
    </row>
    <row r="779" spans="1:20" ht="12.75" customHeight="1" x14ac:dyDescent="0.3">
      <c r="A779" s="95"/>
      <c r="B779" s="95"/>
      <c r="C779" s="97"/>
      <c r="D779" s="95"/>
      <c r="E779" s="95"/>
      <c r="F779" s="95"/>
      <c r="G779" s="95"/>
      <c r="H779" s="95"/>
      <c r="I779" s="95"/>
      <c r="J779" s="95"/>
      <c r="K779" s="95"/>
      <c r="L779" s="95"/>
      <c r="M779" s="95"/>
      <c r="N779" s="95"/>
      <c r="O779" s="95"/>
      <c r="P779" s="95"/>
      <c r="Q779" s="95"/>
      <c r="R779" s="95"/>
      <c r="S779" s="95"/>
      <c r="T779" s="95"/>
    </row>
    <row r="780" spans="1:20" ht="12.75" customHeight="1" x14ac:dyDescent="0.3">
      <c r="A780" s="95"/>
      <c r="B780" s="95"/>
      <c r="C780" s="97"/>
      <c r="D780" s="95"/>
      <c r="E780" s="95"/>
      <c r="F780" s="95"/>
      <c r="G780" s="95"/>
      <c r="H780" s="95"/>
      <c r="I780" s="95"/>
      <c r="J780" s="95"/>
      <c r="K780" s="95"/>
      <c r="L780" s="95"/>
      <c r="M780" s="95"/>
      <c r="N780" s="95"/>
      <c r="O780" s="95"/>
      <c r="P780" s="95"/>
      <c r="Q780" s="95"/>
      <c r="R780" s="95"/>
      <c r="S780" s="95"/>
      <c r="T780" s="95"/>
    </row>
    <row r="781" spans="1:20" ht="12.75" customHeight="1" x14ac:dyDescent="0.3">
      <c r="A781" s="95"/>
      <c r="B781" s="95"/>
      <c r="C781" s="97"/>
      <c r="D781" s="95"/>
      <c r="E781" s="95"/>
      <c r="F781" s="95"/>
      <c r="G781" s="95"/>
      <c r="H781" s="95"/>
      <c r="I781" s="95"/>
      <c r="J781" s="95"/>
      <c r="K781" s="95"/>
      <c r="L781" s="95"/>
      <c r="M781" s="95"/>
      <c r="N781" s="95"/>
      <c r="O781" s="95"/>
      <c r="P781" s="95"/>
      <c r="Q781" s="95"/>
      <c r="R781" s="95"/>
      <c r="S781" s="95"/>
      <c r="T781" s="95"/>
    </row>
    <row r="782" spans="1:20" ht="12.75" customHeight="1" x14ac:dyDescent="0.3">
      <c r="A782" s="95"/>
      <c r="B782" s="95"/>
      <c r="C782" s="97"/>
      <c r="D782" s="95"/>
      <c r="E782" s="95"/>
      <c r="F782" s="95"/>
      <c r="G782" s="95"/>
      <c r="H782" s="95"/>
      <c r="I782" s="95"/>
      <c r="J782" s="95"/>
      <c r="K782" s="95"/>
      <c r="L782" s="95"/>
      <c r="M782" s="95"/>
      <c r="N782" s="95"/>
      <c r="O782" s="95"/>
      <c r="P782" s="95"/>
      <c r="Q782" s="95"/>
      <c r="R782" s="95"/>
      <c r="S782" s="95"/>
      <c r="T782" s="95"/>
    </row>
    <row r="783" spans="1:20" ht="12.75" customHeight="1" x14ac:dyDescent="0.3">
      <c r="A783" s="95"/>
      <c r="B783" s="95"/>
      <c r="C783" s="97"/>
      <c r="D783" s="95"/>
      <c r="E783" s="95"/>
      <c r="F783" s="95"/>
      <c r="G783" s="95"/>
      <c r="H783" s="95"/>
      <c r="I783" s="95"/>
      <c r="J783" s="95"/>
      <c r="K783" s="95"/>
      <c r="L783" s="95"/>
      <c r="M783" s="95"/>
      <c r="N783" s="95"/>
      <c r="O783" s="95"/>
      <c r="P783" s="95"/>
      <c r="Q783" s="95"/>
      <c r="R783" s="95"/>
      <c r="S783" s="95"/>
      <c r="T783" s="95"/>
    </row>
    <row r="784" spans="1:20" ht="12.75" customHeight="1" x14ac:dyDescent="0.3">
      <c r="A784" s="95"/>
      <c r="B784" s="95"/>
      <c r="C784" s="97"/>
      <c r="D784" s="95"/>
      <c r="E784" s="95"/>
      <c r="F784" s="95"/>
      <c r="G784" s="95"/>
      <c r="H784" s="95"/>
      <c r="I784" s="95"/>
      <c r="J784" s="95"/>
      <c r="K784" s="95"/>
      <c r="L784" s="95"/>
      <c r="M784" s="95"/>
      <c r="N784" s="95"/>
      <c r="O784" s="95"/>
      <c r="P784" s="95"/>
      <c r="Q784" s="95"/>
      <c r="R784" s="95"/>
      <c r="S784" s="95"/>
      <c r="T784" s="95"/>
    </row>
    <row r="785" spans="1:20" ht="12.75" customHeight="1" x14ac:dyDescent="0.3">
      <c r="A785" s="95"/>
      <c r="B785" s="95"/>
      <c r="C785" s="97"/>
      <c r="D785" s="95"/>
      <c r="E785" s="95"/>
      <c r="F785" s="95"/>
      <c r="G785" s="95"/>
      <c r="H785" s="95"/>
      <c r="I785" s="95"/>
      <c r="J785" s="95"/>
      <c r="K785" s="95"/>
      <c r="L785" s="95"/>
      <c r="M785" s="95"/>
      <c r="N785" s="95"/>
      <c r="O785" s="95"/>
      <c r="P785" s="95"/>
      <c r="Q785" s="95"/>
      <c r="R785" s="95"/>
      <c r="S785" s="95"/>
      <c r="T785" s="95"/>
    </row>
    <row r="786" spans="1:20" ht="12.75" customHeight="1" x14ac:dyDescent="0.3">
      <c r="A786" s="95"/>
      <c r="B786" s="95"/>
      <c r="C786" s="97"/>
      <c r="D786" s="95"/>
      <c r="E786" s="95"/>
      <c r="F786" s="95"/>
      <c r="G786" s="95"/>
      <c r="H786" s="95"/>
      <c r="I786" s="95"/>
      <c r="J786" s="95"/>
      <c r="K786" s="95"/>
      <c r="L786" s="95"/>
      <c r="M786" s="95"/>
      <c r="N786" s="95"/>
      <c r="O786" s="95"/>
      <c r="P786" s="95"/>
      <c r="Q786" s="95"/>
      <c r="R786" s="95"/>
      <c r="S786" s="95"/>
      <c r="T786" s="95"/>
    </row>
    <row r="787" spans="1:20" ht="12.75" customHeight="1" x14ac:dyDescent="0.3">
      <c r="A787" s="95"/>
      <c r="B787" s="95"/>
      <c r="C787" s="97"/>
      <c r="D787" s="95"/>
      <c r="E787" s="95"/>
      <c r="F787" s="95"/>
      <c r="G787" s="95"/>
      <c r="H787" s="95"/>
      <c r="I787" s="95"/>
      <c r="J787" s="95"/>
      <c r="K787" s="95"/>
      <c r="L787" s="95"/>
      <c r="M787" s="95"/>
      <c r="N787" s="95"/>
      <c r="O787" s="95"/>
      <c r="P787" s="95"/>
      <c r="Q787" s="95"/>
      <c r="R787" s="95"/>
      <c r="S787" s="95"/>
      <c r="T787" s="95"/>
    </row>
    <row r="788" spans="1:20" ht="12.75" customHeight="1" x14ac:dyDescent="0.3">
      <c r="A788" s="95"/>
      <c r="B788" s="95"/>
      <c r="C788" s="97"/>
      <c r="D788" s="95"/>
      <c r="E788" s="95"/>
      <c r="F788" s="95"/>
      <c r="G788" s="95"/>
      <c r="H788" s="95"/>
      <c r="I788" s="95"/>
      <c r="J788" s="95"/>
      <c r="K788" s="95"/>
      <c r="L788" s="95"/>
      <c r="M788" s="95"/>
      <c r="N788" s="95"/>
      <c r="O788" s="95"/>
      <c r="P788" s="95"/>
      <c r="Q788" s="95"/>
      <c r="R788" s="95"/>
      <c r="S788" s="95"/>
      <c r="T788" s="95"/>
    </row>
    <row r="789" spans="1:20" ht="12.75" customHeight="1" x14ac:dyDescent="0.3">
      <c r="A789" s="95"/>
      <c r="B789" s="95"/>
      <c r="C789" s="97"/>
      <c r="D789" s="95"/>
      <c r="E789" s="95"/>
      <c r="F789" s="95"/>
      <c r="G789" s="95"/>
      <c r="H789" s="95"/>
      <c r="I789" s="95"/>
      <c r="J789" s="95"/>
      <c r="K789" s="95"/>
      <c r="L789" s="95"/>
      <c r="M789" s="95"/>
      <c r="N789" s="95"/>
      <c r="O789" s="95"/>
      <c r="P789" s="95"/>
      <c r="Q789" s="95"/>
      <c r="R789" s="95"/>
      <c r="S789" s="95"/>
      <c r="T789" s="95"/>
    </row>
    <row r="790" spans="1:20" ht="12.75" customHeight="1" x14ac:dyDescent="0.3">
      <c r="A790" s="95"/>
      <c r="B790" s="95"/>
      <c r="C790" s="97"/>
      <c r="D790" s="95"/>
      <c r="E790" s="95"/>
      <c r="F790" s="95"/>
      <c r="G790" s="95"/>
      <c r="H790" s="95"/>
      <c r="I790" s="95"/>
      <c r="J790" s="95"/>
      <c r="K790" s="95"/>
      <c r="L790" s="95"/>
      <c r="M790" s="95"/>
      <c r="N790" s="95"/>
      <c r="O790" s="95"/>
      <c r="P790" s="95"/>
      <c r="Q790" s="95"/>
      <c r="R790" s="95"/>
      <c r="S790" s="95"/>
      <c r="T790" s="95"/>
    </row>
    <row r="791" spans="1:20" ht="12.75" customHeight="1" x14ac:dyDescent="0.3">
      <c r="A791" s="95"/>
      <c r="B791" s="95"/>
      <c r="C791" s="97"/>
      <c r="D791" s="95"/>
      <c r="E791" s="95"/>
      <c r="F791" s="95"/>
      <c r="G791" s="95"/>
      <c r="H791" s="95"/>
      <c r="I791" s="95"/>
      <c r="J791" s="95"/>
      <c r="K791" s="95"/>
      <c r="L791" s="95"/>
      <c r="M791" s="95"/>
      <c r="N791" s="95"/>
      <c r="O791" s="95"/>
      <c r="P791" s="95"/>
      <c r="Q791" s="95"/>
      <c r="R791" s="95"/>
      <c r="S791" s="95"/>
      <c r="T791" s="95"/>
    </row>
    <row r="792" spans="1:20" ht="12.75" customHeight="1" x14ac:dyDescent="0.3">
      <c r="A792" s="95"/>
      <c r="B792" s="95"/>
      <c r="C792" s="97"/>
      <c r="D792" s="95"/>
      <c r="E792" s="95"/>
      <c r="F792" s="95"/>
      <c r="G792" s="95"/>
      <c r="H792" s="95"/>
      <c r="I792" s="95"/>
      <c r="J792" s="95"/>
      <c r="K792" s="95"/>
      <c r="L792" s="95"/>
      <c r="M792" s="95"/>
      <c r="N792" s="95"/>
      <c r="O792" s="95"/>
      <c r="P792" s="95"/>
      <c r="Q792" s="95"/>
      <c r="R792" s="95"/>
      <c r="S792" s="95"/>
      <c r="T792" s="95"/>
    </row>
    <row r="793" spans="1:20" ht="12.75" customHeight="1" x14ac:dyDescent="0.3">
      <c r="A793" s="95"/>
      <c r="B793" s="95"/>
      <c r="C793" s="97"/>
      <c r="D793" s="95"/>
      <c r="E793" s="95"/>
      <c r="F793" s="95"/>
      <c r="G793" s="95"/>
      <c r="H793" s="95"/>
      <c r="I793" s="95"/>
      <c r="J793" s="95"/>
      <c r="K793" s="95"/>
      <c r="L793" s="95"/>
      <c r="M793" s="95"/>
      <c r="N793" s="95"/>
      <c r="O793" s="95"/>
      <c r="P793" s="95"/>
      <c r="Q793" s="95"/>
      <c r="R793" s="95"/>
      <c r="S793" s="95"/>
      <c r="T793" s="95"/>
    </row>
    <row r="794" spans="1:20" ht="12.75" customHeight="1" x14ac:dyDescent="0.3">
      <c r="A794" s="95"/>
      <c r="B794" s="95"/>
      <c r="C794" s="97"/>
      <c r="D794" s="95"/>
      <c r="E794" s="95"/>
      <c r="F794" s="95"/>
      <c r="G794" s="95"/>
      <c r="H794" s="95"/>
      <c r="I794" s="95"/>
      <c r="J794" s="95"/>
      <c r="K794" s="95"/>
      <c r="L794" s="95"/>
      <c r="M794" s="95"/>
      <c r="N794" s="95"/>
      <c r="O794" s="95"/>
      <c r="P794" s="95"/>
      <c r="Q794" s="95"/>
      <c r="R794" s="95"/>
      <c r="S794" s="95"/>
      <c r="T794" s="95"/>
    </row>
    <row r="795" spans="1:20" ht="12.75" customHeight="1" x14ac:dyDescent="0.3">
      <c r="A795" s="95"/>
      <c r="B795" s="95"/>
      <c r="C795" s="97"/>
      <c r="D795" s="95"/>
      <c r="E795" s="95"/>
      <c r="F795" s="95"/>
      <c r="G795" s="95"/>
      <c r="H795" s="95"/>
      <c r="I795" s="95"/>
      <c r="J795" s="95"/>
      <c r="K795" s="95"/>
      <c r="L795" s="95"/>
      <c r="M795" s="95"/>
      <c r="N795" s="95"/>
      <c r="O795" s="95"/>
      <c r="P795" s="95"/>
      <c r="Q795" s="95"/>
      <c r="R795" s="95"/>
      <c r="S795" s="95"/>
      <c r="T795" s="95"/>
    </row>
    <row r="796" spans="1:20" ht="12.75" customHeight="1" x14ac:dyDescent="0.3">
      <c r="A796" s="95"/>
      <c r="B796" s="95"/>
      <c r="C796" s="97"/>
      <c r="D796" s="95"/>
      <c r="E796" s="95"/>
      <c r="F796" s="95"/>
      <c r="G796" s="95"/>
      <c r="H796" s="95"/>
      <c r="I796" s="95"/>
      <c r="J796" s="95"/>
      <c r="K796" s="95"/>
      <c r="L796" s="95"/>
      <c r="M796" s="95"/>
      <c r="N796" s="95"/>
      <c r="O796" s="95"/>
      <c r="P796" s="95"/>
      <c r="Q796" s="95"/>
      <c r="R796" s="95"/>
      <c r="S796" s="95"/>
      <c r="T796" s="95"/>
    </row>
    <row r="797" spans="1:20" ht="12.75" customHeight="1" x14ac:dyDescent="0.3">
      <c r="A797" s="95"/>
      <c r="B797" s="95"/>
      <c r="C797" s="97"/>
      <c r="D797" s="95"/>
      <c r="E797" s="95"/>
      <c r="F797" s="95"/>
      <c r="G797" s="95"/>
      <c r="H797" s="95"/>
      <c r="I797" s="95"/>
      <c r="J797" s="95"/>
      <c r="K797" s="95"/>
      <c r="L797" s="95"/>
      <c r="M797" s="95"/>
      <c r="N797" s="95"/>
      <c r="O797" s="95"/>
      <c r="P797" s="95"/>
      <c r="Q797" s="95"/>
      <c r="R797" s="95"/>
      <c r="S797" s="95"/>
      <c r="T797" s="95"/>
    </row>
    <row r="798" spans="1:20" ht="12.75" customHeight="1" x14ac:dyDescent="0.3">
      <c r="A798" s="95"/>
      <c r="B798" s="95"/>
      <c r="C798" s="97"/>
      <c r="D798" s="95"/>
      <c r="E798" s="95"/>
      <c r="F798" s="95"/>
      <c r="G798" s="95"/>
      <c r="H798" s="95"/>
      <c r="I798" s="95"/>
      <c r="J798" s="95"/>
      <c r="K798" s="95"/>
      <c r="L798" s="95"/>
      <c r="M798" s="95"/>
      <c r="N798" s="95"/>
      <c r="O798" s="95"/>
      <c r="P798" s="95"/>
      <c r="Q798" s="95"/>
      <c r="R798" s="95"/>
      <c r="S798" s="95"/>
      <c r="T798" s="95"/>
    </row>
    <row r="799" spans="1:20" ht="12.75" customHeight="1" x14ac:dyDescent="0.3">
      <c r="A799" s="95"/>
      <c r="B799" s="95"/>
      <c r="C799" s="97"/>
      <c r="D799" s="95"/>
      <c r="E799" s="95"/>
      <c r="F799" s="95"/>
      <c r="G799" s="95"/>
      <c r="H799" s="95"/>
      <c r="I799" s="95"/>
      <c r="J799" s="95"/>
      <c r="K799" s="95"/>
      <c r="L799" s="95"/>
      <c r="M799" s="95"/>
      <c r="N799" s="95"/>
      <c r="O799" s="95"/>
      <c r="P799" s="95"/>
      <c r="Q799" s="95"/>
      <c r="R799" s="95"/>
      <c r="S799" s="95"/>
      <c r="T799" s="95"/>
    </row>
    <row r="800" spans="1:20" ht="12.75" customHeight="1" x14ac:dyDescent="0.3">
      <c r="A800" s="95"/>
      <c r="B800" s="95"/>
      <c r="C800" s="97"/>
      <c r="D800" s="95"/>
      <c r="E800" s="95"/>
      <c r="F800" s="95"/>
      <c r="G800" s="95"/>
      <c r="H800" s="95"/>
      <c r="I800" s="95"/>
      <c r="J800" s="95"/>
      <c r="K800" s="95"/>
      <c r="L800" s="95"/>
      <c r="M800" s="95"/>
      <c r="N800" s="95"/>
      <c r="O800" s="95"/>
      <c r="P800" s="95"/>
      <c r="Q800" s="95"/>
      <c r="R800" s="95"/>
      <c r="S800" s="95"/>
      <c r="T800" s="95"/>
    </row>
    <row r="801" spans="1:20" ht="12.75" customHeight="1" x14ac:dyDescent="0.3">
      <c r="A801" s="95"/>
      <c r="B801" s="95"/>
      <c r="C801" s="97"/>
      <c r="D801" s="95"/>
      <c r="E801" s="95"/>
      <c r="F801" s="95"/>
      <c r="G801" s="95"/>
      <c r="H801" s="95"/>
      <c r="I801" s="95"/>
      <c r="J801" s="95"/>
      <c r="K801" s="95"/>
      <c r="L801" s="95"/>
      <c r="M801" s="95"/>
      <c r="N801" s="95"/>
      <c r="O801" s="95"/>
      <c r="P801" s="95"/>
      <c r="Q801" s="95"/>
      <c r="R801" s="95"/>
      <c r="S801" s="95"/>
      <c r="T801" s="95"/>
    </row>
    <row r="802" spans="1:20" ht="12.75" customHeight="1" x14ac:dyDescent="0.3">
      <c r="A802" s="95"/>
      <c r="B802" s="95"/>
      <c r="C802" s="97"/>
      <c r="D802" s="95"/>
      <c r="E802" s="95"/>
      <c r="F802" s="95"/>
      <c r="G802" s="95"/>
      <c r="H802" s="95"/>
      <c r="I802" s="95"/>
      <c r="J802" s="95"/>
      <c r="K802" s="95"/>
      <c r="L802" s="95"/>
      <c r="M802" s="95"/>
      <c r="N802" s="95"/>
      <c r="O802" s="95"/>
      <c r="P802" s="95"/>
      <c r="Q802" s="95"/>
      <c r="R802" s="95"/>
      <c r="S802" s="95"/>
      <c r="T802" s="95"/>
    </row>
    <row r="803" spans="1:20" ht="12.75" customHeight="1" x14ac:dyDescent="0.3">
      <c r="A803" s="95"/>
      <c r="B803" s="95"/>
      <c r="C803" s="97"/>
      <c r="D803" s="95"/>
      <c r="E803" s="95"/>
      <c r="F803" s="95"/>
      <c r="G803" s="95"/>
      <c r="H803" s="95"/>
      <c r="I803" s="95"/>
      <c r="J803" s="95"/>
      <c r="K803" s="95"/>
      <c r="L803" s="95"/>
      <c r="M803" s="95"/>
      <c r="N803" s="95"/>
      <c r="O803" s="95"/>
      <c r="P803" s="95"/>
      <c r="Q803" s="95"/>
      <c r="R803" s="95"/>
      <c r="S803" s="95"/>
      <c r="T803" s="95"/>
    </row>
    <row r="804" spans="1:20" ht="12.75" customHeight="1" x14ac:dyDescent="0.3">
      <c r="A804" s="95"/>
      <c r="B804" s="95"/>
      <c r="C804" s="97"/>
      <c r="D804" s="95"/>
      <c r="E804" s="95"/>
      <c r="F804" s="95"/>
      <c r="G804" s="95"/>
      <c r="H804" s="95"/>
      <c r="I804" s="95"/>
      <c r="J804" s="95"/>
      <c r="K804" s="95"/>
      <c r="L804" s="95"/>
      <c r="M804" s="95"/>
      <c r="N804" s="95"/>
      <c r="O804" s="95"/>
      <c r="P804" s="95"/>
      <c r="Q804" s="95"/>
      <c r="R804" s="95"/>
      <c r="S804" s="95"/>
      <c r="T804" s="95"/>
    </row>
    <row r="805" spans="1:20" ht="12.75" customHeight="1" x14ac:dyDescent="0.3">
      <c r="A805" s="95"/>
      <c r="B805" s="95"/>
      <c r="C805" s="97"/>
      <c r="D805" s="95"/>
      <c r="E805" s="95"/>
      <c r="F805" s="95"/>
      <c r="G805" s="95"/>
      <c r="H805" s="95"/>
      <c r="I805" s="95"/>
      <c r="J805" s="95"/>
      <c r="K805" s="95"/>
      <c r="L805" s="95"/>
      <c r="M805" s="95"/>
      <c r="N805" s="95"/>
      <c r="O805" s="95"/>
      <c r="P805" s="95"/>
      <c r="Q805" s="95"/>
      <c r="R805" s="95"/>
      <c r="S805" s="95"/>
      <c r="T805" s="95"/>
    </row>
    <row r="806" spans="1:20" ht="12.75" customHeight="1" x14ac:dyDescent="0.3">
      <c r="A806" s="95"/>
      <c r="B806" s="95"/>
      <c r="C806" s="97"/>
      <c r="D806" s="95"/>
      <c r="E806" s="95"/>
      <c r="F806" s="95"/>
      <c r="G806" s="95"/>
      <c r="H806" s="95"/>
      <c r="I806" s="95"/>
      <c r="J806" s="95"/>
      <c r="K806" s="95"/>
      <c r="L806" s="95"/>
      <c r="M806" s="95"/>
      <c r="N806" s="95"/>
      <c r="O806" s="95"/>
      <c r="P806" s="95"/>
      <c r="Q806" s="95"/>
      <c r="R806" s="95"/>
      <c r="S806" s="95"/>
      <c r="T806" s="95"/>
    </row>
    <row r="807" spans="1:20" ht="12.75" customHeight="1" x14ac:dyDescent="0.3">
      <c r="A807" s="95"/>
      <c r="B807" s="95"/>
      <c r="C807" s="97"/>
      <c r="D807" s="95"/>
      <c r="E807" s="95"/>
      <c r="F807" s="95"/>
      <c r="G807" s="95"/>
      <c r="H807" s="95"/>
      <c r="I807" s="95"/>
      <c r="J807" s="95"/>
      <c r="K807" s="95"/>
      <c r="L807" s="95"/>
      <c r="M807" s="95"/>
      <c r="N807" s="95"/>
      <c r="O807" s="95"/>
      <c r="P807" s="95"/>
      <c r="Q807" s="95"/>
      <c r="R807" s="95"/>
      <c r="S807" s="95"/>
      <c r="T807" s="95"/>
    </row>
    <row r="808" spans="1:20" ht="12.75" customHeight="1" x14ac:dyDescent="0.3">
      <c r="A808" s="95"/>
      <c r="B808" s="95"/>
      <c r="C808" s="97"/>
      <c r="D808" s="95"/>
      <c r="E808" s="95"/>
      <c r="F808" s="95"/>
      <c r="G808" s="95"/>
      <c r="H808" s="95"/>
      <c r="I808" s="95"/>
      <c r="J808" s="95"/>
      <c r="K808" s="95"/>
      <c r="L808" s="95"/>
      <c r="M808" s="95"/>
      <c r="N808" s="95"/>
      <c r="O808" s="95"/>
      <c r="P808" s="95"/>
      <c r="Q808" s="95"/>
      <c r="R808" s="95"/>
      <c r="S808" s="95"/>
      <c r="T808" s="95"/>
    </row>
    <row r="809" spans="1:20" ht="12.75" customHeight="1" x14ac:dyDescent="0.3">
      <c r="A809" s="95"/>
      <c r="B809" s="95"/>
      <c r="C809" s="97"/>
      <c r="D809" s="95"/>
      <c r="E809" s="95"/>
      <c r="F809" s="95"/>
      <c r="G809" s="95"/>
      <c r="H809" s="95"/>
      <c r="I809" s="95"/>
      <c r="J809" s="95"/>
      <c r="K809" s="95"/>
      <c r="L809" s="95"/>
      <c r="M809" s="95"/>
      <c r="N809" s="95"/>
      <c r="O809" s="95"/>
      <c r="P809" s="95"/>
      <c r="Q809" s="95"/>
      <c r="R809" s="95"/>
      <c r="S809" s="95"/>
      <c r="T809" s="95"/>
    </row>
    <row r="810" spans="1:20" ht="12.75" customHeight="1" x14ac:dyDescent="0.3">
      <c r="A810" s="95"/>
      <c r="B810" s="95"/>
      <c r="C810" s="97"/>
      <c r="D810" s="95"/>
      <c r="E810" s="95"/>
      <c r="F810" s="95"/>
      <c r="G810" s="95"/>
      <c r="H810" s="95"/>
      <c r="I810" s="95"/>
      <c r="J810" s="95"/>
      <c r="K810" s="95"/>
      <c r="L810" s="95"/>
      <c r="M810" s="95"/>
      <c r="N810" s="95"/>
      <c r="O810" s="95"/>
      <c r="P810" s="95"/>
      <c r="Q810" s="95"/>
      <c r="R810" s="95"/>
      <c r="S810" s="95"/>
      <c r="T810" s="95"/>
    </row>
    <row r="811" spans="1:20" ht="12.75" customHeight="1" x14ac:dyDescent="0.3">
      <c r="A811" s="95"/>
      <c r="B811" s="95"/>
      <c r="C811" s="97"/>
      <c r="D811" s="95"/>
      <c r="E811" s="95"/>
      <c r="F811" s="95"/>
      <c r="G811" s="95"/>
      <c r="H811" s="95"/>
      <c r="I811" s="95"/>
      <c r="J811" s="95"/>
      <c r="K811" s="95"/>
      <c r="L811" s="95"/>
      <c r="M811" s="95"/>
      <c r="N811" s="95"/>
      <c r="O811" s="95"/>
      <c r="P811" s="95"/>
      <c r="Q811" s="95"/>
      <c r="R811" s="95"/>
      <c r="S811" s="95"/>
      <c r="T811" s="95"/>
    </row>
    <row r="812" spans="1:20" ht="12.75" customHeight="1" x14ac:dyDescent="0.3">
      <c r="A812" s="95"/>
      <c r="B812" s="95"/>
      <c r="C812" s="97"/>
      <c r="D812" s="95"/>
      <c r="E812" s="95"/>
      <c r="F812" s="95"/>
      <c r="G812" s="95"/>
      <c r="H812" s="95"/>
      <c r="I812" s="95"/>
      <c r="J812" s="95"/>
      <c r="K812" s="95"/>
      <c r="L812" s="95"/>
      <c r="M812" s="95"/>
      <c r="N812" s="95"/>
      <c r="O812" s="95"/>
      <c r="P812" s="95"/>
      <c r="Q812" s="95"/>
      <c r="R812" s="95"/>
      <c r="S812" s="95"/>
      <c r="T812" s="95"/>
    </row>
    <row r="813" spans="1:20" ht="12.75" customHeight="1" x14ac:dyDescent="0.3">
      <c r="A813" s="95"/>
      <c r="B813" s="95"/>
      <c r="C813" s="97"/>
      <c r="D813" s="95"/>
      <c r="E813" s="95"/>
      <c r="F813" s="95"/>
      <c r="G813" s="95"/>
      <c r="H813" s="95"/>
      <c r="I813" s="95"/>
      <c r="J813" s="95"/>
      <c r="K813" s="95"/>
      <c r="L813" s="95"/>
      <c r="M813" s="95"/>
      <c r="N813" s="95"/>
      <c r="O813" s="95"/>
      <c r="P813" s="95"/>
      <c r="Q813" s="95"/>
      <c r="R813" s="95"/>
      <c r="S813" s="95"/>
      <c r="T813" s="95"/>
    </row>
    <row r="814" spans="1:20" ht="12.75" customHeight="1" x14ac:dyDescent="0.3">
      <c r="A814" s="95"/>
      <c r="B814" s="95"/>
      <c r="C814" s="97"/>
      <c r="D814" s="95"/>
      <c r="E814" s="95"/>
      <c r="F814" s="95"/>
      <c r="G814" s="95"/>
      <c r="H814" s="95"/>
      <c r="I814" s="95"/>
      <c r="J814" s="95"/>
      <c r="K814" s="95"/>
      <c r="L814" s="95"/>
      <c r="M814" s="95"/>
      <c r="N814" s="95"/>
      <c r="O814" s="95"/>
      <c r="P814" s="95"/>
      <c r="Q814" s="95"/>
      <c r="R814" s="95"/>
      <c r="S814" s="95"/>
      <c r="T814" s="95"/>
    </row>
    <row r="815" spans="1:20" ht="12.75" customHeight="1" x14ac:dyDescent="0.3">
      <c r="A815" s="95"/>
      <c r="B815" s="95"/>
      <c r="C815" s="97"/>
      <c r="D815" s="95"/>
      <c r="E815" s="95"/>
      <c r="F815" s="95"/>
      <c r="G815" s="95"/>
      <c r="H815" s="95"/>
      <c r="I815" s="95"/>
      <c r="J815" s="95"/>
      <c r="K815" s="95"/>
      <c r="L815" s="95"/>
      <c r="M815" s="95"/>
      <c r="N815" s="95"/>
      <c r="O815" s="95"/>
      <c r="P815" s="95"/>
      <c r="Q815" s="95"/>
      <c r="R815" s="95"/>
      <c r="S815" s="95"/>
      <c r="T815" s="95"/>
    </row>
    <row r="816" spans="1:20" ht="12.75" customHeight="1" x14ac:dyDescent="0.3">
      <c r="A816" s="95"/>
      <c r="B816" s="95"/>
      <c r="C816" s="97"/>
      <c r="D816" s="95"/>
      <c r="E816" s="95"/>
      <c r="F816" s="95"/>
      <c r="G816" s="95"/>
      <c r="H816" s="95"/>
      <c r="I816" s="95"/>
      <c r="J816" s="95"/>
      <c r="K816" s="95"/>
      <c r="L816" s="95"/>
      <c r="M816" s="95"/>
      <c r="N816" s="95"/>
      <c r="O816" s="95"/>
      <c r="P816" s="95"/>
      <c r="Q816" s="95"/>
      <c r="R816" s="95"/>
      <c r="S816" s="95"/>
      <c r="T816" s="95"/>
    </row>
    <row r="817" spans="1:20" ht="12.75" customHeight="1" x14ac:dyDescent="0.3">
      <c r="A817" s="95"/>
      <c r="B817" s="95"/>
      <c r="C817" s="97"/>
      <c r="D817" s="95"/>
      <c r="E817" s="95"/>
      <c r="F817" s="95"/>
      <c r="G817" s="95"/>
      <c r="H817" s="95"/>
      <c r="I817" s="95"/>
      <c r="J817" s="95"/>
      <c r="K817" s="95"/>
      <c r="L817" s="95"/>
      <c r="M817" s="95"/>
      <c r="N817" s="95"/>
      <c r="O817" s="95"/>
      <c r="P817" s="95"/>
      <c r="Q817" s="95"/>
      <c r="R817" s="95"/>
      <c r="S817" s="95"/>
      <c r="T817" s="95"/>
    </row>
    <row r="818" spans="1:20" ht="12.75" customHeight="1" x14ac:dyDescent="0.3">
      <c r="A818" s="95"/>
      <c r="B818" s="95"/>
      <c r="C818" s="97"/>
      <c r="D818" s="95"/>
      <c r="E818" s="95"/>
      <c r="F818" s="95"/>
      <c r="G818" s="95"/>
      <c r="H818" s="95"/>
      <c r="I818" s="95"/>
      <c r="J818" s="95"/>
      <c r="K818" s="95"/>
      <c r="L818" s="95"/>
      <c r="M818" s="95"/>
      <c r="N818" s="95"/>
      <c r="O818" s="95"/>
      <c r="P818" s="95"/>
      <c r="Q818" s="95"/>
      <c r="R818" s="95"/>
      <c r="S818" s="95"/>
      <c r="T818" s="95"/>
    </row>
    <row r="819" spans="1:20" ht="12.75" customHeight="1" x14ac:dyDescent="0.3">
      <c r="A819" s="95"/>
      <c r="B819" s="95"/>
      <c r="C819" s="97"/>
      <c r="D819" s="95"/>
      <c r="E819" s="95"/>
      <c r="F819" s="95"/>
      <c r="G819" s="95"/>
      <c r="H819" s="95"/>
      <c r="I819" s="95"/>
      <c r="J819" s="95"/>
      <c r="K819" s="95"/>
      <c r="L819" s="95"/>
      <c r="M819" s="95"/>
      <c r="N819" s="95"/>
      <c r="O819" s="95"/>
      <c r="P819" s="95"/>
      <c r="Q819" s="95"/>
      <c r="R819" s="95"/>
      <c r="S819" s="95"/>
      <c r="T819" s="95"/>
    </row>
    <row r="820" spans="1:20" ht="12.75" customHeight="1" x14ac:dyDescent="0.3">
      <c r="A820" s="95"/>
      <c r="B820" s="95"/>
      <c r="C820" s="97"/>
      <c r="D820" s="95"/>
      <c r="E820" s="95"/>
      <c r="F820" s="95"/>
      <c r="G820" s="95"/>
      <c r="H820" s="95"/>
      <c r="I820" s="95"/>
      <c r="J820" s="95"/>
      <c r="K820" s="95"/>
      <c r="L820" s="95"/>
      <c r="M820" s="95"/>
      <c r="N820" s="95"/>
      <c r="O820" s="95"/>
      <c r="P820" s="95"/>
      <c r="Q820" s="95"/>
      <c r="R820" s="95"/>
      <c r="S820" s="95"/>
      <c r="T820" s="95"/>
    </row>
    <row r="821" spans="1:20" ht="12.75" customHeight="1" x14ac:dyDescent="0.3">
      <c r="A821" s="95"/>
      <c r="B821" s="95"/>
      <c r="C821" s="97"/>
      <c r="D821" s="95"/>
      <c r="E821" s="95"/>
      <c r="F821" s="95"/>
      <c r="G821" s="95"/>
      <c r="H821" s="95"/>
      <c r="I821" s="95"/>
      <c r="J821" s="95"/>
      <c r="K821" s="95"/>
      <c r="L821" s="95"/>
      <c r="M821" s="95"/>
      <c r="N821" s="95"/>
      <c r="O821" s="95"/>
      <c r="P821" s="95"/>
      <c r="Q821" s="95"/>
      <c r="R821" s="95"/>
      <c r="S821" s="95"/>
      <c r="T821" s="95"/>
    </row>
    <row r="822" spans="1:20" ht="12.75" customHeight="1" x14ac:dyDescent="0.3">
      <c r="A822" s="95"/>
      <c r="B822" s="95"/>
      <c r="C822" s="97"/>
      <c r="D822" s="95"/>
      <c r="E822" s="95"/>
      <c r="F822" s="95"/>
      <c r="G822" s="95"/>
      <c r="H822" s="95"/>
      <c r="I822" s="95"/>
      <c r="J822" s="95"/>
      <c r="K822" s="95"/>
      <c r="L822" s="95"/>
      <c r="M822" s="95"/>
      <c r="N822" s="95"/>
      <c r="O822" s="95"/>
      <c r="P822" s="95"/>
      <c r="Q822" s="95"/>
      <c r="R822" s="95"/>
      <c r="S822" s="95"/>
      <c r="T822" s="95"/>
    </row>
    <row r="823" spans="1:20" ht="12.75" customHeight="1" x14ac:dyDescent="0.3">
      <c r="A823" s="95"/>
      <c r="B823" s="95"/>
      <c r="C823" s="97"/>
      <c r="D823" s="95"/>
      <c r="E823" s="95"/>
      <c r="F823" s="95"/>
      <c r="G823" s="95"/>
      <c r="H823" s="95"/>
      <c r="I823" s="95"/>
      <c r="J823" s="95"/>
      <c r="K823" s="95"/>
      <c r="L823" s="95"/>
      <c r="M823" s="95"/>
      <c r="N823" s="95"/>
      <c r="O823" s="95"/>
      <c r="P823" s="95"/>
      <c r="Q823" s="95"/>
      <c r="R823" s="95"/>
      <c r="S823" s="95"/>
      <c r="T823" s="95"/>
    </row>
    <row r="824" spans="1:20" ht="12.75" customHeight="1" x14ac:dyDescent="0.3">
      <c r="A824" s="95"/>
      <c r="B824" s="95"/>
      <c r="C824" s="97"/>
      <c r="D824" s="95"/>
      <c r="E824" s="95"/>
      <c r="F824" s="95"/>
      <c r="G824" s="95"/>
      <c r="H824" s="95"/>
      <c r="I824" s="95"/>
      <c r="J824" s="95"/>
      <c r="K824" s="95"/>
      <c r="L824" s="95"/>
      <c r="M824" s="95"/>
      <c r="N824" s="95"/>
      <c r="O824" s="95"/>
      <c r="P824" s="95"/>
      <c r="Q824" s="95"/>
      <c r="R824" s="95"/>
      <c r="S824" s="95"/>
      <c r="T824" s="95"/>
    </row>
    <row r="825" spans="1:20" ht="12.75" customHeight="1" x14ac:dyDescent="0.3">
      <c r="A825" s="95"/>
      <c r="B825" s="95"/>
      <c r="C825" s="97"/>
      <c r="D825" s="95"/>
      <c r="E825" s="95"/>
      <c r="F825" s="95"/>
      <c r="G825" s="95"/>
      <c r="H825" s="95"/>
      <c r="I825" s="95"/>
      <c r="J825" s="95"/>
      <c r="K825" s="95"/>
      <c r="L825" s="95"/>
      <c r="M825" s="95"/>
      <c r="N825" s="95"/>
      <c r="O825" s="95"/>
      <c r="P825" s="95"/>
      <c r="Q825" s="95"/>
      <c r="R825" s="95"/>
      <c r="S825" s="95"/>
      <c r="T825" s="95"/>
    </row>
    <row r="826" spans="1:20" ht="12.75" customHeight="1" x14ac:dyDescent="0.3">
      <c r="A826" s="95"/>
      <c r="B826" s="95"/>
      <c r="C826" s="97"/>
      <c r="D826" s="95"/>
      <c r="E826" s="95"/>
      <c r="F826" s="95"/>
      <c r="G826" s="95"/>
      <c r="H826" s="95"/>
      <c r="I826" s="95"/>
      <c r="J826" s="95"/>
      <c r="K826" s="95"/>
      <c r="L826" s="95"/>
      <c r="M826" s="95"/>
      <c r="N826" s="95"/>
      <c r="O826" s="95"/>
      <c r="P826" s="95"/>
      <c r="Q826" s="95"/>
      <c r="R826" s="95"/>
      <c r="S826" s="95"/>
      <c r="T826" s="95"/>
    </row>
    <row r="827" spans="1:20" ht="12.75" customHeight="1" x14ac:dyDescent="0.3">
      <c r="A827" s="95"/>
      <c r="B827" s="95"/>
      <c r="C827" s="97"/>
      <c r="D827" s="95"/>
      <c r="E827" s="95"/>
      <c r="F827" s="95"/>
      <c r="G827" s="95"/>
      <c r="H827" s="95"/>
      <c r="I827" s="95"/>
      <c r="J827" s="95"/>
      <c r="K827" s="95"/>
      <c r="L827" s="95"/>
      <c r="M827" s="95"/>
      <c r="N827" s="95"/>
      <c r="O827" s="95"/>
      <c r="P827" s="95"/>
      <c r="Q827" s="95"/>
      <c r="R827" s="95"/>
      <c r="S827" s="95"/>
      <c r="T827" s="95"/>
    </row>
    <row r="828" spans="1:20" ht="12.75" customHeight="1" x14ac:dyDescent="0.3">
      <c r="A828" s="95"/>
      <c r="B828" s="95"/>
      <c r="C828" s="97"/>
      <c r="D828" s="95"/>
      <c r="E828" s="95"/>
      <c r="F828" s="95"/>
      <c r="G828" s="95"/>
      <c r="H828" s="95"/>
      <c r="I828" s="95"/>
      <c r="J828" s="95"/>
      <c r="K828" s="95"/>
      <c r="L828" s="95"/>
      <c r="M828" s="95"/>
      <c r="N828" s="95"/>
      <c r="O828" s="95"/>
      <c r="P828" s="95"/>
      <c r="Q828" s="95"/>
      <c r="R828" s="95"/>
      <c r="S828" s="95"/>
      <c r="T828" s="95"/>
    </row>
    <row r="829" spans="1:20" ht="12.75" customHeight="1" x14ac:dyDescent="0.3">
      <c r="A829" s="95"/>
      <c r="B829" s="95"/>
      <c r="C829" s="97"/>
      <c r="D829" s="95"/>
      <c r="E829" s="95"/>
      <c r="F829" s="95"/>
      <c r="G829" s="95"/>
      <c r="H829" s="95"/>
      <c r="I829" s="95"/>
      <c r="J829" s="95"/>
      <c r="K829" s="95"/>
      <c r="L829" s="95"/>
      <c r="M829" s="95"/>
      <c r="N829" s="95"/>
      <c r="O829" s="95"/>
      <c r="P829" s="95"/>
      <c r="Q829" s="95"/>
      <c r="R829" s="95"/>
      <c r="S829" s="95"/>
      <c r="T829" s="95"/>
    </row>
    <row r="830" spans="1:20" ht="12.75" customHeight="1" x14ac:dyDescent="0.3">
      <c r="A830" s="95"/>
      <c r="B830" s="95"/>
      <c r="C830" s="97"/>
      <c r="D830" s="95"/>
      <c r="E830" s="95"/>
      <c r="F830" s="95"/>
      <c r="G830" s="95"/>
      <c r="H830" s="95"/>
      <c r="I830" s="95"/>
      <c r="J830" s="95"/>
      <c r="K830" s="95"/>
      <c r="L830" s="95"/>
      <c r="M830" s="95"/>
      <c r="N830" s="95"/>
      <c r="O830" s="95"/>
      <c r="P830" s="95"/>
      <c r="Q830" s="95"/>
      <c r="R830" s="95"/>
      <c r="S830" s="95"/>
      <c r="T830" s="95"/>
    </row>
    <row r="831" spans="1:20" ht="12.75" customHeight="1" x14ac:dyDescent="0.3">
      <c r="A831" s="95"/>
      <c r="B831" s="95"/>
      <c r="C831" s="97"/>
      <c r="D831" s="95"/>
      <c r="E831" s="95"/>
      <c r="F831" s="95"/>
      <c r="G831" s="95"/>
      <c r="H831" s="95"/>
      <c r="I831" s="95"/>
      <c r="J831" s="95"/>
      <c r="K831" s="95"/>
      <c r="L831" s="95"/>
      <c r="M831" s="95"/>
      <c r="N831" s="95"/>
      <c r="O831" s="95"/>
      <c r="P831" s="95"/>
      <c r="Q831" s="95"/>
      <c r="R831" s="95"/>
      <c r="S831" s="95"/>
      <c r="T831" s="95"/>
    </row>
    <row r="832" spans="1:20" ht="12.75" customHeight="1" x14ac:dyDescent="0.3">
      <c r="A832" s="95"/>
      <c r="B832" s="95"/>
      <c r="C832" s="97"/>
      <c r="D832" s="95"/>
      <c r="E832" s="95"/>
      <c r="F832" s="95"/>
      <c r="G832" s="95"/>
      <c r="H832" s="95"/>
      <c r="I832" s="95"/>
      <c r="J832" s="95"/>
      <c r="K832" s="95"/>
      <c r="L832" s="95"/>
      <c r="M832" s="95"/>
      <c r="N832" s="95"/>
      <c r="O832" s="95"/>
      <c r="P832" s="95"/>
      <c r="Q832" s="95"/>
      <c r="R832" s="95"/>
      <c r="S832" s="95"/>
      <c r="T832" s="95"/>
    </row>
    <row r="833" spans="1:20" ht="12.75" customHeight="1" x14ac:dyDescent="0.3">
      <c r="A833" s="95"/>
      <c r="B833" s="95"/>
      <c r="C833" s="97"/>
      <c r="D833" s="95"/>
      <c r="E833" s="95"/>
      <c r="F833" s="95"/>
      <c r="G833" s="95"/>
      <c r="H833" s="95"/>
      <c r="I833" s="95"/>
      <c r="J833" s="95"/>
      <c r="K833" s="95"/>
      <c r="L833" s="95"/>
      <c r="M833" s="95"/>
      <c r="N833" s="95"/>
      <c r="O833" s="95"/>
      <c r="P833" s="95"/>
      <c r="Q833" s="95"/>
      <c r="R833" s="95"/>
      <c r="S833" s="95"/>
      <c r="T833" s="95"/>
    </row>
    <row r="834" spans="1:20" ht="12.75" customHeight="1" x14ac:dyDescent="0.3">
      <c r="A834" s="95"/>
      <c r="B834" s="95"/>
      <c r="C834" s="97"/>
      <c r="D834" s="95"/>
      <c r="E834" s="95"/>
      <c r="F834" s="95"/>
      <c r="G834" s="95"/>
      <c r="H834" s="95"/>
      <c r="I834" s="95"/>
      <c r="J834" s="95"/>
      <c r="K834" s="95"/>
      <c r="L834" s="95"/>
      <c r="M834" s="95"/>
      <c r="N834" s="95"/>
      <c r="O834" s="95"/>
      <c r="P834" s="95"/>
      <c r="Q834" s="95"/>
      <c r="R834" s="95"/>
      <c r="S834" s="95"/>
      <c r="T834" s="95"/>
    </row>
    <row r="835" spans="1:20" ht="12.75" customHeight="1" x14ac:dyDescent="0.3">
      <c r="A835" s="95"/>
      <c r="B835" s="95"/>
      <c r="C835" s="97"/>
      <c r="D835" s="95"/>
      <c r="E835" s="95"/>
      <c r="F835" s="95"/>
      <c r="G835" s="95"/>
      <c r="H835" s="95"/>
      <c r="I835" s="95"/>
      <c r="J835" s="95"/>
      <c r="K835" s="95"/>
      <c r="L835" s="95"/>
      <c r="M835" s="95"/>
      <c r="N835" s="95"/>
      <c r="O835" s="95"/>
      <c r="P835" s="95"/>
      <c r="Q835" s="95"/>
      <c r="R835" s="95"/>
      <c r="S835" s="95"/>
      <c r="T835" s="95"/>
    </row>
    <row r="836" spans="1:20" ht="12.75" customHeight="1" x14ac:dyDescent="0.3">
      <c r="A836" s="95"/>
      <c r="B836" s="95"/>
      <c r="C836" s="97"/>
      <c r="D836" s="95"/>
      <c r="E836" s="95"/>
      <c r="F836" s="95"/>
      <c r="G836" s="95"/>
      <c r="H836" s="95"/>
      <c r="I836" s="95"/>
      <c r="J836" s="95"/>
      <c r="K836" s="95"/>
      <c r="L836" s="95"/>
      <c r="M836" s="95"/>
      <c r="N836" s="95"/>
      <c r="O836" s="95"/>
      <c r="P836" s="95"/>
      <c r="Q836" s="95"/>
      <c r="R836" s="95"/>
      <c r="S836" s="95"/>
      <c r="T836" s="95"/>
    </row>
    <row r="837" spans="1:20" ht="12.75" customHeight="1" x14ac:dyDescent="0.3">
      <c r="A837" s="95"/>
      <c r="B837" s="95"/>
      <c r="C837" s="97"/>
      <c r="D837" s="95"/>
      <c r="E837" s="95"/>
      <c r="F837" s="95"/>
      <c r="G837" s="95"/>
      <c r="H837" s="95"/>
      <c r="I837" s="95"/>
      <c r="J837" s="95"/>
      <c r="K837" s="95"/>
      <c r="L837" s="95"/>
      <c r="M837" s="95"/>
      <c r="N837" s="95"/>
      <c r="O837" s="95"/>
      <c r="P837" s="95"/>
      <c r="Q837" s="95"/>
      <c r="R837" s="95"/>
      <c r="S837" s="95"/>
      <c r="T837" s="95"/>
    </row>
    <row r="838" spans="1:20" ht="12.75" customHeight="1" x14ac:dyDescent="0.3">
      <c r="A838" s="95"/>
      <c r="B838" s="95"/>
      <c r="C838" s="97"/>
      <c r="D838" s="95"/>
      <c r="E838" s="95"/>
      <c r="F838" s="95"/>
      <c r="G838" s="95"/>
      <c r="H838" s="95"/>
      <c r="I838" s="95"/>
      <c r="J838" s="95"/>
      <c r="K838" s="95"/>
      <c r="L838" s="95"/>
      <c r="M838" s="95"/>
      <c r="N838" s="95"/>
      <c r="O838" s="95"/>
      <c r="P838" s="95"/>
      <c r="Q838" s="95"/>
      <c r="R838" s="95"/>
      <c r="S838" s="95"/>
      <c r="T838" s="95"/>
    </row>
    <row r="839" spans="1:20" ht="12.75" customHeight="1" x14ac:dyDescent="0.3">
      <c r="A839" s="95"/>
      <c r="B839" s="95"/>
      <c r="C839" s="97"/>
      <c r="D839" s="95"/>
      <c r="E839" s="95"/>
      <c r="F839" s="95"/>
      <c r="G839" s="95"/>
      <c r="H839" s="95"/>
      <c r="I839" s="95"/>
      <c r="J839" s="95"/>
      <c r="K839" s="95"/>
      <c r="L839" s="95"/>
      <c r="M839" s="95"/>
      <c r="N839" s="95"/>
      <c r="O839" s="95"/>
      <c r="P839" s="95"/>
      <c r="Q839" s="95"/>
      <c r="R839" s="95"/>
      <c r="S839" s="95"/>
      <c r="T839" s="95"/>
    </row>
    <row r="840" spans="1:20" ht="12.75" customHeight="1" x14ac:dyDescent="0.3">
      <c r="A840" s="95"/>
      <c r="B840" s="95"/>
      <c r="C840" s="97"/>
      <c r="D840" s="95"/>
      <c r="E840" s="95"/>
      <c r="F840" s="95"/>
      <c r="G840" s="95"/>
      <c r="H840" s="95"/>
      <c r="I840" s="95"/>
      <c r="J840" s="95"/>
      <c r="K840" s="95"/>
      <c r="L840" s="95"/>
      <c r="M840" s="95"/>
      <c r="N840" s="95"/>
      <c r="O840" s="95"/>
      <c r="P840" s="95"/>
      <c r="Q840" s="95"/>
      <c r="R840" s="95"/>
      <c r="S840" s="95"/>
      <c r="T840" s="95"/>
    </row>
    <row r="841" spans="1:20" ht="12.75" customHeight="1" x14ac:dyDescent="0.3">
      <c r="A841" s="95"/>
      <c r="B841" s="95"/>
      <c r="C841" s="97"/>
      <c r="D841" s="95"/>
      <c r="E841" s="95"/>
      <c r="F841" s="95"/>
      <c r="G841" s="95"/>
      <c r="H841" s="95"/>
      <c r="I841" s="95"/>
      <c r="J841" s="95"/>
      <c r="K841" s="95"/>
      <c r="L841" s="95"/>
      <c r="M841" s="95"/>
      <c r="N841" s="95"/>
      <c r="O841" s="95"/>
      <c r="P841" s="95"/>
      <c r="Q841" s="95"/>
      <c r="R841" s="95"/>
      <c r="S841" s="95"/>
      <c r="T841" s="95"/>
    </row>
    <row r="842" spans="1:20" ht="12.75" customHeight="1" x14ac:dyDescent="0.3">
      <c r="A842" s="95"/>
      <c r="B842" s="95"/>
      <c r="C842" s="97"/>
      <c r="D842" s="95"/>
      <c r="E842" s="95"/>
      <c r="F842" s="95"/>
      <c r="G842" s="95"/>
      <c r="H842" s="95"/>
      <c r="I842" s="95"/>
      <c r="J842" s="95"/>
      <c r="K842" s="95"/>
      <c r="L842" s="95"/>
      <c r="M842" s="95"/>
      <c r="N842" s="95"/>
      <c r="O842" s="95"/>
      <c r="P842" s="95"/>
      <c r="Q842" s="95"/>
      <c r="R842" s="95"/>
      <c r="S842" s="95"/>
      <c r="T842" s="95"/>
    </row>
    <row r="843" spans="1:20" ht="12.75" customHeight="1" x14ac:dyDescent="0.3">
      <c r="A843" s="95"/>
      <c r="B843" s="95"/>
      <c r="C843" s="97"/>
      <c r="D843" s="95"/>
      <c r="E843" s="95"/>
      <c r="F843" s="95"/>
      <c r="G843" s="95"/>
      <c r="H843" s="95"/>
      <c r="I843" s="95"/>
      <c r="J843" s="95"/>
      <c r="K843" s="95"/>
      <c r="L843" s="95"/>
      <c r="M843" s="95"/>
      <c r="N843" s="95"/>
      <c r="O843" s="95"/>
      <c r="P843" s="95"/>
      <c r="Q843" s="95"/>
      <c r="R843" s="95"/>
      <c r="S843" s="95"/>
      <c r="T843" s="95"/>
    </row>
    <row r="844" spans="1:20" ht="12.75" customHeight="1" x14ac:dyDescent="0.3">
      <c r="A844" s="95"/>
      <c r="B844" s="95"/>
      <c r="C844" s="97"/>
      <c r="D844" s="95"/>
      <c r="E844" s="95"/>
      <c r="F844" s="95"/>
      <c r="G844" s="95"/>
      <c r="H844" s="95"/>
      <c r="I844" s="95"/>
      <c r="J844" s="95"/>
      <c r="K844" s="95"/>
      <c r="L844" s="95"/>
      <c r="M844" s="95"/>
      <c r="N844" s="95"/>
      <c r="O844" s="95"/>
      <c r="P844" s="95"/>
      <c r="Q844" s="95"/>
      <c r="R844" s="95"/>
      <c r="S844" s="95"/>
      <c r="T844" s="95"/>
    </row>
    <row r="845" spans="1:20" ht="12.75" customHeight="1" x14ac:dyDescent="0.3">
      <c r="A845" s="95"/>
      <c r="B845" s="95"/>
      <c r="C845" s="97"/>
      <c r="D845" s="95"/>
      <c r="E845" s="95"/>
      <c r="F845" s="95"/>
      <c r="G845" s="95"/>
      <c r="H845" s="95"/>
      <c r="I845" s="95"/>
      <c r="J845" s="95"/>
      <c r="K845" s="95"/>
      <c r="L845" s="95"/>
      <c r="M845" s="95"/>
      <c r="N845" s="95"/>
      <c r="O845" s="95"/>
      <c r="P845" s="95"/>
      <c r="Q845" s="95"/>
      <c r="R845" s="95"/>
      <c r="S845" s="95"/>
      <c r="T845" s="95"/>
    </row>
    <row r="846" spans="1:20" ht="12.75" customHeight="1" x14ac:dyDescent="0.3">
      <c r="A846" s="95"/>
      <c r="B846" s="95"/>
      <c r="C846" s="97"/>
      <c r="D846" s="95"/>
      <c r="E846" s="95"/>
      <c r="F846" s="95"/>
      <c r="G846" s="95"/>
      <c r="H846" s="95"/>
      <c r="I846" s="95"/>
      <c r="J846" s="95"/>
      <c r="K846" s="95"/>
      <c r="L846" s="95"/>
      <c r="M846" s="95"/>
      <c r="N846" s="95"/>
      <c r="O846" s="95"/>
      <c r="P846" s="95"/>
      <c r="Q846" s="95"/>
      <c r="R846" s="95"/>
      <c r="S846" s="95"/>
      <c r="T846" s="95"/>
    </row>
    <row r="847" spans="1:20" ht="12.75" customHeight="1" x14ac:dyDescent="0.3">
      <c r="A847" s="95"/>
      <c r="B847" s="95"/>
      <c r="C847" s="97"/>
      <c r="D847" s="95"/>
      <c r="E847" s="95"/>
      <c r="F847" s="95"/>
      <c r="G847" s="95"/>
      <c r="H847" s="95"/>
      <c r="I847" s="95"/>
      <c r="J847" s="95"/>
      <c r="K847" s="95"/>
      <c r="L847" s="95"/>
      <c r="M847" s="95"/>
      <c r="N847" s="95"/>
      <c r="O847" s="95"/>
      <c r="P847" s="95"/>
      <c r="Q847" s="95"/>
      <c r="R847" s="95"/>
      <c r="S847" s="95"/>
      <c r="T847" s="95"/>
    </row>
    <row r="848" spans="1:20" ht="12.75" customHeight="1" x14ac:dyDescent="0.3">
      <c r="A848" s="95"/>
      <c r="B848" s="95"/>
      <c r="C848" s="97"/>
      <c r="D848" s="95"/>
      <c r="E848" s="95"/>
      <c r="F848" s="95"/>
      <c r="G848" s="95"/>
      <c r="H848" s="95"/>
      <c r="I848" s="95"/>
      <c r="J848" s="95"/>
      <c r="K848" s="95"/>
      <c r="L848" s="95"/>
      <c r="M848" s="95"/>
      <c r="N848" s="95"/>
      <c r="O848" s="95"/>
      <c r="P848" s="95"/>
      <c r="Q848" s="95"/>
      <c r="R848" s="95"/>
      <c r="S848" s="95"/>
      <c r="T848" s="95"/>
    </row>
    <row r="849" spans="1:20" ht="12.75" customHeight="1" x14ac:dyDescent="0.3">
      <c r="A849" s="95"/>
      <c r="B849" s="95"/>
      <c r="C849" s="97"/>
      <c r="D849" s="95"/>
      <c r="E849" s="95"/>
      <c r="F849" s="95"/>
      <c r="G849" s="95"/>
      <c r="H849" s="95"/>
      <c r="I849" s="95"/>
      <c r="J849" s="95"/>
      <c r="K849" s="95"/>
      <c r="L849" s="95"/>
      <c r="M849" s="95"/>
      <c r="N849" s="95"/>
      <c r="O849" s="95"/>
      <c r="P849" s="95"/>
      <c r="Q849" s="95"/>
      <c r="R849" s="95"/>
      <c r="S849" s="95"/>
      <c r="T849" s="95"/>
    </row>
    <row r="850" spans="1:20" ht="12.75" customHeight="1" x14ac:dyDescent="0.3">
      <c r="A850" s="95"/>
      <c r="B850" s="95"/>
      <c r="C850" s="97"/>
      <c r="D850" s="95"/>
      <c r="E850" s="95"/>
      <c r="F850" s="95"/>
      <c r="G850" s="95"/>
      <c r="H850" s="95"/>
      <c r="I850" s="95"/>
      <c r="J850" s="95"/>
      <c r="K850" s="95"/>
      <c r="L850" s="95"/>
      <c r="M850" s="95"/>
      <c r="N850" s="95"/>
      <c r="O850" s="95"/>
      <c r="P850" s="95"/>
      <c r="Q850" s="95"/>
      <c r="R850" s="95"/>
      <c r="S850" s="95"/>
      <c r="T850" s="95"/>
    </row>
    <row r="851" spans="1:20" ht="12.75" customHeight="1" x14ac:dyDescent="0.3">
      <c r="A851" s="95"/>
      <c r="B851" s="95"/>
      <c r="C851" s="97"/>
      <c r="D851" s="95"/>
      <c r="E851" s="95"/>
      <c r="F851" s="95"/>
      <c r="G851" s="95"/>
      <c r="H851" s="95"/>
      <c r="I851" s="95"/>
      <c r="J851" s="95"/>
      <c r="K851" s="95"/>
      <c r="L851" s="95"/>
      <c r="M851" s="95"/>
      <c r="N851" s="95"/>
      <c r="O851" s="95"/>
      <c r="P851" s="95"/>
      <c r="Q851" s="95"/>
      <c r="R851" s="95"/>
      <c r="S851" s="95"/>
      <c r="T851" s="95"/>
    </row>
    <row r="852" spans="1:20" ht="12.75" customHeight="1" x14ac:dyDescent="0.3">
      <c r="A852" s="95"/>
      <c r="B852" s="95"/>
      <c r="C852" s="97"/>
      <c r="D852" s="95"/>
      <c r="E852" s="95"/>
      <c r="F852" s="95"/>
      <c r="G852" s="95"/>
      <c r="H852" s="95"/>
      <c r="I852" s="95"/>
      <c r="J852" s="95"/>
      <c r="K852" s="95"/>
      <c r="L852" s="95"/>
      <c r="M852" s="95"/>
      <c r="N852" s="95"/>
      <c r="O852" s="95"/>
      <c r="P852" s="95"/>
      <c r="Q852" s="95"/>
      <c r="R852" s="95"/>
      <c r="S852" s="95"/>
      <c r="T852" s="95"/>
    </row>
    <row r="853" spans="1:20" ht="12.75" customHeight="1" x14ac:dyDescent="0.3">
      <c r="A853" s="95"/>
      <c r="B853" s="95"/>
      <c r="C853" s="97"/>
      <c r="D853" s="95"/>
      <c r="E853" s="95"/>
      <c r="F853" s="95"/>
      <c r="G853" s="95"/>
      <c r="H853" s="95"/>
      <c r="I853" s="95"/>
      <c r="J853" s="95"/>
      <c r="K853" s="95"/>
      <c r="L853" s="95"/>
      <c r="M853" s="95"/>
      <c r="N853" s="95"/>
      <c r="O853" s="95"/>
      <c r="P853" s="95"/>
      <c r="Q853" s="95"/>
      <c r="R853" s="95"/>
      <c r="S853" s="95"/>
      <c r="T853" s="95"/>
    </row>
    <row r="854" spans="1:20" ht="12.75" customHeight="1" x14ac:dyDescent="0.3">
      <c r="A854" s="95"/>
      <c r="B854" s="95"/>
      <c r="C854" s="97"/>
      <c r="D854" s="95"/>
      <c r="E854" s="95"/>
      <c r="F854" s="95"/>
      <c r="G854" s="95"/>
      <c r="H854" s="95"/>
      <c r="I854" s="95"/>
      <c r="J854" s="95"/>
      <c r="K854" s="95"/>
      <c r="L854" s="95"/>
      <c r="M854" s="95"/>
      <c r="N854" s="95"/>
      <c r="O854" s="95"/>
      <c r="P854" s="95"/>
      <c r="Q854" s="95"/>
      <c r="R854" s="95"/>
      <c r="S854" s="95"/>
      <c r="T854" s="95"/>
    </row>
    <row r="855" spans="1:20" ht="12.75" customHeight="1" x14ac:dyDescent="0.3">
      <c r="A855" s="95"/>
      <c r="B855" s="95"/>
      <c r="C855" s="97"/>
      <c r="D855" s="95"/>
      <c r="E855" s="95"/>
      <c r="F855" s="95"/>
      <c r="G855" s="95"/>
      <c r="H855" s="95"/>
      <c r="I855" s="95"/>
      <c r="J855" s="95"/>
      <c r="K855" s="95"/>
      <c r="L855" s="95"/>
      <c r="M855" s="95"/>
      <c r="N855" s="95"/>
      <c r="O855" s="95"/>
      <c r="P855" s="95"/>
      <c r="Q855" s="95"/>
      <c r="R855" s="95"/>
      <c r="S855" s="95"/>
      <c r="T855" s="95"/>
    </row>
    <row r="856" spans="1:20" ht="12.75" customHeight="1" x14ac:dyDescent="0.3">
      <c r="A856" s="95"/>
      <c r="B856" s="95"/>
      <c r="C856" s="97"/>
      <c r="D856" s="95"/>
      <c r="E856" s="95"/>
      <c r="F856" s="95"/>
      <c r="G856" s="95"/>
      <c r="H856" s="95"/>
      <c r="I856" s="95"/>
      <c r="J856" s="95"/>
      <c r="K856" s="95"/>
      <c r="L856" s="95"/>
      <c r="M856" s="95"/>
      <c r="N856" s="95"/>
      <c r="O856" s="95"/>
      <c r="P856" s="95"/>
      <c r="Q856" s="95"/>
      <c r="R856" s="95"/>
      <c r="S856" s="95"/>
      <c r="T856" s="95"/>
    </row>
    <row r="857" spans="1:20" ht="12.75" customHeight="1" x14ac:dyDescent="0.3">
      <c r="A857" s="95"/>
      <c r="B857" s="95"/>
      <c r="C857" s="97"/>
      <c r="D857" s="95"/>
      <c r="E857" s="95"/>
      <c r="F857" s="95"/>
      <c r="G857" s="95"/>
      <c r="H857" s="95"/>
      <c r="I857" s="95"/>
      <c r="J857" s="95"/>
      <c r="K857" s="95"/>
      <c r="L857" s="95"/>
      <c r="M857" s="95"/>
      <c r="N857" s="95"/>
      <c r="O857" s="95"/>
      <c r="P857" s="95"/>
      <c r="Q857" s="95"/>
      <c r="R857" s="95"/>
      <c r="S857" s="95"/>
      <c r="T857" s="95"/>
    </row>
    <row r="858" spans="1:20" ht="12.75" customHeight="1" x14ac:dyDescent="0.3">
      <c r="A858" s="95"/>
      <c r="B858" s="95"/>
      <c r="C858" s="97"/>
      <c r="D858" s="95"/>
      <c r="E858" s="95"/>
      <c r="F858" s="95"/>
      <c r="G858" s="95"/>
      <c r="H858" s="95"/>
      <c r="I858" s="95"/>
      <c r="J858" s="95"/>
      <c r="K858" s="95"/>
      <c r="L858" s="95"/>
      <c r="M858" s="95"/>
      <c r="N858" s="95"/>
      <c r="O858" s="95"/>
      <c r="P858" s="95"/>
      <c r="Q858" s="95"/>
      <c r="R858" s="95"/>
      <c r="S858" s="95"/>
      <c r="T858" s="95"/>
    </row>
    <row r="859" spans="1:20" ht="12.75" customHeight="1" x14ac:dyDescent="0.3">
      <c r="A859" s="95"/>
      <c r="B859" s="95"/>
      <c r="C859" s="97"/>
      <c r="D859" s="95"/>
      <c r="E859" s="95"/>
      <c r="F859" s="95"/>
      <c r="G859" s="95"/>
      <c r="H859" s="95"/>
      <c r="I859" s="95"/>
      <c r="J859" s="95"/>
      <c r="K859" s="95"/>
      <c r="L859" s="95"/>
      <c r="M859" s="95"/>
      <c r="N859" s="95"/>
      <c r="O859" s="95"/>
      <c r="P859" s="95"/>
      <c r="Q859" s="95"/>
      <c r="R859" s="95"/>
      <c r="S859" s="95"/>
      <c r="T859" s="95"/>
    </row>
    <row r="860" spans="1:20" ht="12.75" customHeight="1" x14ac:dyDescent="0.3">
      <c r="A860" s="95"/>
      <c r="B860" s="95"/>
      <c r="C860" s="97"/>
      <c r="D860" s="95"/>
      <c r="E860" s="95"/>
      <c r="F860" s="95"/>
      <c r="G860" s="95"/>
      <c r="H860" s="95"/>
      <c r="I860" s="95"/>
      <c r="J860" s="95"/>
      <c r="K860" s="95"/>
      <c r="L860" s="95"/>
      <c r="M860" s="95"/>
      <c r="N860" s="95"/>
      <c r="O860" s="95"/>
      <c r="P860" s="95"/>
      <c r="Q860" s="95"/>
      <c r="R860" s="95"/>
      <c r="S860" s="95"/>
      <c r="T860" s="95"/>
    </row>
    <row r="861" spans="1:20" ht="12.75" customHeight="1" x14ac:dyDescent="0.3">
      <c r="A861" s="95"/>
      <c r="B861" s="95"/>
      <c r="C861" s="97"/>
      <c r="D861" s="95"/>
      <c r="E861" s="95"/>
      <c r="F861" s="95"/>
      <c r="G861" s="95"/>
      <c r="H861" s="95"/>
      <c r="I861" s="95"/>
      <c r="J861" s="95"/>
      <c r="K861" s="95"/>
      <c r="L861" s="95"/>
      <c r="M861" s="95"/>
      <c r="N861" s="95"/>
      <c r="O861" s="95"/>
      <c r="P861" s="95"/>
      <c r="Q861" s="95"/>
      <c r="R861" s="95"/>
      <c r="S861" s="95"/>
      <c r="T861" s="95"/>
    </row>
    <row r="862" spans="1:20" ht="12.75" customHeight="1" x14ac:dyDescent="0.3">
      <c r="A862" s="95"/>
      <c r="B862" s="95"/>
      <c r="C862" s="97"/>
      <c r="D862" s="95"/>
      <c r="E862" s="95"/>
      <c r="F862" s="95"/>
      <c r="G862" s="95"/>
      <c r="H862" s="95"/>
      <c r="I862" s="95"/>
      <c r="J862" s="95"/>
      <c r="K862" s="95"/>
      <c r="L862" s="95"/>
      <c r="M862" s="95"/>
      <c r="N862" s="95"/>
      <c r="O862" s="95"/>
      <c r="P862" s="95"/>
      <c r="Q862" s="95"/>
      <c r="R862" s="95"/>
      <c r="S862" s="95"/>
      <c r="T862" s="95"/>
    </row>
    <row r="863" spans="1:20" ht="12.75" customHeight="1" x14ac:dyDescent="0.3">
      <c r="A863" s="95"/>
      <c r="B863" s="95"/>
      <c r="C863" s="97"/>
      <c r="D863" s="95"/>
      <c r="E863" s="95"/>
      <c r="F863" s="95"/>
      <c r="G863" s="95"/>
      <c r="H863" s="95"/>
      <c r="I863" s="95"/>
      <c r="J863" s="95"/>
      <c r="K863" s="95"/>
      <c r="L863" s="95"/>
      <c r="M863" s="95"/>
      <c r="N863" s="95"/>
      <c r="O863" s="95"/>
      <c r="P863" s="95"/>
      <c r="Q863" s="95"/>
      <c r="R863" s="95"/>
      <c r="S863" s="95"/>
      <c r="T863" s="95"/>
    </row>
    <row r="864" spans="1:20" ht="12.75" customHeight="1" x14ac:dyDescent="0.3">
      <c r="A864" s="95"/>
      <c r="B864" s="95"/>
      <c r="C864" s="97"/>
      <c r="D864" s="95"/>
      <c r="E864" s="95"/>
      <c r="F864" s="95"/>
      <c r="G864" s="95"/>
      <c r="H864" s="95"/>
      <c r="I864" s="95"/>
      <c r="J864" s="95"/>
      <c r="K864" s="95"/>
      <c r="L864" s="95"/>
      <c r="M864" s="95"/>
      <c r="N864" s="95"/>
      <c r="O864" s="95"/>
      <c r="P864" s="95"/>
      <c r="Q864" s="95"/>
      <c r="R864" s="95"/>
      <c r="S864" s="95"/>
      <c r="T864" s="95"/>
    </row>
    <row r="865" spans="1:20" ht="12.75" customHeight="1" x14ac:dyDescent="0.3">
      <c r="A865" s="95"/>
      <c r="B865" s="95"/>
      <c r="C865" s="97"/>
      <c r="D865" s="95"/>
      <c r="E865" s="95"/>
      <c r="F865" s="95"/>
      <c r="G865" s="95"/>
      <c r="H865" s="95"/>
      <c r="I865" s="95"/>
      <c r="J865" s="95"/>
      <c r="K865" s="95"/>
      <c r="L865" s="95"/>
      <c r="M865" s="95"/>
      <c r="N865" s="95"/>
      <c r="O865" s="95"/>
      <c r="P865" s="95"/>
      <c r="Q865" s="95"/>
      <c r="R865" s="95"/>
      <c r="S865" s="95"/>
      <c r="T865" s="95"/>
    </row>
    <row r="866" spans="1:20" ht="12.75" customHeight="1" x14ac:dyDescent="0.3">
      <c r="A866" s="95"/>
      <c r="B866" s="95"/>
      <c r="C866" s="97"/>
      <c r="D866" s="95"/>
      <c r="E866" s="95"/>
      <c r="F866" s="95"/>
      <c r="G866" s="95"/>
      <c r="H866" s="95"/>
      <c r="I866" s="95"/>
      <c r="J866" s="95"/>
      <c r="K866" s="95"/>
      <c r="L866" s="95"/>
      <c r="M866" s="95"/>
      <c r="N866" s="95"/>
      <c r="O866" s="95"/>
      <c r="P866" s="95"/>
      <c r="Q866" s="95"/>
      <c r="R866" s="95"/>
      <c r="S866" s="95"/>
      <c r="T866" s="95"/>
    </row>
    <row r="867" spans="1:20" ht="12.75" customHeight="1" x14ac:dyDescent="0.3">
      <c r="A867" s="95"/>
      <c r="B867" s="95"/>
      <c r="C867" s="97"/>
      <c r="D867" s="95"/>
      <c r="E867" s="95"/>
      <c r="F867" s="95"/>
      <c r="G867" s="95"/>
      <c r="H867" s="95"/>
      <c r="I867" s="95"/>
      <c r="J867" s="95"/>
      <c r="K867" s="95"/>
      <c r="L867" s="95"/>
      <c r="M867" s="95"/>
      <c r="N867" s="95"/>
      <c r="O867" s="95"/>
      <c r="P867" s="95"/>
      <c r="Q867" s="95"/>
      <c r="R867" s="95"/>
      <c r="S867" s="95"/>
      <c r="T867" s="95"/>
    </row>
    <row r="868" spans="1:20" ht="12.75" customHeight="1" x14ac:dyDescent="0.3">
      <c r="A868" s="95"/>
      <c r="B868" s="95"/>
      <c r="C868" s="97"/>
      <c r="D868" s="95"/>
      <c r="E868" s="95"/>
      <c r="F868" s="95"/>
      <c r="G868" s="95"/>
      <c r="H868" s="95"/>
      <c r="I868" s="95"/>
      <c r="J868" s="95"/>
      <c r="K868" s="95"/>
      <c r="L868" s="95"/>
      <c r="M868" s="95"/>
      <c r="N868" s="95"/>
      <c r="O868" s="95"/>
      <c r="P868" s="95"/>
      <c r="Q868" s="95"/>
      <c r="R868" s="95"/>
      <c r="S868" s="95"/>
      <c r="T868" s="95"/>
    </row>
    <row r="869" spans="1:20" ht="12.75" customHeight="1" x14ac:dyDescent="0.3">
      <c r="A869" s="95"/>
      <c r="B869" s="95"/>
      <c r="C869" s="97"/>
      <c r="D869" s="95"/>
      <c r="E869" s="95"/>
      <c r="F869" s="95"/>
      <c r="G869" s="95"/>
      <c r="H869" s="95"/>
      <c r="I869" s="95"/>
      <c r="J869" s="95"/>
      <c r="K869" s="95"/>
      <c r="L869" s="95"/>
      <c r="M869" s="95"/>
      <c r="N869" s="95"/>
      <c r="O869" s="95"/>
      <c r="P869" s="95"/>
      <c r="Q869" s="95"/>
      <c r="R869" s="95"/>
      <c r="S869" s="95"/>
      <c r="T869" s="95"/>
    </row>
    <row r="870" spans="1:20" ht="12.75" customHeight="1" x14ac:dyDescent="0.3">
      <c r="A870" s="95"/>
      <c r="B870" s="95"/>
      <c r="C870" s="97"/>
      <c r="D870" s="95"/>
      <c r="E870" s="95"/>
      <c r="F870" s="95"/>
      <c r="G870" s="95"/>
      <c r="H870" s="95"/>
      <c r="I870" s="95"/>
      <c r="J870" s="95"/>
      <c r="K870" s="95"/>
      <c r="L870" s="95"/>
      <c r="M870" s="95"/>
      <c r="N870" s="95"/>
      <c r="O870" s="95"/>
      <c r="P870" s="95"/>
      <c r="Q870" s="95"/>
      <c r="R870" s="95"/>
      <c r="S870" s="95"/>
      <c r="T870" s="95"/>
    </row>
    <row r="871" spans="1:20" ht="12.75" customHeight="1" x14ac:dyDescent="0.3">
      <c r="A871" s="95"/>
      <c r="B871" s="95"/>
      <c r="C871" s="97"/>
      <c r="D871" s="95"/>
      <c r="E871" s="95"/>
      <c r="F871" s="95"/>
      <c r="G871" s="95"/>
      <c r="H871" s="95"/>
      <c r="I871" s="95"/>
      <c r="J871" s="95"/>
      <c r="K871" s="95"/>
      <c r="L871" s="95"/>
      <c r="M871" s="95"/>
      <c r="N871" s="95"/>
      <c r="O871" s="95"/>
      <c r="P871" s="95"/>
      <c r="Q871" s="95"/>
      <c r="R871" s="95"/>
      <c r="S871" s="95"/>
      <c r="T871" s="95"/>
    </row>
    <row r="872" spans="1:20" ht="12.75" customHeight="1" x14ac:dyDescent="0.3">
      <c r="A872" s="95"/>
      <c r="B872" s="95"/>
      <c r="C872" s="97"/>
      <c r="D872" s="95"/>
      <c r="E872" s="95"/>
      <c r="F872" s="95"/>
      <c r="G872" s="95"/>
      <c r="H872" s="95"/>
      <c r="I872" s="95"/>
      <c r="J872" s="95"/>
      <c r="K872" s="95"/>
      <c r="L872" s="95"/>
      <c r="M872" s="95"/>
      <c r="N872" s="95"/>
      <c r="O872" s="95"/>
      <c r="P872" s="95"/>
      <c r="Q872" s="95"/>
      <c r="R872" s="95"/>
      <c r="S872" s="95"/>
      <c r="T872" s="95"/>
    </row>
    <row r="873" spans="1:20" ht="12.75" customHeight="1" x14ac:dyDescent="0.3">
      <c r="A873" s="95"/>
      <c r="B873" s="95"/>
      <c r="C873" s="97"/>
      <c r="D873" s="95"/>
      <c r="E873" s="95"/>
      <c r="F873" s="95"/>
      <c r="G873" s="95"/>
      <c r="H873" s="95"/>
      <c r="I873" s="95"/>
      <c r="J873" s="95"/>
      <c r="K873" s="95"/>
      <c r="L873" s="95"/>
      <c r="M873" s="95"/>
      <c r="N873" s="95"/>
      <c r="O873" s="95"/>
      <c r="P873" s="95"/>
      <c r="Q873" s="95"/>
      <c r="R873" s="95"/>
      <c r="S873" s="95"/>
      <c r="T873" s="95"/>
    </row>
    <row r="874" spans="1:20" ht="12.75" customHeight="1" x14ac:dyDescent="0.3">
      <c r="A874" s="95"/>
      <c r="B874" s="95"/>
      <c r="C874" s="97"/>
      <c r="D874" s="95"/>
      <c r="E874" s="95"/>
      <c r="F874" s="95"/>
      <c r="G874" s="95"/>
      <c r="H874" s="95"/>
      <c r="I874" s="95"/>
      <c r="J874" s="95"/>
      <c r="K874" s="95"/>
      <c r="L874" s="95"/>
      <c r="M874" s="95"/>
      <c r="N874" s="95"/>
      <c r="O874" s="95"/>
      <c r="P874" s="95"/>
      <c r="Q874" s="95"/>
      <c r="R874" s="95"/>
      <c r="S874" s="95"/>
      <c r="T874" s="95"/>
    </row>
    <row r="875" spans="1:20" ht="12.75" customHeight="1" x14ac:dyDescent="0.3">
      <c r="A875" s="95"/>
      <c r="B875" s="95"/>
      <c r="C875" s="97"/>
      <c r="D875" s="95"/>
      <c r="E875" s="95"/>
      <c r="F875" s="95"/>
      <c r="G875" s="95"/>
      <c r="H875" s="95"/>
      <c r="I875" s="95"/>
      <c r="J875" s="95"/>
      <c r="K875" s="95"/>
      <c r="L875" s="95"/>
      <c r="M875" s="95"/>
      <c r="N875" s="95"/>
      <c r="O875" s="95"/>
      <c r="P875" s="95"/>
      <c r="Q875" s="95"/>
      <c r="R875" s="95"/>
      <c r="S875" s="95"/>
      <c r="T875" s="95"/>
    </row>
    <row r="876" spans="1:20" ht="12.75" customHeight="1" x14ac:dyDescent="0.3">
      <c r="A876" s="95"/>
      <c r="B876" s="95"/>
      <c r="C876" s="97"/>
      <c r="D876" s="95"/>
      <c r="E876" s="95"/>
      <c r="F876" s="95"/>
      <c r="G876" s="95"/>
      <c r="H876" s="95"/>
      <c r="I876" s="95"/>
      <c r="J876" s="95"/>
      <c r="K876" s="95"/>
      <c r="L876" s="95"/>
      <c r="M876" s="95"/>
      <c r="N876" s="95"/>
      <c r="O876" s="95"/>
      <c r="P876" s="95"/>
      <c r="Q876" s="95"/>
      <c r="R876" s="95"/>
      <c r="S876" s="95"/>
      <c r="T876" s="95"/>
    </row>
    <row r="877" spans="1:20" ht="12.75" customHeight="1" x14ac:dyDescent="0.3">
      <c r="A877" s="95"/>
      <c r="B877" s="95"/>
      <c r="C877" s="97"/>
      <c r="D877" s="95"/>
      <c r="E877" s="95"/>
      <c r="F877" s="95"/>
      <c r="G877" s="95"/>
      <c r="H877" s="95"/>
      <c r="I877" s="95"/>
      <c r="J877" s="95"/>
      <c r="K877" s="95"/>
      <c r="L877" s="95"/>
      <c r="M877" s="95"/>
      <c r="N877" s="95"/>
      <c r="O877" s="95"/>
      <c r="P877" s="95"/>
      <c r="Q877" s="95"/>
      <c r="R877" s="95"/>
      <c r="S877" s="95"/>
      <c r="T877" s="95"/>
    </row>
    <row r="878" spans="1:20" ht="12.75" customHeight="1" x14ac:dyDescent="0.3">
      <c r="A878" s="95"/>
      <c r="B878" s="95"/>
      <c r="C878" s="97"/>
      <c r="D878" s="95"/>
      <c r="E878" s="95"/>
      <c r="F878" s="95"/>
      <c r="G878" s="95"/>
      <c r="H878" s="95"/>
      <c r="I878" s="95"/>
      <c r="J878" s="95"/>
      <c r="K878" s="95"/>
      <c r="L878" s="95"/>
      <c r="M878" s="95"/>
      <c r="N878" s="95"/>
      <c r="O878" s="95"/>
      <c r="P878" s="95"/>
      <c r="Q878" s="95"/>
      <c r="R878" s="95"/>
      <c r="S878" s="95"/>
      <c r="T878" s="95"/>
    </row>
    <row r="879" spans="1:20" ht="12.75" customHeight="1" x14ac:dyDescent="0.3">
      <c r="A879" s="95"/>
      <c r="B879" s="95"/>
      <c r="C879" s="97"/>
      <c r="D879" s="95"/>
      <c r="E879" s="95"/>
      <c r="F879" s="95"/>
      <c r="G879" s="95"/>
      <c r="H879" s="95"/>
      <c r="I879" s="95"/>
      <c r="J879" s="95"/>
      <c r="K879" s="95"/>
      <c r="L879" s="95"/>
      <c r="M879" s="95"/>
      <c r="N879" s="95"/>
      <c r="O879" s="95"/>
      <c r="P879" s="95"/>
      <c r="Q879" s="95"/>
      <c r="R879" s="95"/>
      <c r="S879" s="95"/>
      <c r="T879" s="95"/>
    </row>
    <row r="880" spans="1:20" ht="12.75" customHeight="1" x14ac:dyDescent="0.3">
      <c r="A880" s="95"/>
      <c r="B880" s="95"/>
      <c r="C880" s="97"/>
      <c r="D880" s="95"/>
      <c r="E880" s="95"/>
      <c r="F880" s="95"/>
      <c r="G880" s="95"/>
      <c r="H880" s="95"/>
      <c r="I880" s="95"/>
      <c r="J880" s="95"/>
      <c r="K880" s="95"/>
      <c r="L880" s="95"/>
      <c r="M880" s="95"/>
      <c r="N880" s="95"/>
      <c r="O880" s="95"/>
      <c r="P880" s="95"/>
      <c r="Q880" s="95"/>
      <c r="R880" s="95"/>
      <c r="S880" s="95"/>
      <c r="T880" s="95"/>
    </row>
    <row r="881" spans="1:20" ht="12.75" customHeight="1" x14ac:dyDescent="0.3">
      <c r="A881" s="95"/>
      <c r="B881" s="95"/>
      <c r="C881" s="97"/>
      <c r="D881" s="95"/>
      <c r="E881" s="95"/>
      <c r="F881" s="95"/>
      <c r="G881" s="95"/>
      <c r="H881" s="95"/>
      <c r="I881" s="95"/>
      <c r="J881" s="95"/>
      <c r="K881" s="95"/>
      <c r="L881" s="95"/>
      <c r="M881" s="95"/>
      <c r="N881" s="95"/>
      <c r="O881" s="95"/>
      <c r="P881" s="95"/>
      <c r="Q881" s="95"/>
      <c r="R881" s="95"/>
      <c r="S881" s="95"/>
      <c r="T881" s="95"/>
    </row>
    <row r="882" spans="1:20" ht="12.75" customHeight="1" x14ac:dyDescent="0.3">
      <c r="A882" s="95"/>
      <c r="B882" s="95"/>
      <c r="C882" s="97"/>
      <c r="D882" s="95"/>
      <c r="E882" s="95"/>
      <c r="F882" s="95"/>
      <c r="G882" s="95"/>
      <c r="H882" s="95"/>
      <c r="I882" s="95"/>
      <c r="J882" s="95"/>
      <c r="K882" s="95"/>
      <c r="L882" s="95"/>
      <c r="M882" s="95"/>
      <c r="N882" s="95"/>
      <c r="O882" s="95"/>
      <c r="P882" s="95"/>
      <c r="Q882" s="95"/>
      <c r="R882" s="95"/>
      <c r="S882" s="95"/>
      <c r="T882" s="95"/>
    </row>
    <row r="883" spans="1:20" ht="12.75" customHeight="1" x14ac:dyDescent="0.3">
      <c r="A883" s="95"/>
      <c r="B883" s="95"/>
      <c r="C883" s="97"/>
      <c r="D883" s="95"/>
      <c r="E883" s="95"/>
      <c r="F883" s="95"/>
      <c r="G883" s="95"/>
      <c r="H883" s="95"/>
      <c r="I883" s="95"/>
      <c r="J883" s="95"/>
      <c r="K883" s="95"/>
      <c r="L883" s="95"/>
      <c r="M883" s="95"/>
      <c r="N883" s="95"/>
      <c r="O883" s="95"/>
      <c r="P883" s="95"/>
      <c r="Q883" s="95"/>
      <c r="R883" s="95"/>
      <c r="S883" s="95"/>
      <c r="T883" s="95"/>
    </row>
    <row r="884" spans="1:20" ht="12.75" customHeight="1" x14ac:dyDescent="0.3">
      <c r="A884" s="95"/>
      <c r="B884" s="95"/>
      <c r="C884" s="97"/>
      <c r="D884" s="95"/>
      <c r="E884" s="95"/>
      <c r="F884" s="95"/>
      <c r="G884" s="95"/>
      <c r="H884" s="95"/>
      <c r="I884" s="95"/>
      <c r="J884" s="95"/>
      <c r="K884" s="95"/>
      <c r="L884" s="95"/>
      <c r="M884" s="95"/>
      <c r="N884" s="95"/>
      <c r="O884" s="95"/>
      <c r="P884" s="95"/>
      <c r="Q884" s="95"/>
      <c r="R884" s="95"/>
      <c r="S884" s="95"/>
      <c r="T884" s="95"/>
    </row>
    <row r="885" spans="1:20" ht="12.75" customHeight="1" x14ac:dyDescent="0.3">
      <c r="A885" s="95"/>
      <c r="B885" s="95"/>
      <c r="C885" s="97"/>
      <c r="D885" s="95"/>
      <c r="E885" s="95"/>
      <c r="F885" s="95"/>
      <c r="G885" s="95"/>
      <c r="H885" s="95"/>
      <c r="I885" s="95"/>
      <c r="J885" s="95"/>
      <c r="K885" s="95"/>
      <c r="L885" s="95"/>
      <c r="M885" s="95"/>
      <c r="N885" s="95"/>
      <c r="O885" s="95"/>
      <c r="P885" s="95"/>
      <c r="Q885" s="95"/>
      <c r="R885" s="95"/>
      <c r="S885" s="95"/>
      <c r="T885" s="95"/>
    </row>
    <row r="886" spans="1:20" ht="12.75" customHeight="1" x14ac:dyDescent="0.3">
      <c r="A886" s="95"/>
      <c r="B886" s="95"/>
      <c r="C886" s="97"/>
      <c r="D886" s="95"/>
      <c r="E886" s="95"/>
      <c r="F886" s="95"/>
      <c r="G886" s="95"/>
      <c r="H886" s="95"/>
      <c r="I886" s="95"/>
      <c r="J886" s="95"/>
      <c r="K886" s="95"/>
      <c r="L886" s="95"/>
      <c r="M886" s="95"/>
      <c r="N886" s="95"/>
      <c r="O886" s="95"/>
      <c r="P886" s="95"/>
      <c r="Q886" s="95"/>
      <c r="R886" s="95"/>
      <c r="S886" s="95"/>
      <c r="T886" s="95"/>
    </row>
    <row r="887" spans="1:20" ht="12.75" customHeight="1" x14ac:dyDescent="0.3">
      <c r="A887" s="95"/>
      <c r="B887" s="95"/>
      <c r="C887" s="97"/>
      <c r="D887" s="95"/>
      <c r="E887" s="95"/>
      <c r="F887" s="95"/>
      <c r="G887" s="95"/>
      <c r="H887" s="95"/>
      <c r="I887" s="95"/>
      <c r="J887" s="95"/>
      <c r="K887" s="95"/>
      <c r="L887" s="95"/>
      <c r="M887" s="95"/>
      <c r="N887" s="95"/>
      <c r="O887" s="95"/>
      <c r="P887" s="95"/>
      <c r="Q887" s="95"/>
      <c r="R887" s="95"/>
      <c r="S887" s="95"/>
      <c r="T887" s="95"/>
    </row>
    <row r="888" spans="1:20" ht="12.75" customHeight="1" x14ac:dyDescent="0.3">
      <c r="A888" s="95"/>
      <c r="B888" s="95"/>
      <c r="C888" s="97"/>
      <c r="D888" s="95"/>
      <c r="E888" s="95"/>
      <c r="F888" s="95"/>
      <c r="G888" s="95"/>
      <c r="H888" s="95"/>
      <c r="I888" s="95"/>
      <c r="J888" s="95"/>
      <c r="K888" s="95"/>
      <c r="L888" s="95"/>
      <c r="M888" s="95"/>
      <c r="N888" s="95"/>
      <c r="O888" s="95"/>
      <c r="P888" s="95"/>
      <c r="Q888" s="95"/>
      <c r="R888" s="95"/>
      <c r="S888" s="95"/>
      <c r="T888" s="95"/>
    </row>
    <row r="889" spans="1:20" ht="12.75" customHeight="1" x14ac:dyDescent="0.3">
      <c r="A889" s="95"/>
      <c r="B889" s="95"/>
      <c r="C889" s="97"/>
      <c r="D889" s="95"/>
      <c r="E889" s="95"/>
      <c r="F889" s="95"/>
      <c r="G889" s="95"/>
      <c r="H889" s="95"/>
      <c r="I889" s="95"/>
      <c r="J889" s="95"/>
      <c r="K889" s="95"/>
      <c r="L889" s="95"/>
      <c r="M889" s="95"/>
      <c r="N889" s="95"/>
      <c r="O889" s="95"/>
      <c r="P889" s="95"/>
      <c r="Q889" s="95"/>
      <c r="R889" s="95"/>
      <c r="S889" s="95"/>
      <c r="T889" s="95"/>
    </row>
    <row r="890" spans="1:20" ht="12.75" customHeight="1" x14ac:dyDescent="0.3">
      <c r="A890" s="95"/>
      <c r="B890" s="95"/>
      <c r="C890" s="97"/>
      <c r="D890" s="95"/>
      <c r="E890" s="95"/>
      <c r="F890" s="95"/>
      <c r="G890" s="95"/>
      <c r="H890" s="95"/>
      <c r="I890" s="95"/>
      <c r="J890" s="95"/>
      <c r="K890" s="95"/>
      <c r="L890" s="95"/>
      <c r="M890" s="95"/>
      <c r="N890" s="95"/>
      <c r="O890" s="95"/>
      <c r="P890" s="95"/>
      <c r="Q890" s="95"/>
      <c r="R890" s="95"/>
      <c r="S890" s="95"/>
      <c r="T890" s="95"/>
    </row>
    <row r="891" spans="1:20" ht="12.75" customHeight="1" x14ac:dyDescent="0.3">
      <c r="A891" s="95"/>
      <c r="B891" s="95"/>
      <c r="C891" s="97"/>
      <c r="D891" s="95"/>
      <c r="E891" s="95"/>
      <c r="F891" s="95"/>
      <c r="G891" s="95"/>
      <c r="H891" s="95"/>
      <c r="I891" s="95"/>
      <c r="J891" s="95"/>
      <c r="K891" s="95"/>
      <c r="L891" s="95"/>
      <c r="M891" s="95"/>
      <c r="N891" s="95"/>
      <c r="O891" s="95"/>
      <c r="P891" s="95"/>
      <c r="Q891" s="95"/>
      <c r="R891" s="95"/>
      <c r="S891" s="95"/>
      <c r="T891" s="95"/>
    </row>
    <row r="892" spans="1:20" ht="12.75" customHeight="1" x14ac:dyDescent="0.3">
      <c r="A892" s="95"/>
      <c r="B892" s="95"/>
      <c r="C892" s="97"/>
      <c r="D892" s="95"/>
      <c r="E892" s="95"/>
      <c r="F892" s="95"/>
      <c r="G892" s="95"/>
      <c r="H892" s="95"/>
      <c r="I892" s="95"/>
      <c r="J892" s="95"/>
      <c r="K892" s="95"/>
      <c r="L892" s="95"/>
      <c r="M892" s="95"/>
      <c r="N892" s="95"/>
      <c r="O892" s="95"/>
      <c r="P892" s="95"/>
      <c r="Q892" s="95"/>
      <c r="R892" s="95"/>
      <c r="S892" s="95"/>
      <c r="T892" s="95"/>
    </row>
    <row r="893" spans="1:20" ht="12.75" customHeight="1" x14ac:dyDescent="0.3">
      <c r="A893" s="95"/>
      <c r="B893" s="95"/>
      <c r="C893" s="97"/>
      <c r="D893" s="95"/>
      <c r="E893" s="95"/>
      <c r="F893" s="95"/>
      <c r="G893" s="95"/>
      <c r="H893" s="95"/>
      <c r="I893" s="95"/>
      <c r="J893" s="95"/>
      <c r="K893" s="95"/>
      <c r="L893" s="95"/>
      <c r="M893" s="95"/>
      <c r="N893" s="95"/>
      <c r="O893" s="95"/>
      <c r="P893" s="95"/>
      <c r="Q893" s="95"/>
      <c r="R893" s="95"/>
      <c r="S893" s="95"/>
      <c r="T893" s="95"/>
    </row>
    <row r="894" spans="1:20" ht="12.75" customHeight="1" x14ac:dyDescent="0.3">
      <c r="A894" s="95"/>
      <c r="B894" s="95"/>
      <c r="C894" s="97"/>
      <c r="D894" s="95"/>
      <c r="E894" s="95"/>
      <c r="F894" s="95"/>
      <c r="G894" s="95"/>
      <c r="H894" s="95"/>
      <c r="I894" s="95"/>
      <c r="J894" s="95"/>
      <c r="K894" s="95"/>
      <c r="L894" s="95"/>
      <c r="M894" s="95"/>
      <c r="N894" s="95"/>
      <c r="O894" s="95"/>
      <c r="P894" s="95"/>
      <c r="Q894" s="95"/>
      <c r="R894" s="95"/>
      <c r="S894" s="95"/>
      <c r="T894" s="95"/>
    </row>
    <row r="895" spans="1:20" ht="12.75" customHeight="1" x14ac:dyDescent="0.3">
      <c r="A895" s="95"/>
      <c r="B895" s="95"/>
      <c r="C895" s="97"/>
      <c r="D895" s="95"/>
      <c r="E895" s="95"/>
      <c r="F895" s="95"/>
      <c r="G895" s="95"/>
      <c r="H895" s="95"/>
      <c r="I895" s="95"/>
      <c r="J895" s="95"/>
      <c r="K895" s="95"/>
      <c r="L895" s="95"/>
      <c r="M895" s="95"/>
      <c r="N895" s="95"/>
      <c r="O895" s="95"/>
      <c r="P895" s="95"/>
      <c r="Q895" s="95"/>
      <c r="R895" s="95"/>
      <c r="S895" s="95"/>
      <c r="T895" s="95"/>
    </row>
    <row r="896" spans="1:20" ht="12.75" customHeight="1" x14ac:dyDescent="0.3">
      <c r="A896" s="95"/>
      <c r="B896" s="95"/>
      <c r="C896" s="97"/>
      <c r="D896" s="95"/>
      <c r="E896" s="95"/>
      <c r="F896" s="95"/>
      <c r="G896" s="95"/>
      <c r="H896" s="95"/>
      <c r="I896" s="95"/>
      <c r="J896" s="95"/>
      <c r="K896" s="95"/>
      <c r="L896" s="95"/>
      <c r="M896" s="95"/>
      <c r="N896" s="95"/>
      <c r="O896" s="95"/>
      <c r="P896" s="95"/>
      <c r="Q896" s="95"/>
      <c r="R896" s="95"/>
      <c r="S896" s="95"/>
      <c r="T896" s="95"/>
    </row>
    <row r="897" spans="1:20" ht="12.75" customHeight="1" x14ac:dyDescent="0.3">
      <c r="A897" s="95"/>
      <c r="B897" s="95"/>
      <c r="C897" s="97"/>
      <c r="D897" s="95"/>
      <c r="E897" s="95"/>
      <c r="F897" s="95"/>
      <c r="G897" s="95"/>
      <c r="H897" s="95"/>
      <c r="I897" s="95"/>
      <c r="J897" s="95"/>
      <c r="K897" s="95"/>
      <c r="L897" s="95"/>
      <c r="M897" s="95"/>
      <c r="N897" s="95"/>
      <c r="O897" s="95"/>
      <c r="P897" s="95"/>
      <c r="Q897" s="95"/>
      <c r="R897" s="95"/>
      <c r="S897" s="95"/>
      <c r="T897" s="95"/>
    </row>
    <row r="898" spans="1:20" ht="12.75" customHeight="1" x14ac:dyDescent="0.3">
      <c r="A898" s="95"/>
      <c r="B898" s="95"/>
      <c r="C898" s="97"/>
      <c r="D898" s="95"/>
      <c r="E898" s="95"/>
      <c r="F898" s="95"/>
      <c r="G898" s="95"/>
      <c r="H898" s="95"/>
      <c r="I898" s="95"/>
      <c r="J898" s="95"/>
      <c r="K898" s="95"/>
      <c r="L898" s="95"/>
      <c r="M898" s="95"/>
      <c r="N898" s="95"/>
      <c r="O898" s="95"/>
      <c r="P898" s="95"/>
      <c r="Q898" s="95"/>
      <c r="R898" s="95"/>
      <c r="S898" s="95"/>
      <c r="T898" s="95"/>
    </row>
    <row r="899" spans="1:20" ht="12.75" customHeight="1" x14ac:dyDescent="0.3">
      <c r="A899" s="95"/>
      <c r="B899" s="95"/>
      <c r="C899" s="97"/>
      <c r="D899" s="95"/>
      <c r="E899" s="95"/>
      <c r="F899" s="95"/>
      <c r="G899" s="95"/>
      <c r="H899" s="95"/>
      <c r="I899" s="95"/>
      <c r="J899" s="95"/>
      <c r="K899" s="95"/>
      <c r="L899" s="95"/>
      <c r="M899" s="95"/>
      <c r="N899" s="95"/>
      <c r="O899" s="95"/>
      <c r="P899" s="95"/>
      <c r="Q899" s="95"/>
      <c r="R899" s="95"/>
      <c r="S899" s="95"/>
      <c r="T899" s="95"/>
    </row>
    <row r="900" spans="1:20" ht="12.75" customHeight="1" x14ac:dyDescent="0.3">
      <c r="A900" s="95"/>
      <c r="B900" s="95"/>
      <c r="C900" s="97"/>
      <c r="D900" s="95"/>
      <c r="E900" s="95"/>
      <c r="F900" s="95"/>
      <c r="G900" s="95"/>
      <c r="H900" s="95"/>
      <c r="I900" s="95"/>
      <c r="J900" s="95"/>
      <c r="K900" s="95"/>
      <c r="L900" s="95"/>
      <c r="M900" s="95"/>
      <c r="N900" s="95"/>
      <c r="O900" s="95"/>
      <c r="P900" s="95"/>
      <c r="Q900" s="95"/>
      <c r="R900" s="95"/>
      <c r="S900" s="95"/>
      <c r="T900" s="95"/>
    </row>
    <row r="901" spans="1:20" ht="12.75" customHeight="1" x14ac:dyDescent="0.3">
      <c r="A901" s="95"/>
      <c r="B901" s="95"/>
      <c r="C901" s="97"/>
      <c r="D901" s="95"/>
      <c r="E901" s="95"/>
      <c r="F901" s="95"/>
      <c r="G901" s="95"/>
      <c r="H901" s="95"/>
      <c r="I901" s="95"/>
      <c r="J901" s="95"/>
      <c r="K901" s="95"/>
      <c r="L901" s="95"/>
      <c r="M901" s="95"/>
      <c r="N901" s="95"/>
      <c r="O901" s="95"/>
      <c r="P901" s="95"/>
      <c r="Q901" s="95"/>
      <c r="R901" s="95"/>
      <c r="S901" s="95"/>
      <c r="T901" s="95"/>
    </row>
    <row r="902" spans="1:20" ht="12.75" customHeight="1" x14ac:dyDescent="0.3">
      <c r="A902" s="95"/>
      <c r="B902" s="95"/>
      <c r="C902" s="97"/>
      <c r="D902" s="95"/>
      <c r="E902" s="95"/>
      <c r="F902" s="95"/>
      <c r="G902" s="95"/>
      <c r="H902" s="95"/>
      <c r="I902" s="95"/>
      <c r="J902" s="95"/>
      <c r="K902" s="95"/>
      <c r="L902" s="95"/>
      <c r="M902" s="95"/>
      <c r="N902" s="95"/>
      <c r="O902" s="95"/>
      <c r="P902" s="95"/>
      <c r="Q902" s="95"/>
      <c r="R902" s="95"/>
      <c r="S902" s="95"/>
      <c r="T902" s="95"/>
    </row>
    <row r="903" spans="1:20" ht="12.75" customHeight="1" x14ac:dyDescent="0.3">
      <c r="A903" s="95"/>
      <c r="B903" s="95"/>
      <c r="C903" s="97"/>
      <c r="D903" s="95"/>
      <c r="E903" s="95"/>
      <c r="F903" s="95"/>
      <c r="G903" s="95"/>
      <c r="H903" s="95"/>
      <c r="I903" s="95"/>
      <c r="J903" s="95"/>
      <c r="K903" s="95"/>
      <c r="L903" s="95"/>
      <c r="M903" s="95"/>
      <c r="N903" s="95"/>
      <c r="O903" s="95"/>
      <c r="P903" s="95"/>
      <c r="Q903" s="95"/>
      <c r="R903" s="95"/>
      <c r="S903" s="95"/>
      <c r="T903" s="95"/>
    </row>
    <row r="904" spans="1:20" ht="12.75" customHeight="1" x14ac:dyDescent="0.3">
      <c r="A904" s="95"/>
      <c r="B904" s="95"/>
      <c r="C904" s="97"/>
      <c r="D904" s="95"/>
      <c r="E904" s="95"/>
      <c r="F904" s="95"/>
      <c r="G904" s="95"/>
      <c r="H904" s="95"/>
      <c r="I904" s="95"/>
      <c r="J904" s="95"/>
      <c r="K904" s="95"/>
      <c r="L904" s="95"/>
      <c r="M904" s="95"/>
      <c r="N904" s="95"/>
      <c r="O904" s="95"/>
      <c r="P904" s="95"/>
      <c r="Q904" s="95"/>
      <c r="R904" s="95"/>
      <c r="S904" s="95"/>
      <c r="T904" s="95"/>
    </row>
    <row r="905" spans="1:20" ht="12.75" customHeight="1" x14ac:dyDescent="0.3">
      <c r="A905" s="95"/>
      <c r="B905" s="95"/>
      <c r="C905" s="97"/>
      <c r="D905" s="95"/>
      <c r="E905" s="95"/>
      <c r="F905" s="95"/>
      <c r="G905" s="95"/>
      <c r="H905" s="95"/>
      <c r="I905" s="95"/>
      <c r="J905" s="95"/>
      <c r="K905" s="95"/>
      <c r="L905" s="95"/>
      <c r="M905" s="95"/>
      <c r="N905" s="95"/>
      <c r="O905" s="95"/>
      <c r="P905" s="95"/>
      <c r="Q905" s="95"/>
      <c r="R905" s="95"/>
      <c r="S905" s="95"/>
      <c r="T905" s="95"/>
    </row>
    <row r="906" spans="1:20" ht="12.75" customHeight="1" x14ac:dyDescent="0.3">
      <c r="A906" s="95"/>
      <c r="B906" s="95"/>
      <c r="C906" s="97"/>
      <c r="D906" s="95"/>
      <c r="E906" s="95"/>
      <c r="F906" s="95"/>
      <c r="G906" s="95"/>
      <c r="H906" s="95"/>
      <c r="I906" s="95"/>
      <c r="J906" s="95"/>
      <c r="K906" s="95"/>
      <c r="L906" s="95"/>
      <c r="M906" s="95"/>
      <c r="N906" s="95"/>
      <c r="O906" s="95"/>
      <c r="P906" s="95"/>
      <c r="Q906" s="95"/>
      <c r="R906" s="95"/>
      <c r="S906" s="95"/>
      <c r="T906" s="95"/>
    </row>
    <row r="907" spans="1:20" ht="12.75" customHeight="1" x14ac:dyDescent="0.3">
      <c r="A907" s="95"/>
      <c r="B907" s="95"/>
      <c r="C907" s="97"/>
      <c r="D907" s="95"/>
      <c r="E907" s="95"/>
      <c r="F907" s="95"/>
      <c r="G907" s="95"/>
      <c r="H907" s="95"/>
      <c r="I907" s="95"/>
      <c r="J907" s="95"/>
      <c r="K907" s="95"/>
      <c r="L907" s="95"/>
      <c r="M907" s="95"/>
      <c r="N907" s="95"/>
      <c r="O907" s="95"/>
      <c r="P907" s="95"/>
      <c r="Q907" s="95"/>
      <c r="R907" s="95"/>
      <c r="S907" s="95"/>
      <c r="T907" s="95"/>
    </row>
    <row r="908" spans="1:20" ht="12.75" customHeight="1" x14ac:dyDescent="0.3">
      <c r="A908" s="95"/>
      <c r="B908" s="95"/>
      <c r="C908" s="97"/>
      <c r="D908" s="95"/>
      <c r="E908" s="95"/>
      <c r="F908" s="95"/>
      <c r="G908" s="95"/>
      <c r="H908" s="95"/>
      <c r="I908" s="95"/>
      <c r="J908" s="95"/>
      <c r="K908" s="95"/>
      <c r="L908" s="95"/>
      <c r="M908" s="95"/>
      <c r="N908" s="95"/>
      <c r="O908" s="95"/>
      <c r="P908" s="95"/>
      <c r="Q908" s="95"/>
      <c r="R908" s="95"/>
      <c r="S908" s="95"/>
      <c r="T908" s="95"/>
    </row>
    <row r="909" spans="1:20" ht="12.75" customHeight="1" x14ac:dyDescent="0.3">
      <c r="A909" s="95"/>
      <c r="B909" s="95"/>
      <c r="C909" s="97"/>
      <c r="D909" s="95"/>
      <c r="E909" s="95"/>
      <c r="F909" s="95"/>
      <c r="G909" s="95"/>
      <c r="H909" s="95"/>
      <c r="I909" s="95"/>
      <c r="J909" s="95"/>
      <c r="K909" s="95"/>
      <c r="L909" s="95"/>
      <c r="M909" s="95"/>
      <c r="N909" s="95"/>
      <c r="O909" s="95"/>
      <c r="P909" s="95"/>
      <c r="Q909" s="95"/>
      <c r="R909" s="95"/>
      <c r="S909" s="95"/>
      <c r="T909" s="95"/>
    </row>
    <row r="910" spans="1:20" ht="12.75" customHeight="1" x14ac:dyDescent="0.3">
      <c r="A910" s="95"/>
      <c r="B910" s="95"/>
      <c r="C910" s="97"/>
      <c r="D910" s="95"/>
      <c r="E910" s="95"/>
      <c r="F910" s="95"/>
      <c r="G910" s="95"/>
      <c r="H910" s="95"/>
      <c r="I910" s="95"/>
      <c r="J910" s="95"/>
      <c r="K910" s="95"/>
      <c r="L910" s="95"/>
      <c r="M910" s="95"/>
      <c r="N910" s="95"/>
      <c r="O910" s="95"/>
      <c r="P910" s="95"/>
      <c r="Q910" s="95"/>
      <c r="R910" s="95"/>
      <c r="S910" s="95"/>
      <c r="T910" s="95"/>
    </row>
    <row r="911" spans="1:20" ht="12.75" customHeight="1" x14ac:dyDescent="0.3">
      <c r="A911" s="95"/>
      <c r="B911" s="95"/>
      <c r="C911" s="97"/>
      <c r="D911" s="95"/>
      <c r="E911" s="95"/>
      <c r="F911" s="95"/>
      <c r="G911" s="95"/>
      <c r="H911" s="95"/>
      <c r="I911" s="95"/>
      <c r="J911" s="95"/>
      <c r="K911" s="95"/>
      <c r="L911" s="95"/>
      <c r="M911" s="95"/>
      <c r="N911" s="95"/>
      <c r="O911" s="95"/>
      <c r="P911" s="95"/>
      <c r="Q911" s="95"/>
      <c r="R911" s="95"/>
      <c r="S911" s="95"/>
      <c r="T911" s="95"/>
    </row>
    <row r="912" spans="1:20" ht="12.75" customHeight="1" x14ac:dyDescent="0.3">
      <c r="A912" s="95"/>
      <c r="B912" s="95"/>
      <c r="C912" s="97"/>
      <c r="D912" s="95"/>
      <c r="E912" s="95"/>
      <c r="F912" s="95"/>
      <c r="G912" s="95"/>
      <c r="H912" s="95"/>
      <c r="I912" s="95"/>
      <c r="J912" s="95"/>
      <c r="K912" s="95"/>
      <c r="L912" s="95"/>
      <c r="M912" s="95"/>
      <c r="N912" s="95"/>
      <c r="O912" s="95"/>
      <c r="P912" s="95"/>
      <c r="Q912" s="95"/>
      <c r="R912" s="95"/>
      <c r="S912" s="95"/>
      <c r="T912" s="95"/>
    </row>
    <row r="913" spans="1:20" ht="12.75" customHeight="1" x14ac:dyDescent="0.3">
      <c r="A913" s="95"/>
      <c r="B913" s="95"/>
      <c r="C913" s="97"/>
      <c r="D913" s="95"/>
      <c r="E913" s="95"/>
      <c r="F913" s="95"/>
      <c r="G913" s="95"/>
      <c r="H913" s="95"/>
      <c r="I913" s="95"/>
      <c r="J913" s="95"/>
      <c r="K913" s="95"/>
      <c r="L913" s="95"/>
      <c r="M913" s="95"/>
      <c r="N913" s="95"/>
      <c r="O913" s="95"/>
      <c r="P913" s="95"/>
      <c r="Q913" s="95"/>
      <c r="R913" s="95"/>
      <c r="S913" s="95"/>
      <c r="T913" s="95"/>
    </row>
    <row r="914" spans="1:20" ht="12.75" customHeight="1" x14ac:dyDescent="0.3">
      <c r="A914" s="95"/>
      <c r="B914" s="95"/>
      <c r="C914" s="97"/>
      <c r="D914" s="95"/>
      <c r="E914" s="95"/>
      <c r="F914" s="95"/>
      <c r="G914" s="95"/>
      <c r="H914" s="95"/>
      <c r="I914" s="95"/>
      <c r="J914" s="95"/>
      <c r="K914" s="95"/>
      <c r="L914" s="95"/>
      <c r="M914" s="95"/>
      <c r="N914" s="95"/>
      <c r="O914" s="95"/>
      <c r="P914" s="95"/>
      <c r="Q914" s="95"/>
      <c r="R914" s="95"/>
      <c r="S914" s="95"/>
      <c r="T914" s="95"/>
    </row>
    <row r="915" spans="1:20" ht="12.75" customHeight="1" x14ac:dyDescent="0.3">
      <c r="A915" s="95"/>
      <c r="B915" s="95"/>
      <c r="C915" s="97"/>
      <c r="D915" s="95"/>
      <c r="E915" s="95"/>
      <c r="F915" s="95"/>
      <c r="G915" s="95"/>
      <c r="H915" s="95"/>
      <c r="I915" s="95"/>
      <c r="J915" s="95"/>
      <c r="K915" s="95"/>
      <c r="L915" s="95"/>
      <c r="M915" s="95"/>
      <c r="N915" s="95"/>
      <c r="O915" s="95"/>
      <c r="P915" s="95"/>
      <c r="Q915" s="95"/>
      <c r="R915" s="95"/>
      <c r="S915" s="95"/>
      <c r="T915" s="95"/>
    </row>
    <row r="916" spans="1:20" ht="12.75" customHeight="1" x14ac:dyDescent="0.3">
      <c r="A916" s="95"/>
      <c r="B916" s="95"/>
      <c r="C916" s="97"/>
      <c r="D916" s="95"/>
      <c r="E916" s="95"/>
      <c r="F916" s="95"/>
      <c r="G916" s="95"/>
      <c r="H916" s="95"/>
      <c r="I916" s="95"/>
      <c r="J916" s="95"/>
      <c r="K916" s="95"/>
      <c r="L916" s="95"/>
      <c r="M916" s="95"/>
      <c r="N916" s="95"/>
      <c r="O916" s="95"/>
      <c r="P916" s="95"/>
      <c r="Q916" s="95"/>
      <c r="R916" s="95"/>
      <c r="S916" s="95"/>
      <c r="T916" s="95"/>
    </row>
    <row r="917" spans="1:20" ht="12.75" customHeight="1" x14ac:dyDescent="0.3">
      <c r="A917" s="95"/>
      <c r="B917" s="95"/>
      <c r="C917" s="97"/>
      <c r="D917" s="95"/>
      <c r="E917" s="95"/>
      <c r="F917" s="95"/>
      <c r="G917" s="95"/>
      <c r="H917" s="95"/>
      <c r="I917" s="95"/>
      <c r="J917" s="95"/>
      <c r="K917" s="95"/>
      <c r="L917" s="95"/>
      <c r="M917" s="95"/>
      <c r="N917" s="95"/>
      <c r="O917" s="95"/>
      <c r="P917" s="95"/>
      <c r="Q917" s="95"/>
      <c r="R917" s="95"/>
      <c r="S917" s="95"/>
      <c r="T917" s="95"/>
    </row>
    <row r="918" spans="1:20" ht="12.75" customHeight="1" x14ac:dyDescent="0.3">
      <c r="A918" s="95"/>
      <c r="B918" s="95"/>
      <c r="C918" s="97"/>
      <c r="D918" s="95"/>
      <c r="E918" s="95"/>
      <c r="F918" s="95"/>
      <c r="G918" s="95"/>
      <c r="H918" s="95"/>
      <c r="I918" s="95"/>
      <c r="J918" s="95"/>
      <c r="K918" s="95"/>
      <c r="L918" s="95"/>
      <c r="M918" s="95"/>
      <c r="N918" s="95"/>
      <c r="O918" s="95"/>
      <c r="P918" s="95"/>
      <c r="Q918" s="95"/>
      <c r="R918" s="95"/>
      <c r="S918" s="95"/>
      <c r="T918" s="95"/>
    </row>
    <row r="919" spans="1:20" ht="12.75" customHeight="1" x14ac:dyDescent="0.3">
      <c r="A919" s="95"/>
      <c r="B919" s="95"/>
      <c r="C919" s="97"/>
      <c r="D919" s="95"/>
      <c r="E919" s="95"/>
      <c r="F919" s="95"/>
      <c r="G919" s="95"/>
      <c r="H919" s="95"/>
      <c r="I919" s="95"/>
      <c r="J919" s="95"/>
      <c r="K919" s="95"/>
      <c r="L919" s="95"/>
      <c r="M919" s="95"/>
      <c r="N919" s="95"/>
      <c r="O919" s="95"/>
      <c r="P919" s="95"/>
      <c r="Q919" s="95"/>
      <c r="R919" s="95"/>
      <c r="S919" s="95"/>
      <c r="T919" s="95"/>
    </row>
    <row r="920" spans="1:20" ht="12.75" customHeight="1" x14ac:dyDescent="0.3">
      <c r="A920" s="95"/>
      <c r="B920" s="95"/>
      <c r="C920" s="97"/>
      <c r="D920" s="95"/>
      <c r="E920" s="95"/>
      <c r="F920" s="95"/>
      <c r="G920" s="95"/>
      <c r="H920" s="95"/>
      <c r="I920" s="95"/>
      <c r="J920" s="95"/>
      <c r="K920" s="95"/>
      <c r="L920" s="95"/>
      <c r="M920" s="95"/>
      <c r="N920" s="95"/>
      <c r="O920" s="95"/>
      <c r="P920" s="95"/>
      <c r="Q920" s="95"/>
      <c r="R920" s="95"/>
      <c r="S920" s="95"/>
      <c r="T920" s="95"/>
    </row>
    <row r="921" spans="1:20" ht="12.75" customHeight="1" x14ac:dyDescent="0.3">
      <c r="A921" s="95"/>
      <c r="B921" s="95"/>
      <c r="C921" s="97"/>
      <c r="D921" s="95"/>
      <c r="E921" s="95"/>
      <c r="F921" s="95"/>
      <c r="G921" s="95"/>
      <c r="H921" s="95"/>
      <c r="I921" s="95"/>
      <c r="J921" s="95"/>
      <c r="K921" s="95"/>
      <c r="L921" s="95"/>
      <c r="M921" s="95"/>
      <c r="N921" s="95"/>
      <c r="O921" s="95"/>
      <c r="P921" s="95"/>
      <c r="Q921" s="95"/>
      <c r="R921" s="95"/>
      <c r="S921" s="95"/>
      <c r="T921" s="95"/>
    </row>
    <row r="922" spans="1:20" ht="12.75" customHeight="1" x14ac:dyDescent="0.3">
      <c r="A922" s="95"/>
      <c r="B922" s="95"/>
      <c r="C922" s="97"/>
      <c r="D922" s="95"/>
      <c r="E922" s="95"/>
      <c r="F922" s="95"/>
      <c r="G922" s="95"/>
      <c r="H922" s="95"/>
      <c r="I922" s="95"/>
      <c r="J922" s="95"/>
      <c r="K922" s="95"/>
      <c r="L922" s="95"/>
      <c r="M922" s="95"/>
      <c r="N922" s="95"/>
      <c r="O922" s="95"/>
      <c r="P922" s="95"/>
      <c r="Q922" s="95"/>
      <c r="R922" s="95"/>
      <c r="S922" s="95"/>
      <c r="T922" s="95"/>
    </row>
    <row r="923" spans="1:20" ht="12.75" customHeight="1" x14ac:dyDescent="0.3">
      <c r="A923" s="95"/>
      <c r="B923" s="95"/>
      <c r="C923" s="97"/>
      <c r="D923" s="95"/>
      <c r="E923" s="95"/>
      <c r="F923" s="95"/>
      <c r="G923" s="95"/>
      <c r="H923" s="95"/>
      <c r="I923" s="95"/>
      <c r="J923" s="95"/>
      <c r="K923" s="95"/>
      <c r="L923" s="95"/>
      <c r="M923" s="95"/>
      <c r="N923" s="95"/>
      <c r="O923" s="95"/>
      <c r="P923" s="95"/>
      <c r="Q923" s="95"/>
      <c r="R923" s="95"/>
      <c r="S923" s="95"/>
      <c r="T923" s="95"/>
    </row>
    <row r="924" spans="1:20" ht="12.75" customHeight="1" x14ac:dyDescent="0.3">
      <c r="A924" s="95"/>
      <c r="B924" s="95"/>
      <c r="C924" s="97"/>
      <c r="D924" s="95"/>
      <c r="E924" s="95"/>
      <c r="F924" s="95"/>
      <c r="G924" s="95"/>
      <c r="H924" s="95"/>
      <c r="I924" s="95"/>
      <c r="J924" s="95"/>
      <c r="K924" s="95"/>
      <c r="L924" s="95"/>
      <c r="M924" s="95"/>
      <c r="N924" s="95"/>
      <c r="O924" s="95"/>
      <c r="P924" s="95"/>
      <c r="Q924" s="95"/>
      <c r="R924" s="95"/>
      <c r="S924" s="95"/>
      <c r="T924" s="95"/>
    </row>
    <row r="925" spans="1:20" ht="12.75" customHeight="1" x14ac:dyDescent="0.3">
      <c r="A925" s="95"/>
      <c r="B925" s="95"/>
      <c r="C925" s="97"/>
      <c r="D925" s="95"/>
      <c r="E925" s="95"/>
      <c r="F925" s="95"/>
      <c r="G925" s="95"/>
      <c r="H925" s="95"/>
      <c r="I925" s="95"/>
      <c r="J925" s="95"/>
      <c r="K925" s="95"/>
      <c r="L925" s="95"/>
      <c r="M925" s="95"/>
      <c r="N925" s="95"/>
      <c r="O925" s="95"/>
      <c r="P925" s="95"/>
      <c r="Q925" s="95"/>
      <c r="R925" s="95"/>
      <c r="S925" s="95"/>
      <c r="T925" s="95"/>
    </row>
    <row r="926" spans="1:20" ht="12.75" customHeight="1" x14ac:dyDescent="0.3">
      <c r="A926" s="95"/>
      <c r="B926" s="95"/>
      <c r="C926" s="97"/>
      <c r="D926" s="95"/>
      <c r="E926" s="95"/>
      <c r="F926" s="95"/>
      <c r="G926" s="95"/>
      <c r="H926" s="95"/>
      <c r="I926" s="95"/>
      <c r="J926" s="95"/>
      <c r="K926" s="95"/>
      <c r="L926" s="95"/>
      <c r="M926" s="95"/>
      <c r="N926" s="95"/>
      <c r="O926" s="95"/>
      <c r="P926" s="95"/>
      <c r="Q926" s="95"/>
      <c r="R926" s="95"/>
      <c r="S926" s="95"/>
      <c r="T926" s="95"/>
    </row>
    <row r="927" spans="1:20" ht="12.75" customHeight="1" x14ac:dyDescent="0.3">
      <c r="A927" s="95"/>
      <c r="B927" s="95"/>
      <c r="C927" s="97"/>
      <c r="D927" s="95"/>
      <c r="E927" s="95"/>
      <c r="F927" s="95"/>
      <c r="G927" s="95"/>
      <c r="H927" s="95"/>
      <c r="I927" s="95"/>
      <c r="J927" s="95"/>
      <c r="K927" s="95"/>
      <c r="L927" s="95"/>
      <c r="M927" s="95"/>
      <c r="N927" s="95"/>
      <c r="O927" s="95"/>
      <c r="P927" s="95"/>
      <c r="Q927" s="95"/>
      <c r="R927" s="95"/>
      <c r="S927" s="95"/>
      <c r="T927" s="95"/>
    </row>
    <row r="928" spans="1:20" ht="12.75" customHeight="1" x14ac:dyDescent="0.3">
      <c r="A928" s="95"/>
      <c r="B928" s="95"/>
      <c r="C928" s="97"/>
      <c r="D928" s="95"/>
      <c r="E928" s="95"/>
      <c r="F928" s="95"/>
      <c r="G928" s="95"/>
      <c r="H928" s="95"/>
      <c r="I928" s="95"/>
      <c r="J928" s="95"/>
      <c r="K928" s="95"/>
      <c r="L928" s="95"/>
      <c r="M928" s="95"/>
      <c r="N928" s="95"/>
      <c r="O928" s="95"/>
      <c r="P928" s="95"/>
      <c r="Q928" s="95"/>
      <c r="R928" s="95"/>
      <c r="S928" s="95"/>
      <c r="T928" s="95"/>
    </row>
    <row r="929" spans="1:20" ht="12.75" customHeight="1" x14ac:dyDescent="0.3">
      <c r="A929" s="95"/>
      <c r="B929" s="95"/>
      <c r="C929" s="97"/>
      <c r="D929" s="95"/>
      <c r="E929" s="95"/>
      <c r="F929" s="95"/>
      <c r="G929" s="95"/>
      <c r="H929" s="95"/>
      <c r="I929" s="95"/>
      <c r="J929" s="95"/>
      <c r="K929" s="95"/>
      <c r="L929" s="95"/>
      <c r="M929" s="95"/>
      <c r="N929" s="95"/>
      <c r="O929" s="95"/>
      <c r="P929" s="95"/>
      <c r="Q929" s="95"/>
      <c r="R929" s="95"/>
      <c r="S929" s="95"/>
      <c r="T929" s="95"/>
    </row>
    <row r="930" spans="1:20" ht="12.75" customHeight="1" x14ac:dyDescent="0.3">
      <c r="A930" s="95"/>
      <c r="B930" s="95"/>
      <c r="C930" s="97"/>
      <c r="D930" s="95"/>
      <c r="E930" s="95"/>
      <c r="F930" s="95"/>
      <c r="G930" s="95"/>
      <c r="H930" s="95"/>
      <c r="I930" s="95"/>
      <c r="J930" s="95"/>
      <c r="K930" s="95"/>
      <c r="L930" s="95"/>
      <c r="M930" s="95"/>
      <c r="N930" s="95"/>
      <c r="O930" s="95"/>
      <c r="P930" s="95"/>
      <c r="Q930" s="95"/>
      <c r="R930" s="95"/>
      <c r="S930" s="95"/>
      <c r="T930" s="95"/>
    </row>
    <row r="931" spans="1:20" ht="12.75" customHeight="1" x14ac:dyDescent="0.3">
      <c r="A931" s="95"/>
      <c r="B931" s="95"/>
      <c r="C931" s="97"/>
      <c r="D931" s="95"/>
      <c r="E931" s="95"/>
      <c r="F931" s="95"/>
      <c r="G931" s="95"/>
      <c r="H931" s="95"/>
      <c r="I931" s="95"/>
      <c r="J931" s="95"/>
      <c r="K931" s="95"/>
      <c r="L931" s="95"/>
      <c r="M931" s="95"/>
      <c r="N931" s="95"/>
      <c r="O931" s="95"/>
      <c r="P931" s="95"/>
      <c r="Q931" s="95"/>
      <c r="R931" s="95"/>
      <c r="S931" s="95"/>
      <c r="T931" s="95"/>
    </row>
    <row r="932" spans="1:20" ht="12.75" customHeight="1" x14ac:dyDescent="0.3">
      <c r="A932" s="95"/>
      <c r="B932" s="95"/>
      <c r="C932" s="97"/>
      <c r="D932" s="95"/>
      <c r="E932" s="95"/>
      <c r="F932" s="95"/>
      <c r="G932" s="95"/>
      <c r="H932" s="95"/>
      <c r="I932" s="95"/>
      <c r="J932" s="95"/>
      <c r="K932" s="95"/>
      <c r="L932" s="95"/>
      <c r="M932" s="95"/>
      <c r="N932" s="95"/>
      <c r="O932" s="95"/>
      <c r="P932" s="95"/>
      <c r="Q932" s="95"/>
      <c r="R932" s="95"/>
      <c r="S932" s="95"/>
      <c r="T932" s="95"/>
    </row>
    <row r="933" spans="1:20" ht="12.75" customHeight="1" x14ac:dyDescent="0.3">
      <c r="A933" s="95"/>
      <c r="B933" s="95"/>
      <c r="C933" s="97"/>
      <c r="D933" s="95"/>
      <c r="E933" s="95"/>
      <c r="F933" s="95"/>
      <c r="G933" s="95"/>
      <c r="H933" s="95"/>
      <c r="I933" s="95"/>
      <c r="J933" s="95"/>
      <c r="K933" s="95"/>
      <c r="L933" s="95"/>
      <c r="M933" s="95"/>
      <c r="N933" s="95"/>
      <c r="O933" s="95"/>
      <c r="P933" s="95"/>
      <c r="Q933" s="95"/>
      <c r="R933" s="95"/>
      <c r="S933" s="95"/>
      <c r="T933" s="95"/>
    </row>
    <row r="934" spans="1:20" ht="12.75" customHeight="1" x14ac:dyDescent="0.3">
      <c r="A934" s="95"/>
      <c r="B934" s="95"/>
      <c r="C934" s="97"/>
      <c r="D934" s="95"/>
      <c r="E934" s="95"/>
      <c r="F934" s="95"/>
      <c r="G934" s="95"/>
      <c r="H934" s="95"/>
      <c r="I934" s="95"/>
      <c r="J934" s="95"/>
      <c r="K934" s="95"/>
      <c r="L934" s="95"/>
      <c r="M934" s="95"/>
      <c r="N934" s="95"/>
      <c r="O934" s="95"/>
      <c r="P934" s="95"/>
      <c r="Q934" s="95"/>
      <c r="R934" s="95"/>
      <c r="S934" s="95"/>
      <c r="T934" s="95"/>
    </row>
    <row r="935" spans="1:20" ht="12.75" customHeight="1" x14ac:dyDescent="0.3">
      <c r="A935" s="95"/>
      <c r="B935" s="95"/>
      <c r="C935" s="97"/>
      <c r="D935" s="95"/>
      <c r="E935" s="95"/>
      <c r="F935" s="95"/>
      <c r="G935" s="95"/>
      <c r="H935" s="95"/>
      <c r="I935" s="95"/>
      <c r="J935" s="95"/>
      <c r="K935" s="95"/>
      <c r="L935" s="95"/>
      <c r="M935" s="95"/>
      <c r="N935" s="95"/>
      <c r="O935" s="95"/>
      <c r="P935" s="95"/>
      <c r="Q935" s="95"/>
      <c r="R935" s="95"/>
      <c r="S935" s="95"/>
      <c r="T935" s="95"/>
    </row>
    <row r="936" spans="1:20" ht="12.75" customHeight="1" x14ac:dyDescent="0.3">
      <c r="A936" s="95"/>
      <c r="B936" s="95"/>
      <c r="C936" s="97"/>
      <c r="D936" s="95"/>
      <c r="E936" s="95"/>
      <c r="F936" s="95"/>
      <c r="G936" s="95"/>
      <c r="H936" s="95"/>
      <c r="I936" s="95"/>
      <c r="J936" s="95"/>
      <c r="K936" s="95"/>
      <c r="L936" s="95"/>
      <c r="M936" s="95"/>
      <c r="N936" s="95"/>
      <c r="O936" s="95"/>
      <c r="P936" s="95"/>
      <c r="Q936" s="95"/>
      <c r="R936" s="95"/>
      <c r="S936" s="95"/>
      <c r="T936" s="95"/>
    </row>
    <row r="937" spans="1:20" ht="12.75" customHeight="1" x14ac:dyDescent="0.3">
      <c r="A937" s="95"/>
      <c r="B937" s="95"/>
      <c r="C937" s="97"/>
      <c r="D937" s="95"/>
      <c r="E937" s="95"/>
      <c r="F937" s="95"/>
      <c r="G937" s="95"/>
      <c r="H937" s="95"/>
      <c r="I937" s="95"/>
      <c r="J937" s="95"/>
      <c r="K937" s="95"/>
      <c r="L937" s="95"/>
      <c r="M937" s="95"/>
      <c r="N937" s="95"/>
      <c r="O937" s="95"/>
      <c r="P937" s="95"/>
      <c r="Q937" s="95"/>
      <c r="R937" s="95"/>
      <c r="S937" s="95"/>
      <c r="T937" s="95"/>
    </row>
    <row r="938" spans="1:20" ht="12.75" customHeight="1" x14ac:dyDescent="0.3">
      <c r="A938" s="95"/>
      <c r="B938" s="95"/>
      <c r="C938" s="97"/>
      <c r="D938" s="95"/>
      <c r="E938" s="95"/>
      <c r="F938" s="95"/>
      <c r="G938" s="95"/>
      <c r="H938" s="95"/>
      <c r="I938" s="95"/>
      <c r="J938" s="95"/>
      <c r="K938" s="95"/>
      <c r="L938" s="95"/>
      <c r="M938" s="95"/>
      <c r="N938" s="95"/>
      <c r="O938" s="95"/>
      <c r="P938" s="95"/>
      <c r="Q938" s="95"/>
      <c r="R938" s="95"/>
      <c r="S938" s="95"/>
      <c r="T938" s="95"/>
    </row>
    <row r="939" spans="1:20" ht="12.75" customHeight="1" x14ac:dyDescent="0.3">
      <c r="A939" s="95"/>
      <c r="B939" s="95"/>
      <c r="C939" s="97"/>
      <c r="D939" s="95"/>
      <c r="E939" s="95"/>
      <c r="F939" s="95"/>
      <c r="G939" s="95"/>
      <c r="H939" s="95"/>
      <c r="I939" s="95"/>
      <c r="J939" s="95"/>
      <c r="K939" s="95"/>
      <c r="L939" s="95"/>
      <c r="M939" s="95"/>
      <c r="N939" s="95"/>
      <c r="O939" s="95"/>
      <c r="P939" s="95"/>
      <c r="Q939" s="95"/>
      <c r="R939" s="95"/>
      <c r="S939" s="95"/>
      <c r="T939" s="95"/>
    </row>
    <row r="940" spans="1:20" ht="12.75" customHeight="1" x14ac:dyDescent="0.3">
      <c r="A940" s="95"/>
      <c r="B940" s="95"/>
      <c r="C940" s="97"/>
      <c r="D940" s="95"/>
      <c r="E940" s="95"/>
      <c r="F940" s="95"/>
      <c r="G940" s="95"/>
      <c r="H940" s="95"/>
      <c r="I940" s="95"/>
      <c r="J940" s="95"/>
      <c r="K940" s="95"/>
      <c r="L940" s="95"/>
      <c r="M940" s="95"/>
      <c r="N940" s="95"/>
      <c r="O940" s="95"/>
      <c r="P940" s="95"/>
      <c r="Q940" s="95"/>
      <c r="R940" s="95"/>
      <c r="S940" s="95"/>
      <c r="T940" s="95"/>
    </row>
    <row r="941" spans="1:20" ht="12.75" customHeight="1" x14ac:dyDescent="0.3">
      <c r="A941" s="95"/>
      <c r="B941" s="95"/>
      <c r="C941" s="97"/>
      <c r="D941" s="95"/>
      <c r="E941" s="95"/>
      <c r="F941" s="95"/>
      <c r="G941" s="95"/>
      <c r="H941" s="95"/>
      <c r="I941" s="95"/>
      <c r="J941" s="95"/>
      <c r="K941" s="95"/>
      <c r="L941" s="95"/>
      <c r="M941" s="95"/>
      <c r="N941" s="95"/>
      <c r="O941" s="95"/>
      <c r="P941" s="95"/>
      <c r="Q941" s="95"/>
      <c r="R941" s="95"/>
      <c r="S941" s="95"/>
      <c r="T941" s="95"/>
    </row>
    <row r="942" spans="1:20" ht="12.75" customHeight="1" x14ac:dyDescent="0.3">
      <c r="A942" s="95"/>
      <c r="B942" s="95"/>
      <c r="C942" s="97"/>
      <c r="D942" s="95"/>
      <c r="E942" s="95"/>
      <c r="F942" s="95"/>
      <c r="G942" s="95"/>
      <c r="H942" s="95"/>
      <c r="I942" s="95"/>
      <c r="J942" s="95"/>
      <c r="K942" s="95"/>
      <c r="L942" s="95"/>
      <c r="M942" s="95"/>
      <c r="N942" s="95"/>
      <c r="O942" s="95"/>
      <c r="P942" s="95"/>
      <c r="Q942" s="95"/>
      <c r="R942" s="95"/>
      <c r="S942" s="95"/>
      <c r="T942" s="95"/>
    </row>
    <row r="943" spans="1:20" ht="12.75" customHeight="1" x14ac:dyDescent="0.3">
      <c r="A943" s="95"/>
      <c r="B943" s="95"/>
      <c r="C943" s="97"/>
      <c r="D943" s="95"/>
      <c r="E943" s="95"/>
      <c r="F943" s="95"/>
      <c r="G943" s="95"/>
      <c r="H943" s="95"/>
      <c r="I943" s="95"/>
      <c r="J943" s="95"/>
      <c r="K943" s="95"/>
      <c r="L943" s="95"/>
      <c r="M943" s="95"/>
      <c r="N943" s="95"/>
      <c r="O943" s="95"/>
      <c r="P943" s="95"/>
      <c r="Q943" s="95"/>
      <c r="R943" s="95"/>
      <c r="S943" s="95"/>
      <c r="T943" s="95"/>
    </row>
    <row r="944" spans="1:20" ht="12.75" customHeight="1" x14ac:dyDescent="0.3">
      <c r="A944" s="95"/>
      <c r="B944" s="95"/>
      <c r="C944" s="97"/>
      <c r="D944" s="95"/>
      <c r="E944" s="95"/>
      <c r="F944" s="95"/>
      <c r="G944" s="95"/>
      <c r="H944" s="95"/>
      <c r="I944" s="95"/>
      <c r="J944" s="95"/>
      <c r="K944" s="95"/>
      <c r="L944" s="95"/>
      <c r="M944" s="95"/>
      <c r="N944" s="95"/>
      <c r="O944" s="95"/>
      <c r="P944" s="95"/>
      <c r="Q944" s="95"/>
      <c r="R944" s="95"/>
      <c r="S944" s="95"/>
      <c r="T944" s="95"/>
    </row>
    <row r="945" spans="1:20" ht="12.75" customHeight="1" x14ac:dyDescent="0.3">
      <c r="A945" s="95"/>
      <c r="B945" s="95"/>
      <c r="C945" s="97"/>
      <c r="D945" s="95"/>
      <c r="E945" s="95"/>
      <c r="F945" s="95"/>
      <c r="G945" s="95"/>
      <c r="H945" s="95"/>
      <c r="I945" s="95"/>
      <c r="J945" s="95"/>
      <c r="K945" s="95"/>
      <c r="L945" s="95"/>
      <c r="M945" s="95"/>
      <c r="N945" s="95"/>
      <c r="O945" s="95"/>
      <c r="P945" s="95"/>
      <c r="Q945" s="95"/>
      <c r="R945" s="95"/>
      <c r="S945" s="95"/>
      <c r="T945" s="95"/>
    </row>
    <row r="946" spans="1:20" ht="12.75" customHeight="1" x14ac:dyDescent="0.3">
      <c r="A946" s="95"/>
      <c r="B946" s="95"/>
      <c r="C946" s="97"/>
      <c r="D946" s="95"/>
      <c r="E946" s="95"/>
      <c r="F946" s="95"/>
      <c r="G946" s="95"/>
      <c r="H946" s="95"/>
      <c r="I946" s="95"/>
      <c r="J946" s="95"/>
      <c r="K946" s="95"/>
      <c r="L946" s="95"/>
      <c r="M946" s="95"/>
      <c r="N946" s="95"/>
      <c r="O946" s="95"/>
      <c r="P946" s="95"/>
      <c r="Q946" s="95"/>
      <c r="R946" s="95"/>
      <c r="S946" s="95"/>
      <c r="T946" s="95"/>
    </row>
    <row r="947" spans="1:20" ht="12.75" customHeight="1" x14ac:dyDescent="0.3">
      <c r="A947" s="95"/>
      <c r="B947" s="95"/>
      <c r="C947" s="97"/>
      <c r="D947" s="95"/>
      <c r="E947" s="95"/>
      <c r="F947" s="95"/>
      <c r="G947" s="95"/>
      <c r="H947" s="95"/>
      <c r="I947" s="95"/>
      <c r="J947" s="95"/>
      <c r="K947" s="95"/>
      <c r="L947" s="95"/>
      <c r="M947" s="95"/>
      <c r="N947" s="95"/>
      <c r="O947" s="95"/>
      <c r="P947" s="95"/>
      <c r="Q947" s="95"/>
      <c r="R947" s="95"/>
      <c r="S947" s="95"/>
      <c r="T947" s="95"/>
    </row>
    <row r="948" spans="1:20" ht="12.75" customHeight="1" x14ac:dyDescent="0.3">
      <c r="A948" s="95"/>
      <c r="B948" s="95"/>
      <c r="C948" s="97"/>
      <c r="D948" s="95"/>
      <c r="E948" s="95"/>
      <c r="F948" s="95"/>
      <c r="G948" s="95"/>
      <c r="H948" s="95"/>
      <c r="I948" s="95"/>
      <c r="J948" s="95"/>
      <c r="K948" s="95"/>
      <c r="L948" s="95"/>
      <c r="M948" s="95"/>
      <c r="N948" s="95"/>
      <c r="O948" s="95"/>
      <c r="P948" s="95"/>
      <c r="Q948" s="95"/>
      <c r="R948" s="95"/>
      <c r="S948" s="95"/>
      <c r="T948" s="95"/>
    </row>
    <row r="949" spans="1:20" ht="12.75" customHeight="1" x14ac:dyDescent="0.3">
      <c r="A949" s="95"/>
      <c r="B949" s="95"/>
      <c r="C949" s="97"/>
      <c r="D949" s="95"/>
      <c r="E949" s="95"/>
      <c r="F949" s="95"/>
      <c r="G949" s="95"/>
      <c r="H949" s="95"/>
      <c r="I949" s="95"/>
      <c r="J949" s="95"/>
      <c r="K949" s="95"/>
      <c r="L949" s="95"/>
      <c r="M949" s="95"/>
      <c r="N949" s="95"/>
      <c r="O949" s="95"/>
      <c r="P949" s="95"/>
      <c r="Q949" s="95"/>
      <c r="R949" s="95"/>
      <c r="S949" s="95"/>
      <c r="T949" s="95"/>
    </row>
    <row r="950" spans="1:20" ht="12.75" customHeight="1" x14ac:dyDescent="0.3">
      <c r="A950" s="95"/>
      <c r="B950" s="95"/>
      <c r="C950" s="97"/>
      <c r="D950" s="95"/>
      <c r="E950" s="95"/>
      <c r="F950" s="95"/>
      <c r="G950" s="95"/>
      <c r="H950" s="95"/>
      <c r="I950" s="95"/>
      <c r="J950" s="95"/>
      <c r="K950" s="95"/>
      <c r="L950" s="95"/>
      <c r="M950" s="95"/>
      <c r="N950" s="95"/>
      <c r="O950" s="95"/>
      <c r="P950" s="95"/>
      <c r="Q950" s="95"/>
      <c r="R950" s="95"/>
      <c r="S950" s="95"/>
      <c r="T950" s="95"/>
    </row>
    <row r="951" spans="1:20" ht="12.75" customHeight="1" x14ac:dyDescent="0.3">
      <c r="A951" s="95"/>
      <c r="B951" s="95"/>
      <c r="C951" s="97"/>
      <c r="D951" s="95"/>
      <c r="E951" s="95"/>
      <c r="F951" s="95"/>
      <c r="G951" s="95"/>
      <c r="H951" s="95"/>
      <c r="I951" s="95"/>
      <c r="J951" s="95"/>
      <c r="K951" s="95"/>
      <c r="L951" s="95"/>
      <c r="M951" s="95"/>
      <c r="N951" s="95"/>
      <c r="O951" s="95"/>
      <c r="P951" s="95"/>
      <c r="Q951" s="95"/>
      <c r="R951" s="95"/>
      <c r="S951" s="95"/>
      <c r="T951" s="95"/>
    </row>
    <row r="952" spans="1:20" ht="12.75" customHeight="1" x14ac:dyDescent="0.3">
      <c r="A952" s="95"/>
      <c r="B952" s="95"/>
      <c r="C952" s="97"/>
      <c r="D952" s="95"/>
      <c r="E952" s="95"/>
      <c r="F952" s="95"/>
      <c r="G952" s="95"/>
      <c r="H952" s="95"/>
      <c r="I952" s="95"/>
      <c r="J952" s="95"/>
      <c r="K952" s="95"/>
      <c r="L952" s="95"/>
      <c r="M952" s="95"/>
      <c r="N952" s="95"/>
      <c r="O952" s="95"/>
      <c r="P952" s="95"/>
      <c r="Q952" s="95"/>
      <c r="R952" s="95"/>
      <c r="S952" s="95"/>
      <c r="T952" s="95"/>
    </row>
    <row r="953" spans="1:20" ht="12.75" customHeight="1" x14ac:dyDescent="0.3">
      <c r="A953" s="95"/>
      <c r="B953" s="95"/>
      <c r="C953" s="97"/>
      <c r="D953" s="95"/>
      <c r="E953" s="95"/>
      <c r="F953" s="95"/>
      <c r="G953" s="95"/>
      <c r="H953" s="95"/>
      <c r="I953" s="95"/>
      <c r="J953" s="95"/>
      <c r="K953" s="95"/>
      <c r="L953" s="95"/>
      <c r="M953" s="95"/>
      <c r="N953" s="95"/>
      <c r="O953" s="95"/>
      <c r="P953" s="95"/>
      <c r="Q953" s="95"/>
      <c r="R953" s="95"/>
      <c r="S953" s="95"/>
      <c r="T953" s="95"/>
    </row>
    <row r="954" spans="1:20" ht="12.75" customHeight="1" x14ac:dyDescent="0.3">
      <c r="A954" s="95"/>
      <c r="B954" s="95"/>
      <c r="C954" s="97"/>
      <c r="D954" s="95"/>
      <c r="E954" s="95"/>
      <c r="F954" s="95"/>
      <c r="G954" s="95"/>
      <c r="H954" s="95"/>
      <c r="I954" s="95"/>
      <c r="J954" s="95"/>
      <c r="K954" s="95"/>
      <c r="L954" s="95"/>
      <c r="M954" s="95"/>
      <c r="N954" s="95"/>
      <c r="O954" s="95"/>
      <c r="P954" s="95"/>
      <c r="Q954" s="95"/>
      <c r="R954" s="95"/>
      <c r="S954" s="95"/>
      <c r="T954" s="95"/>
    </row>
    <row r="955" spans="1:20" ht="12.75" customHeight="1" x14ac:dyDescent="0.3">
      <c r="A955" s="95"/>
      <c r="B955" s="95"/>
      <c r="C955" s="97"/>
      <c r="D955" s="95"/>
      <c r="E955" s="95"/>
      <c r="F955" s="95"/>
      <c r="G955" s="95"/>
      <c r="H955" s="95"/>
      <c r="I955" s="95"/>
      <c r="J955" s="95"/>
      <c r="K955" s="95"/>
      <c r="L955" s="95"/>
      <c r="M955" s="95"/>
      <c r="N955" s="95"/>
      <c r="O955" s="95"/>
      <c r="P955" s="95"/>
      <c r="Q955" s="95"/>
      <c r="R955" s="95"/>
      <c r="S955" s="95"/>
      <c r="T955" s="95"/>
    </row>
    <row r="956" spans="1:20" ht="12.75" customHeight="1" x14ac:dyDescent="0.3">
      <c r="A956" s="95"/>
      <c r="B956" s="95"/>
      <c r="C956" s="97"/>
      <c r="D956" s="95"/>
      <c r="E956" s="95"/>
      <c r="F956" s="95"/>
      <c r="G956" s="95"/>
      <c r="H956" s="95"/>
      <c r="I956" s="95"/>
      <c r="J956" s="95"/>
      <c r="K956" s="95"/>
      <c r="L956" s="95"/>
      <c r="M956" s="95"/>
      <c r="N956" s="95"/>
      <c r="O956" s="95"/>
      <c r="P956" s="95"/>
      <c r="Q956" s="95"/>
      <c r="R956" s="95"/>
      <c r="S956" s="95"/>
      <c r="T956" s="95"/>
    </row>
    <row r="957" spans="1:20" ht="12.75" customHeight="1" x14ac:dyDescent="0.3">
      <c r="A957" s="95"/>
      <c r="B957" s="95"/>
      <c r="C957" s="97"/>
      <c r="D957" s="95"/>
      <c r="E957" s="95"/>
      <c r="F957" s="95"/>
      <c r="G957" s="95"/>
      <c r="H957" s="95"/>
      <c r="I957" s="95"/>
      <c r="J957" s="95"/>
      <c r="K957" s="95"/>
      <c r="L957" s="95"/>
      <c r="M957" s="95"/>
      <c r="N957" s="95"/>
      <c r="O957" s="95"/>
      <c r="P957" s="95"/>
      <c r="Q957" s="95"/>
      <c r="R957" s="95"/>
      <c r="S957" s="95"/>
      <c r="T957" s="95"/>
    </row>
    <row r="958" spans="1:20" ht="12.75" customHeight="1" x14ac:dyDescent="0.3">
      <c r="A958" s="95"/>
      <c r="B958" s="95"/>
      <c r="C958" s="97"/>
      <c r="D958" s="95"/>
      <c r="E958" s="95"/>
      <c r="F958" s="95"/>
      <c r="G958" s="95"/>
      <c r="H958" s="95"/>
      <c r="I958" s="95"/>
      <c r="J958" s="95"/>
      <c r="K958" s="95"/>
      <c r="L958" s="95"/>
      <c r="M958" s="95"/>
      <c r="N958" s="95"/>
      <c r="O958" s="95"/>
      <c r="P958" s="95"/>
      <c r="Q958" s="95"/>
      <c r="R958" s="95"/>
      <c r="S958" s="95"/>
      <c r="T958" s="95"/>
    </row>
    <row r="959" spans="1:20" ht="12.75" customHeight="1" x14ac:dyDescent="0.3">
      <c r="A959" s="95"/>
      <c r="B959" s="95"/>
      <c r="C959" s="97"/>
      <c r="D959" s="95"/>
      <c r="E959" s="95"/>
      <c r="F959" s="95"/>
      <c r="G959" s="95"/>
      <c r="H959" s="95"/>
      <c r="I959" s="95"/>
      <c r="J959" s="95"/>
      <c r="K959" s="95"/>
      <c r="L959" s="95"/>
      <c r="M959" s="95"/>
      <c r="N959" s="95"/>
      <c r="O959" s="95"/>
      <c r="P959" s="95"/>
      <c r="Q959" s="95"/>
      <c r="R959" s="95"/>
      <c r="S959" s="95"/>
      <c r="T959" s="95"/>
    </row>
    <row r="960" spans="1:20" ht="12.75" customHeight="1" x14ac:dyDescent="0.3">
      <c r="A960" s="95"/>
      <c r="B960" s="95"/>
      <c r="C960" s="97"/>
      <c r="D960" s="95"/>
      <c r="E960" s="95"/>
      <c r="F960" s="95"/>
      <c r="G960" s="95"/>
      <c r="H960" s="95"/>
      <c r="I960" s="95"/>
      <c r="J960" s="95"/>
      <c r="K960" s="95"/>
      <c r="L960" s="95"/>
      <c r="M960" s="95"/>
      <c r="N960" s="95"/>
      <c r="O960" s="95"/>
      <c r="P960" s="95"/>
      <c r="Q960" s="95"/>
      <c r="R960" s="95"/>
      <c r="S960" s="95"/>
      <c r="T960" s="95"/>
    </row>
    <row r="961" spans="1:20" ht="12.75" customHeight="1" x14ac:dyDescent="0.3">
      <c r="A961" s="95"/>
      <c r="B961" s="95"/>
      <c r="C961" s="97"/>
      <c r="D961" s="95"/>
      <c r="E961" s="95"/>
      <c r="F961" s="95"/>
      <c r="G961" s="95"/>
      <c r="H961" s="95"/>
      <c r="I961" s="95"/>
      <c r="J961" s="95"/>
      <c r="K961" s="95"/>
      <c r="L961" s="95"/>
      <c r="M961" s="95"/>
      <c r="N961" s="95"/>
      <c r="O961" s="95"/>
      <c r="P961" s="95"/>
      <c r="Q961" s="95"/>
      <c r="R961" s="95"/>
      <c r="S961" s="95"/>
      <c r="T961" s="95"/>
    </row>
    <row r="962" spans="1:20" ht="12.75" customHeight="1" x14ac:dyDescent="0.3">
      <c r="A962" s="95"/>
      <c r="B962" s="95"/>
      <c r="C962" s="97"/>
      <c r="D962" s="95"/>
      <c r="E962" s="95"/>
      <c r="F962" s="95"/>
      <c r="G962" s="95"/>
      <c r="H962" s="95"/>
      <c r="I962" s="95"/>
      <c r="J962" s="95"/>
      <c r="K962" s="95"/>
      <c r="L962" s="95"/>
      <c r="M962" s="95"/>
      <c r="N962" s="95"/>
      <c r="O962" s="95"/>
      <c r="P962" s="95"/>
      <c r="Q962" s="95"/>
      <c r="R962" s="95"/>
      <c r="S962" s="95"/>
      <c r="T962" s="95"/>
    </row>
    <row r="963" spans="1:20" ht="12.75" customHeight="1" x14ac:dyDescent="0.3">
      <c r="A963" s="95"/>
      <c r="B963" s="95"/>
      <c r="C963" s="97"/>
      <c r="D963" s="95"/>
      <c r="E963" s="95"/>
      <c r="F963" s="95"/>
      <c r="G963" s="95"/>
      <c r="H963" s="95"/>
      <c r="I963" s="95"/>
      <c r="J963" s="95"/>
      <c r="K963" s="95"/>
      <c r="L963" s="95"/>
      <c r="M963" s="95"/>
      <c r="N963" s="95"/>
      <c r="O963" s="95"/>
      <c r="P963" s="95"/>
      <c r="Q963" s="95"/>
      <c r="R963" s="95"/>
      <c r="S963" s="95"/>
      <c r="T963" s="95"/>
    </row>
    <row r="964" spans="1:20" ht="12.75" customHeight="1" x14ac:dyDescent="0.3">
      <c r="A964" s="95"/>
      <c r="B964" s="95"/>
      <c r="C964" s="97"/>
      <c r="D964" s="95"/>
      <c r="E964" s="95"/>
      <c r="F964" s="95"/>
      <c r="G964" s="95"/>
      <c r="H964" s="95"/>
      <c r="I964" s="95"/>
      <c r="J964" s="95"/>
      <c r="K964" s="95"/>
      <c r="L964" s="95"/>
      <c r="M964" s="95"/>
      <c r="N964" s="95"/>
      <c r="O964" s="95"/>
      <c r="P964" s="95"/>
      <c r="Q964" s="95"/>
      <c r="R964" s="95"/>
      <c r="S964" s="95"/>
      <c r="T964" s="95"/>
    </row>
    <row r="965" spans="1:20" ht="12.75" customHeight="1" x14ac:dyDescent="0.3">
      <c r="A965" s="95"/>
      <c r="B965" s="95"/>
      <c r="C965" s="97"/>
      <c r="D965" s="95"/>
      <c r="E965" s="95"/>
      <c r="F965" s="95"/>
      <c r="G965" s="95"/>
      <c r="H965" s="95"/>
      <c r="I965" s="95"/>
      <c r="J965" s="95"/>
      <c r="K965" s="95"/>
      <c r="L965" s="95"/>
      <c r="M965" s="95"/>
      <c r="N965" s="95"/>
      <c r="O965" s="95"/>
      <c r="P965" s="95"/>
      <c r="Q965" s="95"/>
      <c r="R965" s="95"/>
      <c r="S965" s="95"/>
      <c r="T965" s="95"/>
    </row>
    <row r="966" spans="1:20" ht="12.75" customHeight="1" x14ac:dyDescent="0.3">
      <c r="A966" s="95"/>
      <c r="B966" s="95"/>
      <c r="C966" s="97"/>
      <c r="D966" s="95"/>
      <c r="E966" s="95"/>
      <c r="F966" s="95"/>
      <c r="G966" s="95"/>
      <c r="H966" s="95"/>
      <c r="I966" s="95"/>
      <c r="J966" s="95"/>
      <c r="K966" s="95"/>
      <c r="L966" s="95"/>
      <c r="M966" s="95"/>
      <c r="N966" s="95"/>
      <c r="O966" s="95"/>
      <c r="P966" s="95"/>
      <c r="Q966" s="95"/>
      <c r="R966" s="95"/>
      <c r="S966" s="95"/>
      <c r="T966" s="95"/>
    </row>
    <row r="967" spans="1:20" ht="12.75" customHeight="1" x14ac:dyDescent="0.3">
      <c r="A967" s="95"/>
      <c r="B967" s="95"/>
      <c r="C967" s="97"/>
      <c r="D967" s="95"/>
      <c r="E967" s="95"/>
      <c r="F967" s="95"/>
      <c r="G967" s="95"/>
      <c r="H967" s="95"/>
      <c r="I967" s="95"/>
      <c r="J967" s="95"/>
      <c r="K967" s="95"/>
      <c r="L967" s="95"/>
      <c r="M967" s="95"/>
      <c r="N967" s="95"/>
      <c r="O967" s="95"/>
      <c r="P967" s="95"/>
      <c r="Q967" s="95"/>
      <c r="R967" s="95"/>
      <c r="S967" s="95"/>
      <c r="T967" s="95"/>
    </row>
    <row r="968" spans="1:20" ht="12.75" customHeight="1" x14ac:dyDescent="0.3">
      <c r="A968" s="95"/>
      <c r="B968" s="95"/>
      <c r="C968" s="97"/>
      <c r="D968" s="95"/>
      <c r="E968" s="95"/>
      <c r="F968" s="95"/>
      <c r="G968" s="95"/>
      <c r="H968" s="95"/>
      <c r="I968" s="95"/>
      <c r="J968" s="95"/>
      <c r="K968" s="95"/>
      <c r="L968" s="95"/>
      <c r="M968" s="95"/>
      <c r="N968" s="95"/>
      <c r="O968" s="95"/>
      <c r="P968" s="95"/>
      <c r="Q968" s="95"/>
      <c r="R968" s="95"/>
      <c r="S968" s="95"/>
      <c r="T968" s="95"/>
    </row>
    <row r="969" spans="1:20" ht="12.75" customHeight="1" x14ac:dyDescent="0.3">
      <c r="A969" s="95"/>
      <c r="B969" s="95"/>
      <c r="C969" s="97"/>
      <c r="D969" s="95"/>
      <c r="E969" s="95"/>
      <c r="F969" s="95"/>
      <c r="G969" s="95"/>
      <c r="H969" s="95"/>
      <c r="I969" s="95"/>
      <c r="J969" s="95"/>
      <c r="K969" s="95"/>
      <c r="L969" s="95"/>
      <c r="M969" s="95"/>
      <c r="N969" s="95"/>
      <c r="O969" s="95"/>
      <c r="P969" s="95"/>
      <c r="Q969" s="95"/>
      <c r="R969" s="95"/>
      <c r="S969" s="95"/>
      <c r="T969" s="95"/>
    </row>
    <row r="970" spans="1:20" ht="12.75" customHeight="1" x14ac:dyDescent="0.3">
      <c r="A970" s="95"/>
      <c r="B970" s="95"/>
      <c r="C970" s="97"/>
      <c r="D970" s="95"/>
      <c r="E970" s="95"/>
      <c r="F970" s="95"/>
      <c r="G970" s="95"/>
      <c r="H970" s="95"/>
      <c r="I970" s="95"/>
      <c r="J970" s="95"/>
      <c r="K970" s="95"/>
      <c r="L970" s="95"/>
      <c r="M970" s="95"/>
      <c r="N970" s="95"/>
      <c r="O970" s="95"/>
      <c r="P970" s="95"/>
      <c r="Q970" s="95"/>
      <c r="R970" s="95"/>
      <c r="S970" s="95"/>
      <c r="T970" s="95"/>
    </row>
    <row r="971" spans="1:20" ht="12.75" customHeight="1" x14ac:dyDescent="0.3">
      <c r="A971" s="95"/>
      <c r="B971" s="95"/>
      <c r="C971" s="97"/>
      <c r="D971" s="95"/>
      <c r="E971" s="95"/>
      <c r="F971" s="95"/>
      <c r="G971" s="95"/>
      <c r="H971" s="95"/>
      <c r="I971" s="95"/>
      <c r="J971" s="95"/>
      <c r="K971" s="95"/>
      <c r="L971" s="95"/>
      <c r="M971" s="95"/>
      <c r="N971" s="95"/>
      <c r="O971" s="95"/>
      <c r="P971" s="95"/>
      <c r="Q971" s="95"/>
      <c r="R971" s="95"/>
      <c r="S971" s="95"/>
      <c r="T971" s="95"/>
    </row>
    <row r="972" spans="1:20" ht="12.75" customHeight="1" x14ac:dyDescent="0.3">
      <c r="A972" s="95"/>
      <c r="B972" s="95"/>
      <c r="C972" s="97"/>
      <c r="D972" s="95"/>
      <c r="E972" s="95"/>
      <c r="F972" s="95"/>
      <c r="G972" s="95"/>
      <c r="H972" s="95"/>
      <c r="I972" s="95"/>
      <c r="J972" s="95"/>
      <c r="K972" s="95"/>
      <c r="L972" s="95"/>
      <c r="M972" s="95"/>
      <c r="N972" s="95"/>
      <c r="O972" s="95"/>
      <c r="P972" s="95"/>
      <c r="Q972" s="95"/>
      <c r="R972" s="95"/>
      <c r="S972" s="95"/>
      <c r="T972" s="95"/>
    </row>
    <row r="973" spans="1:20" ht="12.75" customHeight="1" x14ac:dyDescent="0.3">
      <c r="A973" s="95"/>
      <c r="B973" s="95"/>
      <c r="C973" s="97"/>
      <c r="D973" s="95"/>
      <c r="E973" s="95"/>
      <c r="F973" s="95"/>
      <c r="G973" s="95"/>
      <c r="H973" s="95"/>
      <c r="I973" s="95"/>
      <c r="J973" s="95"/>
      <c r="K973" s="95"/>
      <c r="L973" s="95"/>
      <c r="M973" s="95"/>
      <c r="N973" s="95"/>
      <c r="O973" s="95"/>
      <c r="P973" s="95"/>
      <c r="Q973" s="95"/>
      <c r="R973" s="95"/>
      <c r="S973" s="95"/>
      <c r="T973" s="95"/>
    </row>
    <row r="974" spans="1:20" ht="12.75" customHeight="1" x14ac:dyDescent="0.3">
      <c r="A974" s="95"/>
      <c r="B974" s="95"/>
      <c r="C974" s="97"/>
      <c r="D974" s="95"/>
      <c r="E974" s="95"/>
      <c r="F974" s="95"/>
      <c r="G974" s="95"/>
      <c r="H974" s="95"/>
      <c r="I974" s="95"/>
      <c r="J974" s="95"/>
      <c r="K974" s="95"/>
      <c r="L974" s="95"/>
      <c r="M974" s="95"/>
      <c r="N974" s="95"/>
      <c r="O974" s="95"/>
      <c r="P974" s="95"/>
      <c r="Q974" s="95"/>
      <c r="R974" s="95"/>
      <c r="S974" s="95"/>
      <c r="T974" s="95"/>
    </row>
    <row r="975" spans="1:20" ht="12.75" customHeight="1" x14ac:dyDescent="0.3">
      <c r="A975" s="95"/>
      <c r="B975" s="95"/>
      <c r="C975" s="97"/>
      <c r="D975" s="95"/>
      <c r="E975" s="95"/>
      <c r="F975" s="95"/>
      <c r="G975" s="95"/>
      <c r="H975" s="95"/>
      <c r="I975" s="95"/>
      <c r="J975" s="95"/>
      <c r="K975" s="95"/>
      <c r="L975" s="95"/>
      <c r="M975" s="95"/>
      <c r="N975" s="95"/>
      <c r="O975" s="95"/>
      <c r="P975" s="95"/>
      <c r="Q975" s="95"/>
      <c r="R975" s="95"/>
      <c r="S975" s="95"/>
      <c r="T975" s="95"/>
    </row>
    <row r="976" spans="1:20" ht="12.75" customHeight="1" x14ac:dyDescent="0.3">
      <c r="A976" s="95"/>
      <c r="B976" s="95"/>
      <c r="C976" s="97"/>
      <c r="D976" s="95"/>
      <c r="E976" s="95"/>
      <c r="F976" s="95"/>
      <c r="G976" s="95"/>
      <c r="H976" s="95"/>
      <c r="I976" s="95"/>
      <c r="J976" s="95"/>
      <c r="K976" s="95"/>
      <c r="L976" s="95"/>
      <c r="M976" s="95"/>
      <c r="N976" s="95"/>
      <c r="O976" s="95"/>
      <c r="P976" s="95"/>
      <c r="Q976" s="95"/>
      <c r="R976" s="95"/>
      <c r="S976" s="95"/>
      <c r="T976" s="95"/>
    </row>
    <row r="977" spans="1:20" ht="12.75" customHeight="1" x14ac:dyDescent="0.3">
      <c r="A977" s="95"/>
      <c r="B977" s="95"/>
      <c r="C977" s="97"/>
      <c r="D977" s="95"/>
      <c r="E977" s="95"/>
      <c r="F977" s="95"/>
      <c r="G977" s="95"/>
      <c r="H977" s="95"/>
      <c r="I977" s="95"/>
      <c r="J977" s="95"/>
      <c r="K977" s="95"/>
      <c r="L977" s="95"/>
      <c r="M977" s="95"/>
      <c r="N977" s="95"/>
      <c r="O977" s="95"/>
      <c r="P977" s="95"/>
      <c r="Q977" s="95"/>
      <c r="R977" s="95"/>
      <c r="S977" s="95"/>
      <c r="T977" s="95"/>
    </row>
    <row r="978" spans="1:20" ht="12.75" customHeight="1" x14ac:dyDescent="0.3">
      <c r="A978" s="95"/>
      <c r="B978" s="95"/>
      <c r="C978" s="97"/>
      <c r="D978" s="95"/>
      <c r="E978" s="95"/>
      <c r="F978" s="95"/>
      <c r="G978" s="95"/>
      <c r="H978" s="95"/>
      <c r="I978" s="95"/>
      <c r="J978" s="95"/>
      <c r="K978" s="95"/>
      <c r="L978" s="95"/>
      <c r="M978" s="95"/>
      <c r="N978" s="95"/>
      <c r="O978" s="95"/>
      <c r="P978" s="95"/>
      <c r="Q978" s="95"/>
      <c r="R978" s="95"/>
      <c r="S978" s="95"/>
      <c r="T978" s="95"/>
    </row>
    <row r="979" spans="1:20" ht="12.75" customHeight="1" x14ac:dyDescent="0.3">
      <c r="A979" s="95"/>
      <c r="B979" s="95"/>
      <c r="C979" s="97"/>
      <c r="D979" s="95"/>
      <c r="E979" s="95"/>
      <c r="F979" s="95"/>
      <c r="G979" s="95"/>
      <c r="H979" s="95"/>
      <c r="I979" s="95"/>
      <c r="J979" s="95"/>
      <c r="K979" s="95"/>
      <c r="L979" s="95"/>
      <c r="M979" s="95"/>
      <c r="N979" s="95"/>
      <c r="O979" s="95"/>
      <c r="P979" s="95"/>
      <c r="Q979" s="95"/>
      <c r="R979" s="95"/>
      <c r="S979" s="95"/>
      <c r="T979" s="95"/>
    </row>
    <row r="980" spans="1:20" ht="12.75" customHeight="1" x14ac:dyDescent="0.3">
      <c r="A980" s="95"/>
      <c r="B980" s="95"/>
      <c r="C980" s="97"/>
      <c r="D980" s="95"/>
      <c r="E980" s="95"/>
      <c r="F980" s="95"/>
      <c r="G980" s="95"/>
      <c r="H980" s="95"/>
      <c r="I980" s="95"/>
      <c r="J980" s="95"/>
      <c r="K980" s="95"/>
      <c r="L980" s="95"/>
      <c r="M980" s="95"/>
      <c r="N980" s="95"/>
      <c r="O980" s="95"/>
      <c r="P980" s="95"/>
      <c r="Q980" s="95"/>
      <c r="R980" s="95"/>
      <c r="S980" s="95"/>
      <c r="T980" s="95"/>
    </row>
    <row r="981" spans="1:20" ht="12.75" customHeight="1" x14ac:dyDescent="0.3">
      <c r="A981" s="95"/>
      <c r="B981" s="95"/>
      <c r="C981" s="97"/>
      <c r="D981" s="95"/>
      <c r="E981" s="95"/>
      <c r="F981" s="95"/>
      <c r="G981" s="95"/>
      <c r="H981" s="95"/>
      <c r="I981" s="95"/>
      <c r="J981" s="95"/>
      <c r="K981" s="95"/>
      <c r="L981" s="95"/>
      <c r="M981" s="95"/>
      <c r="N981" s="95"/>
      <c r="O981" s="95"/>
      <c r="P981" s="95"/>
      <c r="Q981" s="95"/>
      <c r="R981" s="95"/>
      <c r="S981" s="95"/>
      <c r="T981" s="95"/>
    </row>
    <row r="982" spans="1:20" ht="12.75" customHeight="1" x14ac:dyDescent="0.3">
      <c r="A982" s="95"/>
      <c r="B982" s="95"/>
      <c r="C982" s="97"/>
      <c r="D982" s="95"/>
      <c r="E982" s="95"/>
      <c r="F982" s="95"/>
      <c r="G982" s="95"/>
      <c r="H982" s="95"/>
      <c r="I982" s="95"/>
      <c r="J982" s="95"/>
      <c r="K982" s="95"/>
      <c r="L982" s="95"/>
      <c r="M982" s="95"/>
      <c r="N982" s="95"/>
      <c r="O982" s="95"/>
      <c r="P982" s="95"/>
      <c r="Q982" s="95"/>
      <c r="R982" s="95"/>
      <c r="S982" s="95"/>
      <c r="T982" s="95"/>
    </row>
    <row r="983" spans="1:20" ht="12.75" customHeight="1" x14ac:dyDescent="0.3">
      <c r="A983" s="95"/>
      <c r="B983" s="95"/>
      <c r="C983" s="97"/>
      <c r="D983" s="95"/>
      <c r="E983" s="95"/>
      <c r="F983" s="95"/>
      <c r="G983" s="95"/>
      <c r="H983" s="95"/>
      <c r="I983" s="95"/>
      <c r="J983" s="95"/>
      <c r="K983" s="95"/>
      <c r="L983" s="95"/>
      <c r="M983" s="95"/>
      <c r="N983" s="95"/>
      <c r="O983" s="95"/>
      <c r="P983" s="95"/>
      <c r="Q983" s="95"/>
      <c r="R983" s="95"/>
      <c r="S983" s="95"/>
      <c r="T983" s="95"/>
    </row>
    <row r="984" spans="1:20" ht="12.75" customHeight="1" x14ac:dyDescent="0.3">
      <c r="A984" s="95"/>
      <c r="B984" s="95"/>
      <c r="C984" s="97"/>
      <c r="D984" s="95"/>
      <c r="E984" s="95"/>
      <c r="F984" s="95"/>
      <c r="G984" s="95"/>
      <c r="H984" s="95"/>
      <c r="I984" s="95"/>
      <c r="J984" s="95"/>
      <c r="K984" s="95"/>
      <c r="L984" s="95"/>
      <c r="M984" s="95"/>
      <c r="N984" s="95"/>
      <c r="O984" s="95"/>
      <c r="P984" s="95"/>
      <c r="Q984" s="95"/>
      <c r="R984" s="95"/>
      <c r="S984" s="95"/>
      <c r="T984" s="95"/>
    </row>
    <row r="985" spans="1:20" ht="12.75" customHeight="1" x14ac:dyDescent="0.3">
      <c r="A985" s="95"/>
      <c r="B985" s="95"/>
      <c r="C985" s="97"/>
      <c r="D985" s="95"/>
      <c r="E985" s="95"/>
      <c r="F985" s="95"/>
      <c r="G985" s="95"/>
      <c r="H985" s="95"/>
      <c r="I985" s="95"/>
      <c r="J985" s="95"/>
      <c r="K985" s="95"/>
      <c r="L985" s="95"/>
      <c r="M985" s="95"/>
      <c r="N985" s="95"/>
      <c r="O985" s="95"/>
      <c r="P985" s="95"/>
      <c r="Q985" s="95"/>
      <c r="R985" s="95"/>
      <c r="S985" s="95"/>
      <c r="T985" s="95"/>
    </row>
    <row r="986" spans="1:20" ht="12.75" customHeight="1" x14ac:dyDescent="0.3">
      <c r="A986" s="95"/>
      <c r="B986" s="95"/>
      <c r="C986" s="97"/>
      <c r="D986" s="95"/>
      <c r="E986" s="95"/>
      <c r="F986" s="95"/>
      <c r="G986" s="95"/>
      <c r="H986" s="95"/>
      <c r="I986" s="95"/>
      <c r="J986" s="95"/>
      <c r="K986" s="95"/>
      <c r="L986" s="95"/>
      <c r="M986" s="95"/>
      <c r="N986" s="95"/>
      <c r="O986" s="95"/>
      <c r="P986" s="95"/>
      <c r="Q986" s="95"/>
      <c r="R986" s="95"/>
      <c r="S986" s="95"/>
      <c r="T986" s="95"/>
    </row>
    <row r="987" spans="1:20" ht="12.75" customHeight="1" x14ac:dyDescent="0.3">
      <c r="A987" s="95"/>
      <c r="B987" s="95"/>
      <c r="C987" s="97"/>
      <c r="D987" s="95"/>
      <c r="E987" s="95"/>
      <c r="F987" s="95"/>
      <c r="G987" s="95"/>
      <c r="H987" s="95"/>
      <c r="I987" s="95"/>
      <c r="J987" s="95"/>
      <c r="K987" s="95"/>
      <c r="L987" s="95"/>
      <c r="M987" s="95"/>
      <c r="N987" s="95"/>
      <c r="O987" s="95"/>
      <c r="P987" s="95"/>
      <c r="Q987" s="95"/>
      <c r="R987" s="95"/>
      <c r="S987" s="95"/>
      <c r="T987" s="95"/>
    </row>
    <row r="988" spans="1:20" ht="12.75" customHeight="1" x14ac:dyDescent="0.3">
      <c r="A988" s="95"/>
      <c r="B988" s="95"/>
      <c r="C988" s="97"/>
      <c r="D988" s="95"/>
      <c r="E988" s="95"/>
      <c r="F988" s="95"/>
      <c r="G988" s="95"/>
      <c r="H988" s="95"/>
      <c r="I988" s="95"/>
      <c r="J988" s="95"/>
      <c r="K988" s="95"/>
      <c r="L988" s="95"/>
      <c r="M988" s="95"/>
      <c r="N988" s="95"/>
      <c r="O988" s="95"/>
      <c r="P988" s="95"/>
      <c r="Q988" s="95"/>
      <c r="R988" s="95"/>
      <c r="S988" s="95"/>
      <c r="T988" s="95"/>
    </row>
    <row r="989" spans="1:20" ht="12.75" customHeight="1" x14ac:dyDescent="0.3">
      <c r="A989" s="95"/>
      <c r="B989" s="95"/>
      <c r="C989" s="97"/>
      <c r="D989" s="95"/>
      <c r="E989" s="95"/>
      <c r="F989" s="95"/>
      <c r="G989" s="95"/>
      <c r="H989" s="95"/>
      <c r="I989" s="95"/>
      <c r="J989" s="95"/>
      <c r="K989" s="95"/>
      <c r="L989" s="95"/>
      <c r="M989" s="95"/>
      <c r="N989" s="95"/>
      <c r="O989" s="95"/>
      <c r="P989" s="95"/>
      <c r="Q989" s="95"/>
      <c r="R989" s="95"/>
      <c r="S989" s="95"/>
      <c r="T989" s="95"/>
    </row>
    <row r="990" spans="1:20" ht="12.75" customHeight="1" x14ac:dyDescent="0.3">
      <c r="A990" s="95"/>
      <c r="B990" s="95"/>
      <c r="C990" s="97"/>
      <c r="D990" s="95"/>
      <c r="E990" s="95"/>
      <c r="F990" s="95"/>
      <c r="G990" s="95"/>
      <c r="H990" s="95"/>
      <c r="I990" s="95"/>
      <c r="J990" s="95"/>
      <c r="K990" s="95"/>
      <c r="L990" s="95"/>
      <c r="M990" s="95"/>
      <c r="N990" s="95"/>
      <c r="O990" s="95"/>
      <c r="P990" s="95"/>
      <c r="Q990" s="95"/>
      <c r="R990" s="95"/>
      <c r="S990" s="95"/>
      <c r="T990" s="95"/>
    </row>
    <row r="991" spans="1:20" ht="12.75" customHeight="1" x14ac:dyDescent="0.3">
      <c r="A991" s="95"/>
      <c r="B991" s="95"/>
      <c r="C991" s="97"/>
      <c r="D991" s="95"/>
      <c r="E991" s="95"/>
      <c r="F991" s="95"/>
      <c r="G991" s="95"/>
      <c r="H991" s="95"/>
      <c r="I991" s="95"/>
      <c r="J991" s="95"/>
      <c r="K991" s="95"/>
      <c r="L991" s="95"/>
      <c r="M991" s="95"/>
      <c r="N991" s="95"/>
      <c r="O991" s="95"/>
      <c r="P991" s="95"/>
      <c r="Q991" s="95"/>
      <c r="R991" s="95"/>
      <c r="S991" s="95"/>
      <c r="T991" s="95"/>
    </row>
    <row r="992" spans="1:20" ht="12.75" customHeight="1" x14ac:dyDescent="0.3">
      <c r="A992" s="95"/>
      <c r="B992" s="95"/>
      <c r="C992" s="97"/>
      <c r="D992" s="95"/>
      <c r="E992" s="95"/>
      <c r="F992" s="95"/>
      <c r="G992" s="95"/>
      <c r="H992" s="95"/>
      <c r="I992" s="95"/>
      <c r="J992" s="95"/>
      <c r="K992" s="95"/>
      <c r="L992" s="95"/>
      <c r="M992" s="95"/>
      <c r="N992" s="95"/>
      <c r="O992" s="95"/>
      <c r="P992" s="95"/>
      <c r="Q992" s="95"/>
      <c r="R992" s="95"/>
      <c r="S992" s="95"/>
      <c r="T992" s="95"/>
    </row>
    <row r="993" spans="1:20" ht="12.75" customHeight="1" x14ac:dyDescent="0.3">
      <c r="A993" s="95"/>
      <c r="B993" s="95"/>
      <c r="C993" s="97"/>
      <c r="D993" s="95"/>
      <c r="E993" s="95"/>
      <c r="F993" s="95"/>
      <c r="G993" s="95"/>
      <c r="H993" s="95"/>
      <c r="I993" s="95"/>
      <c r="J993" s="95"/>
      <c r="K993" s="95"/>
      <c r="L993" s="95"/>
      <c r="M993" s="95"/>
      <c r="N993" s="95"/>
      <c r="O993" s="95"/>
      <c r="P993" s="95"/>
      <c r="Q993" s="95"/>
      <c r="R993" s="95"/>
      <c r="S993" s="95"/>
      <c r="T993" s="95"/>
    </row>
    <row r="994" spans="1:20" ht="12.75" customHeight="1" x14ac:dyDescent="0.3">
      <c r="A994" s="95"/>
      <c r="B994" s="95"/>
      <c r="C994" s="97"/>
      <c r="D994" s="95"/>
      <c r="E994" s="95"/>
      <c r="F994" s="95"/>
      <c r="G994" s="95"/>
      <c r="H994" s="95"/>
      <c r="I994" s="95"/>
      <c r="J994" s="95"/>
      <c r="K994" s="95"/>
      <c r="L994" s="95"/>
      <c r="M994" s="95"/>
      <c r="N994" s="95"/>
      <c r="O994" s="95"/>
      <c r="P994" s="95"/>
      <c r="Q994" s="95"/>
      <c r="R994" s="95"/>
      <c r="S994" s="95"/>
      <c r="T994" s="95"/>
    </row>
    <row r="995" spans="1:20" ht="12.75" customHeight="1" x14ac:dyDescent="0.3">
      <c r="A995" s="95"/>
      <c r="B995" s="95"/>
      <c r="C995" s="97"/>
      <c r="D995" s="95"/>
      <c r="E995" s="95"/>
      <c r="F995" s="95"/>
      <c r="G995" s="95"/>
      <c r="H995" s="95"/>
      <c r="I995" s="95"/>
      <c r="J995" s="95"/>
      <c r="K995" s="95"/>
      <c r="L995" s="95"/>
      <c r="M995" s="95"/>
      <c r="N995" s="95"/>
      <c r="O995" s="95"/>
      <c r="P995" s="95"/>
      <c r="Q995" s="95"/>
      <c r="R995" s="95"/>
      <c r="S995" s="95"/>
      <c r="T995" s="95"/>
    </row>
    <row r="996" spans="1:20" ht="12.75" customHeight="1" x14ac:dyDescent="0.3">
      <c r="A996" s="95"/>
      <c r="B996" s="95"/>
      <c r="C996" s="97"/>
      <c r="D996" s="95"/>
      <c r="E996" s="95"/>
      <c r="F996" s="95"/>
      <c r="G996" s="95"/>
      <c r="H996" s="95"/>
      <c r="I996" s="95"/>
      <c r="J996" s="95"/>
      <c r="K996" s="95"/>
      <c r="L996" s="95"/>
      <c r="M996" s="95"/>
      <c r="N996" s="95"/>
      <c r="O996" s="95"/>
      <c r="P996" s="95"/>
      <c r="Q996" s="95"/>
      <c r="R996" s="95"/>
      <c r="S996" s="95"/>
      <c r="T996" s="95"/>
    </row>
    <row r="997" spans="1:20" ht="12.75" customHeight="1" x14ac:dyDescent="0.3">
      <c r="A997" s="95"/>
      <c r="B997" s="95"/>
      <c r="C997" s="97"/>
      <c r="D997" s="95"/>
      <c r="E997" s="95"/>
      <c r="F997" s="95"/>
      <c r="G997" s="95"/>
      <c r="H997" s="95"/>
      <c r="I997" s="95"/>
      <c r="J997" s="95"/>
      <c r="K997" s="95"/>
      <c r="L997" s="95"/>
      <c r="M997" s="95"/>
      <c r="N997" s="95"/>
      <c r="O997" s="95"/>
      <c r="P997" s="95"/>
      <c r="Q997" s="95"/>
      <c r="R997" s="95"/>
      <c r="S997" s="95"/>
      <c r="T997" s="95"/>
    </row>
    <row r="998" spans="1:20" ht="12.75" customHeight="1" x14ac:dyDescent="0.3">
      <c r="A998" s="95"/>
      <c r="B998" s="95"/>
      <c r="C998" s="97"/>
      <c r="D998" s="95"/>
      <c r="E998" s="95"/>
      <c r="F998" s="95"/>
      <c r="G998" s="95"/>
      <c r="H998" s="95"/>
      <c r="I998" s="95"/>
      <c r="J998" s="95"/>
      <c r="K998" s="95"/>
      <c r="L998" s="95"/>
      <c r="M998" s="95"/>
      <c r="N998" s="95"/>
      <c r="O998" s="95"/>
      <c r="P998" s="95"/>
      <c r="Q998" s="95"/>
      <c r="R998" s="95"/>
      <c r="S998" s="95"/>
      <c r="T998" s="95"/>
    </row>
    <row r="999" spans="1:20" ht="12.75" customHeight="1" x14ac:dyDescent="0.3">
      <c r="A999" s="95"/>
      <c r="B999" s="95"/>
      <c r="C999" s="97"/>
      <c r="D999" s="95"/>
      <c r="E999" s="95"/>
      <c r="F999" s="95"/>
      <c r="G999" s="95"/>
      <c r="H999" s="95"/>
      <c r="I999" s="95"/>
      <c r="J999" s="95"/>
      <c r="K999" s="95"/>
      <c r="L999" s="95"/>
      <c r="M999" s="95"/>
      <c r="N999" s="95"/>
      <c r="O999" s="95"/>
      <c r="P999" s="95"/>
      <c r="Q999" s="95"/>
      <c r="R999" s="95"/>
      <c r="S999" s="95"/>
      <c r="T999" s="95"/>
    </row>
    <row r="1000" spans="1:20" ht="12.75" customHeight="1" x14ac:dyDescent="0.3">
      <c r="A1000" s="95"/>
      <c r="B1000" s="95"/>
      <c r="C1000" s="97"/>
      <c r="D1000" s="95"/>
      <c r="E1000" s="95"/>
      <c r="F1000" s="95"/>
      <c r="G1000" s="95"/>
      <c r="H1000" s="95"/>
      <c r="I1000" s="95"/>
      <c r="J1000" s="95"/>
      <c r="K1000" s="95"/>
      <c r="L1000" s="95"/>
      <c r="M1000" s="95"/>
      <c r="N1000" s="95"/>
      <c r="O1000" s="95"/>
      <c r="P1000" s="95"/>
      <c r="Q1000" s="95"/>
      <c r="R1000" s="95"/>
      <c r="S1000" s="95"/>
      <c r="T1000" s="95"/>
    </row>
    <row r="1001" spans="1:20" ht="12.75" customHeight="1" x14ac:dyDescent="0.3">
      <c r="A1001" s="95"/>
      <c r="B1001" s="95"/>
      <c r="C1001" s="97"/>
      <c r="D1001" s="95"/>
      <c r="E1001" s="95"/>
      <c r="F1001" s="95"/>
      <c r="G1001" s="95"/>
      <c r="H1001" s="95"/>
      <c r="I1001" s="95"/>
      <c r="J1001" s="95"/>
      <c r="K1001" s="95"/>
      <c r="L1001" s="95"/>
      <c r="M1001" s="95"/>
      <c r="N1001" s="95"/>
      <c r="O1001" s="95"/>
      <c r="P1001" s="95"/>
      <c r="Q1001" s="95"/>
      <c r="R1001" s="95"/>
      <c r="S1001" s="95"/>
      <c r="T1001" s="95"/>
    </row>
    <row r="1002" spans="1:20" ht="12.75" customHeight="1" x14ac:dyDescent="0.3">
      <c r="A1002" s="95"/>
      <c r="B1002" s="95"/>
      <c r="C1002" s="97"/>
      <c r="D1002" s="95"/>
      <c r="E1002" s="95"/>
      <c r="F1002" s="95"/>
      <c r="G1002" s="95"/>
      <c r="H1002" s="95"/>
      <c r="I1002" s="95"/>
      <c r="J1002" s="95"/>
      <c r="K1002" s="95"/>
      <c r="L1002" s="95"/>
      <c r="M1002" s="95"/>
      <c r="N1002" s="95"/>
      <c r="O1002" s="95"/>
      <c r="P1002" s="95"/>
      <c r="Q1002" s="95"/>
      <c r="R1002" s="95"/>
      <c r="S1002" s="95"/>
      <c r="T1002" s="95"/>
    </row>
    <row r="1003" spans="1:20" ht="12.75" customHeight="1" x14ac:dyDescent="0.3">
      <c r="A1003" s="95"/>
      <c r="B1003" s="95"/>
      <c r="C1003" s="97"/>
      <c r="D1003" s="95"/>
      <c r="E1003" s="95"/>
      <c r="F1003" s="95"/>
      <c r="G1003" s="95"/>
      <c r="H1003" s="95"/>
      <c r="I1003" s="95"/>
      <c r="J1003" s="95"/>
      <c r="K1003" s="95"/>
      <c r="L1003" s="95"/>
      <c r="M1003" s="95"/>
      <c r="N1003" s="95"/>
      <c r="O1003" s="95"/>
      <c r="P1003" s="95"/>
      <c r="Q1003" s="95"/>
      <c r="R1003" s="95"/>
      <c r="S1003" s="95"/>
      <c r="T1003" s="95"/>
    </row>
    <row r="1004" spans="1:20" ht="12.75" customHeight="1" x14ac:dyDescent="0.3">
      <c r="A1004" s="95"/>
      <c r="B1004" s="95"/>
      <c r="C1004" s="97"/>
      <c r="D1004" s="95"/>
      <c r="E1004" s="95"/>
      <c r="F1004" s="95"/>
      <c r="G1004" s="95"/>
      <c r="H1004" s="95"/>
      <c r="I1004" s="95"/>
      <c r="J1004" s="95"/>
      <c r="K1004" s="95"/>
      <c r="L1004" s="95"/>
      <c r="M1004" s="95"/>
      <c r="N1004" s="95"/>
      <c r="O1004" s="95"/>
      <c r="P1004" s="95"/>
      <c r="Q1004" s="95"/>
      <c r="R1004" s="95"/>
      <c r="S1004" s="95"/>
      <c r="T1004" s="95"/>
    </row>
    <row r="1005" spans="1:20" ht="12.75" customHeight="1" x14ac:dyDescent="0.3">
      <c r="A1005" s="95"/>
      <c r="B1005" s="95"/>
      <c r="C1005" s="97"/>
      <c r="D1005" s="95"/>
      <c r="E1005" s="95"/>
      <c r="F1005" s="95"/>
      <c r="G1005" s="95"/>
      <c r="H1005" s="95"/>
      <c r="I1005" s="95"/>
      <c r="J1005" s="95"/>
      <c r="K1005" s="95"/>
      <c r="L1005" s="95"/>
      <c r="M1005" s="95"/>
      <c r="N1005" s="95"/>
      <c r="O1005" s="95"/>
      <c r="P1005" s="95"/>
      <c r="Q1005" s="95"/>
      <c r="R1005" s="95"/>
      <c r="S1005" s="95"/>
      <c r="T1005" s="95"/>
    </row>
    <row r="1006" spans="1:20" ht="12.75" customHeight="1" x14ac:dyDescent="0.3">
      <c r="A1006" s="95"/>
      <c r="B1006" s="95"/>
      <c r="C1006" s="97"/>
      <c r="D1006" s="95"/>
      <c r="E1006" s="95"/>
      <c r="F1006" s="95"/>
      <c r="G1006" s="95"/>
      <c r="H1006" s="95"/>
      <c r="I1006" s="95"/>
      <c r="J1006" s="95"/>
      <c r="K1006" s="95"/>
      <c r="L1006" s="95"/>
      <c r="M1006" s="95"/>
      <c r="N1006" s="95"/>
      <c r="O1006" s="95"/>
      <c r="P1006" s="95"/>
      <c r="Q1006" s="95"/>
      <c r="R1006" s="95"/>
      <c r="S1006" s="95"/>
      <c r="T1006" s="95"/>
    </row>
    <row r="1007" spans="1:20" ht="12.75" customHeight="1" x14ac:dyDescent="0.3">
      <c r="A1007" s="95"/>
      <c r="B1007" s="95"/>
      <c r="C1007" s="97"/>
      <c r="D1007" s="95"/>
      <c r="E1007" s="95"/>
      <c r="F1007" s="95"/>
      <c r="G1007" s="95"/>
      <c r="H1007" s="95"/>
      <c r="I1007" s="95"/>
      <c r="J1007" s="95"/>
      <c r="K1007" s="95"/>
      <c r="L1007" s="95"/>
      <c r="M1007" s="95"/>
      <c r="N1007" s="95"/>
      <c r="O1007" s="95"/>
      <c r="P1007" s="95"/>
      <c r="Q1007" s="95"/>
      <c r="R1007" s="95"/>
      <c r="S1007" s="95"/>
      <c r="T1007" s="95"/>
    </row>
    <row r="1008" spans="1:20" ht="12.75" customHeight="1" x14ac:dyDescent="0.3">
      <c r="A1008" s="95"/>
      <c r="B1008" s="95"/>
      <c r="C1008" s="97"/>
      <c r="D1008" s="95"/>
      <c r="E1008" s="95"/>
      <c r="F1008" s="95"/>
      <c r="G1008" s="95"/>
      <c r="H1008" s="95"/>
      <c r="I1008" s="95"/>
      <c r="J1008" s="95"/>
      <c r="K1008" s="95"/>
      <c r="L1008" s="95"/>
      <c r="M1008" s="95"/>
      <c r="N1008" s="95"/>
      <c r="O1008" s="95"/>
      <c r="P1008" s="95"/>
      <c r="Q1008" s="95"/>
      <c r="R1008" s="95"/>
      <c r="S1008" s="95"/>
      <c r="T1008" s="95"/>
    </row>
    <row r="1009" spans="1:20" ht="12.75" customHeight="1" x14ac:dyDescent="0.3">
      <c r="A1009" s="95"/>
      <c r="B1009" s="95"/>
      <c r="C1009" s="97"/>
      <c r="D1009" s="95"/>
      <c r="E1009" s="95"/>
      <c r="F1009" s="95"/>
      <c r="G1009" s="95"/>
      <c r="H1009" s="95"/>
      <c r="I1009" s="95"/>
      <c r="J1009" s="95"/>
      <c r="K1009" s="95"/>
      <c r="L1009" s="95"/>
      <c r="M1009" s="95"/>
      <c r="N1009" s="95"/>
      <c r="O1009" s="95"/>
      <c r="P1009" s="95"/>
      <c r="Q1009" s="95"/>
      <c r="R1009" s="95"/>
      <c r="S1009" s="95"/>
      <c r="T1009" s="95"/>
    </row>
    <row r="1010" spans="1:20" ht="12.75" customHeight="1" x14ac:dyDescent="0.3">
      <c r="A1010" s="95"/>
      <c r="B1010" s="95"/>
      <c r="C1010" s="97"/>
      <c r="D1010" s="95"/>
      <c r="E1010" s="95"/>
      <c r="F1010" s="95"/>
      <c r="G1010" s="95"/>
      <c r="H1010" s="95"/>
      <c r="I1010" s="95"/>
      <c r="J1010" s="95"/>
      <c r="K1010" s="95"/>
      <c r="L1010" s="95"/>
      <c r="M1010" s="95"/>
      <c r="N1010" s="95"/>
      <c r="O1010" s="95"/>
      <c r="P1010" s="95"/>
      <c r="Q1010" s="95"/>
      <c r="R1010" s="95"/>
      <c r="S1010" s="95"/>
      <c r="T1010" s="95"/>
    </row>
    <row r="1011" spans="1:20" ht="12.75" customHeight="1" x14ac:dyDescent="0.3">
      <c r="A1011" s="95"/>
      <c r="B1011" s="95"/>
      <c r="C1011" s="97"/>
      <c r="D1011" s="95"/>
      <c r="E1011" s="95"/>
      <c r="F1011" s="95"/>
      <c r="G1011" s="95"/>
      <c r="H1011" s="95"/>
      <c r="I1011" s="95"/>
      <c r="J1011" s="95"/>
      <c r="K1011" s="95"/>
      <c r="L1011" s="95"/>
      <c r="M1011" s="95"/>
      <c r="N1011" s="95"/>
      <c r="O1011" s="95"/>
      <c r="P1011" s="95"/>
      <c r="Q1011" s="95"/>
      <c r="R1011" s="95"/>
      <c r="S1011" s="95"/>
      <c r="T1011" s="95"/>
    </row>
    <row r="1012" spans="1:20" ht="12.75" customHeight="1" x14ac:dyDescent="0.3">
      <c r="A1012" s="95"/>
      <c r="B1012" s="95"/>
      <c r="C1012" s="97"/>
      <c r="D1012" s="95"/>
      <c r="E1012" s="95"/>
      <c r="F1012" s="95"/>
      <c r="G1012" s="95"/>
      <c r="H1012" s="95"/>
      <c r="I1012" s="95"/>
      <c r="J1012" s="95"/>
      <c r="K1012" s="95"/>
      <c r="L1012" s="95"/>
      <c r="M1012" s="95"/>
      <c r="N1012" s="95"/>
      <c r="O1012" s="95"/>
      <c r="P1012" s="95"/>
      <c r="Q1012" s="95"/>
      <c r="R1012" s="95"/>
      <c r="S1012" s="95"/>
      <c r="T1012" s="95"/>
    </row>
    <row r="1013" spans="1:20" ht="12.75" customHeight="1" x14ac:dyDescent="0.3">
      <c r="A1013" s="95"/>
      <c r="B1013" s="95"/>
      <c r="C1013" s="97"/>
      <c r="D1013" s="95"/>
      <c r="E1013" s="95"/>
      <c r="F1013" s="95"/>
      <c r="G1013" s="95"/>
      <c r="H1013" s="95"/>
      <c r="I1013" s="95"/>
      <c r="J1013" s="95"/>
      <c r="K1013" s="95"/>
      <c r="L1013" s="95"/>
      <c r="M1013" s="95"/>
      <c r="N1013" s="95"/>
      <c r="O1013" s="95"/>
      <c r="P1013" s="95"/>
      <c r="Q1013" s="95"/>
      <c r="R1013" s="95"/>
      <c r="S1013" s="95"/>
      <c r="T1013" s="95"/>
    </row>
    <row r="1014" spans="1:20" ht="12.75" customHeight="1" x14ac:dyDescent="0.3">
      <c r="A1014" s="95"/>
      <c r="B1014" s="95"/>
      <c r="C1014" s="97"/>
      <c r="D1014" s="95"/>
      <c r="E1014" s="95"/>
      <c r="F1014" s="95"/>
      <c r="G1014" s="95"/>
      <c r="H1014" s="95"/>
      <c r="I1014" s="95"/>
      <c r="J1014" s="95"/>
      <c r="K1014" s="95"/>
      <c r="L1014" s="95"/>
      <c r="M1014" s="95"/>
      <c r="N1014" s="95"/>
      <c r="O1014" s="95"/>
      <c r="P1014" s="95"/>
      <c r="Q1014" s="95"/>
      <c r="R1014" s="95"/>
      <c r="S1014" s="95"/>
      <c r="T1014" s="95"/>
    </row>
    <row r="1015" spans="1:20" ht="12.75" customHeight="1" x14ac:dyDescent="0.3">
      <c r="A1015" s="95"/>
      <c r="B1015" s="95"/>
      <c r="C1015" s="97"/>
      <c r="D1015" s="95"/>
      <c r="E1015" s="95"/>
      <c r="F1015" s="95"/>
      <c r="G1015" s="95"/>
      <c r="H1015" s="95"/>
      <c r="I1015" s="95"/>
      <c r="J1015" s="95"/>
      <c r="K1015" s="95"/>
      <c r="L1015" s="95"/>
      <c r="M1015" s="95"/>
      <c r="N1015" s="95"/>
      <c r="O1015" s="95"/>
      <c r="P1015" s="95"/>
      <c r="Q1015" s="95"/>
      <c r="R1015" s="95"/>
      <c r="S1015" s="95"/>
      <c r="T1015" s="95"/>
    </row>
    <row r="1016" spans="1:20" ht="12.75" customHeight="1" x14ac:dyDescent="0.3">
      <c r="A1016" s="95"/>
      <c r="B1016" s="95"/>
      <c r="C1016" s="97"/>
      <c r="D1016" s="95"/>
      <c r="E1016" s="95"/>
      <c r="F1016" s="95"/>
      <c r="G1016" s="95"/>
      <c r="H1016" s="95"/>
      <c r="I1016" s="95"/>
      <c r="J1016" s="95"/>
      <c r="K1016" s="95"/>
      <c r="L1016" s="95"/>
      <c r="M1016" s="95"/>
      <c r="N1016" s="95"/>
      <c r="O1016" s="95"/>
      <c r="P1016" s="95"/>
      <c r="Q1016" s="95"/>
      <c r="R1016" s="95"/>
      <c r="S1016" s="95"/>
      <c r="T1016" s="95"/>
    </row>
    <row r="1017" spans="1:20" ht="12.75" customHeight="1" x14ac:dyDescent="0.3">
      <c r="A1017" s="95"/>
      <c r="B1017" s="95"/>
      <c r="C1017" s="97"/>
      <c r="D1017" s="95"/>
      <c r="E1017" s="95"/>
      <c r="F1017" s="95"/>
      <c r="G1017" s="95"/>
      <c r="H1017" s="95"/>
      <c r="I1017" s="95"/>
      <c r="J1017" s="95"/>
      <c r="K1017" s="95"/>
      <c r="L1017" s="95"/>
      <c r="M1017" s="95"/>
      <c r="N1017" s="95"/>
      <c r="O1017" s="95"/>
      <c r="P1017" s="95"/>
      <c r="Q1017" s="95"/>
      <c r="R1017" s="95"/>
      <c r="S1017" s="95"/>
      <c r="T1017" s="95"/>
    </row>
    <row r="1018" spans="1:20" ht="12.75" customHeight="1" x14ac:dyDescent="0.3">
      <c r="A1018" s="95"/>
      <c r="B1018" s="95"/>
      <c r="C1018" s="97"/>
      <c r="D1018" s="95"/>
      <c r="E1018" s="95"/>
      <c r="F1018" s="95"/>
      <c r="G1018" s="95"/>
      <c r="H1018" s="95"/>
      <c r="I1018" s="95"/>
      <c r="J1018" s="95"/>
      <c r="K1018" s="95"/>
      <c r="L1018" s="95"/>
      <c r="M1018" s="95"/>
      <c r="N1018" s="95"/>
      <c r="O1018" s="95"/>
      <c r="P1018" s="95"/>
      <c r="Q1018" s="95"/>
      <c r="R1018" s="95"/>
      <c r="S1018" s="95"/>
      <c r="T1018" s="95"/>
    </row>
    <row r="1019" spans="1:20" ht="12.75" customHeight="1" x14ac:dyDescent="0.3">
      <c r="A1019" s="95"/>
      <c r="B1019" s="95"/>
      <c r="C1019" s="97"/>
      <c r="D1019" s="95"/>
      <c r="E1019" s="95"/>
      <c r="F1019" s="95"/>
      <c r="G1019" s="95"/>
      <c r="H1019" s="95"/>
      <c r="I1019" s="95"/>
      <c r="J1019" s="95"/>
      <c r="K1019" s="95"/>
      <c r="L1019" s="95"/>
      <c r="M1019" s="95"/>
      <c r="N1019" s="95"/>
      <c r="O1019" s="95"/>
      <c r="P1019" s="95"/>
      <c r="Q1019" s="95"/>
      <c r="R1019" s="95"/>
      <c r="S1019" s="95"/>
      <c r="T1019" s="95"/>
    </row>
    <row r="1020" spans="1:20" ht="12.75" customHeight="1" x14ac:dyDescent="0.3">
      <c r="A1020" s="95"/>
      <c r="B1020" s="95"/>
      <c r="C1020" s="97"/>
      <c r="D1020" s="95"/>
      <c r="E1020" s="95"/>
      <c r="F1020" s="95"/>
      <c r="G1020" s="95"/>
      <c r="H1020" s="95"/>
      <c r="I1020" s="95"/>
      <c r="J1020" s="95"/>
      <c r="K1020" s="95"/>
      <c r="L1020" s="95"/>
      <c r="M1020" s="95"/>
      <c r="N1020" s="95"/>
      <c r="O1020" s="95"/>
      <c r="P1020" s="95"/>
      <c r="Q1020" s="95"/>
      <c r="R1020" s="95"/>
      <c r="S1020" s="95"/>
      <c r="T1020" s="95"/>
    </row>
    <row r="1021" spans="1:20" ht="12.75" customHeight="1" x14ac:dyDescent="0.3">
      <c r="A1021" s="95"/>
      <c r="B1021" s="95"/>
      <c r="C1021" s="97"/>
      <c r="D1021" s="95"/>
      <c r="E1021" s="95"/>
      <c r="F1021" s="95"/>
      <c r="G1021" s="95"/>
      <c r="H1021" s="95"/>
      <c r="I1021" s="95"/>
      <c r="J1021" s="95"/>
      <c r="K1021" s="95"/>
      <c r="L1021" s="95"/>
      <c r="M1021" s="95"/>
      <c r="N1021" s="95"/>
      <c r="O1021" s="95"/>
      <c r="P1021" s="95"/>
      <c r="Q1021" s="95"/>
      <c r="R1021" s="95"/>
      <c r="S1021" s="95"/>
      <c r="T1021" s="95"/>
    </row>
    <row r="1022" spans="1:20" ht="12.75" customHeight="1" x14ac:dyDescent="0.3">
      <c r="A1022" s="95"/>
      <c r="B1022" s="95"/>
      <c r="C1022" s="97"/>
      <c r="D1022" s="95"/>
      <c r="E1022" s="95"/>
      <c r="F1022" s="95"/>
      <c r="G1022" s="95"/>
      <c r="H1022" s="95"/>
      <c r="I1022" s="95"/>
      <c r="J1022" s="95"/>
      <c r="K1022" s="95"/>
      <c r="L1022" s="95"/>
      <c r="M1022" s="95"/>
      <c r="N1022" s="95"/>
      <c r="O1022" s="95"/>
      <c r="P1022" s="95"/>
      <c r="Q1022" s="95"/>
      <c r="R1022" s="95"/>
      <c r="S1022" s="95"/>
      <c r="T1022" s="95"/>
    </row>
    <row r="1023" spans="1:20" ht="12.75" customHeight="1" x14ac:dyDescent="0.3">
      <c r="A1023" s="95"/>
      <c r="B1023" s="95"/>
      <c r="C1023" s="97"/>
      <c r="D1023" s="95"/>
      <c r="E1023" s="95"/>
      <c r="F1023" s="95"/>
      <c r="G1023" s="95"/>
      <c r="H1023" s="95"/>
      <c r="I1023" s="95"/>
      <c r="J1023" s="95"/>
      <c r="K1023" s="95"/>
      <c r="L1023" s="95"/>
      <c r="M1023" s="95"/>
      <c r="N1023" s="95"/>
      <c r="O1023" s="95"/>
      <c r="P1023" s="95"/>
      <c r="Q1023" s="95"/>
      <c r="R1023" s="95"/>
      <c r="S1023" s="95"/>
      <c r="T1023" s="95"/>
    </row>
    <row r="1024" spans="1:20" ht="12.75" customHeight="1" x14ac:dyDescent="0.3">
      <c r="A1024" s="95"/>
      <c r="B1024" s="95"/>
      <c r="C1024" s="97"/>
      <c r="D1024" s="95"/>
      <c r="E1024" s="95"/>
      <c r="F1024" s="95"/>
      <c r="G1024" s="95"/>
      <c r="H1024" s="95"/>
      <c r="I1024" s="95"/>
      <c r="J1024" s="95"/>
      <c r="K1024" s="95"/>
      <c r="L1024" s="95"/>
      <c r="M1024" s="95"/>
      <c r="N1024" s="95"/>
      <c r="O1024" s="95"/>
      <c r="P1024" s="95"/>
      <c r="Q1024" s="95"/>
      <c r="R1024" s="95"/>
      <c r="S1024" s="95"/>
      <c r="T1024" s="95"/>
    </row>
    <row r="1025" spans="1:20" ht="12.75" customHeight="1" x14ac:dyDescent="0.3">
      <c r="A1025" s="95"/>
      <c r="B1025" s="95"/>
      <c r="C1025" s="97"/>
      <c r="D1025" s="95"/>
      <c r="E1025" s="95"/>
      <c r="F1025" s="95"/>
      <c r="G1025" s="95"/>
      <c r="H1025" s="95"/>
      <c r="I1025" s="95"/>
      <c r="J1025" s="95"/>
      <c r="K1025" s="95"/>
      <c r="L1025" s="95"/>
      <c r="M1025" s="95"/>
      <c r="N1025" s="95"/>
      <c r="O1025" s="95"/>
      <c r="P1025" s="95"/>
      <c r="Q1025" s="95"/>
      <c r="R1025" s="95"/>
      <c r="S1025" s="95"/>
      <c r="T1025" s="95"/>
    </row>
    <row r="1026" spans="1:20" ht="12.75" customHeight="1" x14ac:dyDescent="0.3">
      <c r="A1026" s="95"/>
      <c r="B1026" s="95"/>
      <c r="C1026" s="97"/>
      <c r="D1026" s="95"/>
      <c r="E1026" s="95"/>
      <c r="F1026" s="95"/>
      <c r="G1026" s="95"/>
      <c r="H1026" s="95"/>
      <c r="I1026" s="95"/>
      <c r="J1026" s="95"/>
      <c r="K1026" s="95"/>
      <c r="L1026" s="95"/>
      <c r="M1026" s="95"/>
      <c r="N1026" s="95"/>
      <c r="O1026" s="95"/>
      <c r="P1026" s="95"/>
      <c r="Q1026" s="95"/>
      <c r="R1026" s="95"/>
      <c r="S1026" s="95"/>
      <c r="T1026" s="95"/>
    </row>
    <row r="1027" spans="1:20" ht="12.75" customHeight="1" x14ac:dyDescent="0.3">
      <c r="A1027" s="95"/>
      <c r="B1027" s="95"/>
      <c r="C1027" s="97"/>
      <c r="D1027" s="95"/>
      <c r="E1027" s="95"/>
      <c r="F1027" s="95"/>
      <c r="G1027" s="95"/>
      <c r="H1027" s="95"/>
      <c r="I1027" s="95"/>
      <c r="J1027" s="95"/>
      <c r="K1027" s="95"/>
      <c r="L1027" s="95"/>
      <c r="M1027" s="95"/>
      <c r="N1027" s="95"/>
      <c r="O1027" s="95"/>
      <c r="P1027" s="95"/>
      <c r="Q1027" s="95"/>
      <c r="R1027" s="95"/>
      <c r="S1027" s="95"/>
      <c r="T1027" s="95"/>
    </row>
    <row r="1028" spans="1:20" ht="12.75" customHeight="1" x14ac:dyDescent="0.3">
      <c r="A1028" s="95"/>
      <c r="B1028" s="95"/>
      <c r="C1028" s="97"/>
      <c r="D1028" s="95"/>
      <c r="E1028" s="95"/>
      <c r="F1028" s="95"/>
      <c r="G1028" s="95"/>
      <c r="H1028" s="95"/>
      <c r="I1028" s="95"/>
      <c r="J1028" s="95"/>
      <c r="K1028" s="95"/>
      <c r="L1028" s="95"/>
      <c r="M1028" s="95"/>
      <c r="N1028" s="95"/>
      <c r="O1028" s="95"/>
      <c r="P1028" s="95"/>
      <c r="Q1028" s="95"/>
      <c r="R1028" s="95"/>
      <c r="S1028" s="95"/>
      <c r="T1028" s="95"/>
    </row>
    <row r="1029" spans="1:20" ht="12.75" customHeight="1" x14ac:dyDescent="0.3">
      <c r="A1029" s="95"/>
      <c r="B1029" s="95"/>
      <c r="C1029" s="97"/>
      <c r="D1029" s="95"/>
      <c r="E1029" s="95"/>
      <c r="F1029" s="95"/>
      <c r="G1029" s="95"/>
      <c r="H1029" s="95"/>
      <c r="I1029" s="95"/>
      <c r="J1029" s="95"/>
      <c r="K1029" s="95"/>
      <c r="L1029" s="95"/>
      <c r="M1029" s="95"/>
      <c r="N1029" s="95"/>
      <c r="O1029" s="95"/>
      <c r="P1029" s="95"/>
      <c r="Q1029" s="95"/>
      <c r="R1029" s="95"/>
      <c r="S1029" s="95"/>
      <c r="T1029" s="95"/>
    </row>
    <row r="1030" spans="1:20" ht="12.75" customHeight="1" x14ac:dyDescent="0.3">
      <c r="A1030" s="95"/>
      <c r="B1030" s="95"/>
      <c r="C1030" s="97"/>
      <c r="D1030" s="95"/>
      <c r="E1030" s="95"/>
      <c r="F1030" s="95"/>
      <c r="G1030" s="95"/>
      <c r="H1030" s="95"/>
      <c r="I1030" s="95"/>
      <c r="J1030" s="95"/>
      <c r="K1030" s="95"/>
      <c r="L1030" s="95"/>
      <c r="M1030" s="95"/>
      <c r="N1030" s="95"/>
      <c r="O1030" s="95"/>
      <c r="P1030" s="95"/>
      <c r="Q1030" s="95"/>
      <c r="R1030" s="95"/>
      <c r="S1030" s="95"/>
      <c r="T1030" s="95"/>
    </row>
    <row r="1031" spans="1:20" ht="12.75" customHeight="1" x14ac:dyDescent="0.3">
      <c r="A1031" s="95"/>
      <c r="B1031" s="95"/>
      <c r="C1031" s="97"/>
      <c r="D1031" s="95"/>
      <c r="E1031" s="95"/>
      <c r="F1031" s="95"/>
      <c r="G1031" s="95"/>
      <c r="H1031" s="95"/>
      <c r="I1031" s="95"/>
      <c r="J1031" s="95"/>
      <c r="K1031" s="95"/>
      <c r="L1031" s="95"/>
      <c r="M1031" s="95"/>
      <c r="N1031" s="95"/>
      <c r="O1031" s="95"/>
      <c r="P1031" s="95"/>
      <c r="Q1031" s="95"/>
      <c r="R1031" s="95"/>
      <c r="S1031" s="95"/>
      <c r="T1031" s="95"/>
    </row>
    <row r="1032" spans="1:20" ht="12.75" customHeight="1" x14ac:dyDescent="0.3">
      <c r="A1032" s="95"/>
      <c r="B1032" s="95"/>
      <c r="C1032" s="97"/>
      <c r="D1032" s="95"/>
      <c r="E1032" s="95"/>
      <c r="F1032" s="95"/>
      <c r="G1032" s="95"/>
      <c r="H1032" s="95"/>
      <c r="I1032" s="95"/>
      <c r="J1032" s="95"/>
      <c r="K1032" s="95"/>
      <c r="L1032" s="95"/>
      <c r="M1032" s="95"/>
      <c r="N1032" s="95"/>
      <c r="O1032" s="95"/>
      <c r="P1032" s="95"/>
      <c r="Q1032" s="95"/>
      <c r="R1032" s="95"/>
      <c r="S1032" s="95"/>
      <c r="T1032" s="95"/>
    </row>
    <row r="1033" spans="1:20" ht="12.75" customHeight="1" x14ac:dyDescent="0.3">
      <c r="A1033" s="95"/>
      <c r="B1033" s="95"/>
      <c r="C1033" s="97"/>
      <c r="D1033" s="95"/>
      <c r="E1033" s="95"/>
      <c r="F1033" s="95"/>
      <c r="G1033" s="95"/>
      <c r="H1033" s="95"/>
      <c r="I1033" s="95"/>
      <c r="J1033" s="95"/>
      <c r="K1033" s="95"/>
      <c r="L1033" s="95"/>
      <c r="M1033" s="95"/>
      <c r="N1033" s="95"/>
      <c r="O1033" s="95"/>
      <c r="P1033" s="95"/>
      <c r="Q1033" s="95"/>
      <c r="R1033" s="95"/>
      <c r="S1033" s="95"/>
      <c r="T1033" s="95"/>
    </row>
    <row r="1034" spans="1:20" ht="12.75" customHeight="1" x14ac:dyDescent="0.3">
      <c r="A1034" s="95"/>
      <c r="B1034" s="95"/>
      <c r="C1034" s="97"/>
      <c r="D1034" s="95"/>
      <c r="E1034" s="95"/>
      <c r="F1034" s="95"/>
      <c r="G1034" s="95"/>
      <c r="H1034" s="95"/>
      <c r="I1034" s="95"/>
      <c r="J1034" s="95"/>
      <c r="K1034" s="95"/>
      <c r="L1034" s="95"/>
      <c r="M1034" s="95"/>
      <c r="N1034" s="95"/>
      <c r="O1034" s="95"/>
      <c r="P1034" s="95"/>
      <c r="Q1034" s="95"/>
      <c r="R1034" s="95"/>
      <c r="S1034" s="95"/>
      <c r="T1034" s="95"/>
    </row>
    <row r="1035" spans="1:20" ht="12.75" customHeight="1" x14ac:dyDescent="0.3">
      <c r="A1035" s="95"/>
      <c r="B1035" s="95"/>
      <c r="C1035" s="97"/>
      <c r="D1035" s="95"/>
      <c r="E1035" s="95"/>
      <c r="F1035" s="95"/>
      <c r="G1035" s="95"/>
      <c r="H1035" s="95"/>
      <c r="I1035" s="95"/>
      <c r="J1035" s="95"/>
      <c r="K1035" s="95"/>
      <c r="L1035" s="95"/>
      <c r="M1035" s="95"/>
      <c r="N1035" s="95"/>
      <c r="O1035" s="95"/>
      <c r="P1035" s="95"/>
      <c r="Q1035" s="95"/>
      <c r="R1035" s="95"/>
      <c r="S1035" s="95"/>
      <c r="T1035" s="95"/>
    </row>
    <row r="1036" spans="1:20" ht="12.75" customHeight="1" x14ac:dyDescent="0.3">
      <c r="A1036" s="95"/>
      <c r="B1036" s="95"/>
      <c r="C1036" s="97"/>
      <c r="D1036" s="95"/>
      <c r="E1036" s="95"/>
      <c r="F1036" s="95"/>
      <c r="G1036" s="95"/>
      <c r="H1036" s="95"/>
      <c r="I1036" s="95"/>
      <c r="J1036" s="95"/>
      <c r="K1036" s="95"/>
      <c r="L1036" s="95"/>
      <c r="M1036" s="95"/>
      <c r="N1036" s="95"/>
      <c r="O1036" s="95"/>
      <c r="P1036" s="95"/>
      <c r="Q1036" s="95"/>
      <c r="R1036" s="95"/>
      <c r="S1036" s="95"/>
      <c r="T1036" s="95"/>
    </row>
    <row r="1037" spans="1:20" ht="12.75" customHeight="1" x14ac:dyDescent="0.3">
      <c r="A1037" s="95"/>
      <c r="B1037" s="95"/>
      <c r="C1037" s="97"/>
      <c r="D1037" s="95"/>
      <c r="E1037" s="95"/>
      <c r="F1037" s="95"/>
      <c r="G1037" s="95"/>
      <c r="H1037" s="95"/>
      <c r="I1037" s="95"/>
      <c r="J1037" s="95"/>
      <c r="K1037" s="95"/>
      <c r="L1037" s="95"/>
      <c r="M1037" s="95"/>
      <c r="N1037" s="95"/>
      <c r="O1037" s="95"/>
      <c r="P1037" s="95"/>
      <c r="Q1037" s="95"/>
      <c r="R1037" s="95"/>
      <c r="S1037" s="95"/>
      <c r="T1037" s="95"/>
    </row>
    <row r="1038" spans="1:20" ht="12.75" customHeight="1" x14ac:dyDescent="0.3">
      <c r="A1038" s="95"/>
      <c r="B1038" s="95"/>
      <c r="C1038" s="97"/>
      <c r="D1038" s="95"/>
      <c r="E1038" s="95"/>
      <c r="F1038" s="95"/>
      <c r="G1038" s="95"/>
      <c r="H1038" s="95"/>
      <c r="I1038" s="95"/>
      <c r="J1038" s="95"/>
      <c r="K1038" s="95"/>
      <c r="L1038" s="95"/>
      <c r="M1038" s="95"/>
      <c r="N1038" s="95"/>
      <c r="O1038" s="95"/>
      <c r="P1038" s="95"/>
      <c r="Q1038" s="95"/>
      <c r="R1038" s="95"/>
      <c r="S1038" s="95"/>
      <c r="T1038" s="95"/>
    </row>
    <row r="1039" spans="1:20" ht="12.75" customHeight="1" x14ac:dyDescent="0.3">
      <c r="A1039" s="95"/>
      <c r="B1039" s="95"/>
      <c r="C1039" s="97"/>
      <c r="D1039" s="95"/>
      <c r="E1039" s="95"/>
      <c r="F1039" s="95"/>
      <c r="G1039" s="95"/>
      <c r="H1039" s="95"/>
      <c r="I1039" s="95"/>
      <c r="J1039" s="95"/>
      <c r="K1039" s="95"/>
      <c r="L1039" s="95"/>
      <c r="M1039" s="95"/>
      <c r="N1039" s="95"/>
      <c r="O1039" s="95"/>
      <c r="P1039" s="95"/>
      <c r="Q1039" s="95"/>
      <c r="R1039" s="95"/>
      <c r="S1039" s="95"/>
      <c r="T1039" s="95"/>
    </row>
    <row r="1040" spans="1:20" ht="12.75" customHeight="1" x14ac:dyDescent="0.3">
      <c r="A1040" s="95"/>
      <c r="B1040" s="95"/>
      <c r="C1040" s="97"/>
      <c r="D1040" s="95"/>
      <c r="E1040" s="95"/>
      <c r="F1040" s="95"/>
      <c r="G1040" s="95"/>
      <c r="H1040" s="95"/>
      <c r="I1040" s="95"/>
      <c r="J1040" s="95"/>
      <c r="K1040" s="95"/>
      <c r="L1040" s="95"/>
      <c r="M1040" s="95"/>
      <c r="N1040" s="95"/>
      <c r="O1040" s="95"/>
      <c r="P1040" s="95"/>
      <c r="Q1040" s="95"/>
      <c r="R1040" s="95"/>
      <c r="S1040" s="95"/>
      <c r="T1040" s="95"/>
    </row>
    <row r="1041" spans="1:20" ht="12.75" customHeight="1" x14ac:dyDescent="0.3">
      <c r="A1041" s="95"/>
      <c r="B1041" s="95"/>
      <c r="C1041" s="97"/>
      <c r="D1041" s="95"/>
      <c r="E1041" s="95"/>
      <c r="F1041" s="95"/>
      <c r="G1041" s="95"/>
      <c r="H1041" s="95"/>
      <c r="I1041" s="95"/>
      <c r="J1041" s="95"/>
      <c r="K1041" s="95"/>
      <c r="L1041" s="95"/>
      <c r="M1041" s="95"/>
      <c r="N1041" s="95"/>
      <c r="O1041" s="95"/>
      <c r="P1041" s="95"/>
      <c r="Q1041" s="95"/>
      <c r="R1041" s="95"/>
      <c r="S1041" s="95"/>
      <c r="T1041" s="95"/>
    </row>
    <row r="1042" spans="1:20" ht="12.75" customHeight="1" x14ac:dyDescent="0.3">
      <c r="A1042" s="95"/>
      <c r="B1042" s="95"/>
      <c r="C1042" s="97"/>
      <c r="D1042" s="95"/>
      <c r="E1042" s="95"/>
      <c r="F1042" s="95"/>
      <c r="G1042" s="95"/>
      <c r="H1042" s="95"/>
      <c r="I1042" s="95"/>
      <c r="J1042" s="95"/>
      <c r="K1042" s="95"/>
      <c r="L1042" s="95"/>
      <c r="M1042" s="95"/>
      <c r="N1042" s="95"/>
      <c r="O1042" s="95"/>
      <c r="P1042" s="95"/>
      <c r="Q1042" s="95"/>
      <c r="R1042" s="95"/>
      <c r="S1042" s="95"/>
      <c r="T1042" s="95"/>
    </row>
    <row r="1043" spans="1:20" ht="12.75" customHeight="1" x14ac:dyDescent="0.3">
      <c r="A1043" s="95"/>
      <c r="B1043" s="95"/>
      <c r="C1043" s="97"/>
      <c r="D1043" s="95"/>
      <c r="E1043" s="95"/>
      <c r="F1043" s="95"/>
      <c r="G1043" s="95"/>
      <c r="H1043" s="95"/>
      <c r="I1043" s="95"/>
      <c r="J1043" s="95"/>
      <c r="K1043" s="95"/>
      <c r="L1043" s="95"/>
      <c r="M1043" s="95"/>
      <c r="N1043" s="95"/>
      <c r="O1043" s="95"/>
      <c r="P1043" s="95"/>
      <c r="Q1043" s="95"/>
      <c r="R1043" s="95"/>
      <c r="S1043" s="95"/>
      <c r="T1043" s="95"/>
    </row>
    <row r="1044" spans="1:20" ht="12.75" customHeight="1" x14ac:dyDescent="0.3">
      <c r="A1044" s="95"/>
      <c r="B1044" s="95"/>
      <c r="C1044" s="97"/>
      <c r="D1044" s="95"/>
      <c r="E1044" s="95"/>
      <c r="F1044" s="95"/>
      <c r="G1044" s="95"/>
      <c r="H1044" s="95"/>
      <c r="I1044" s="95"/>
      <c r="J1044" s="95"/>
      <c r="K1044" s="95"/>
      <c r="L1044" s="95"/>
      <c r="M1044" s="95"/>
      <c r="N1044" s="95"/>
      <c r="O1044" s="95"/>
      <c r="P1044" s="95"/>
      <c r="Q1044" s="95"/>
      <c r="R1044" s="95"/>
      <c r="S1044" s="95"/>
      <c r="T1044" s="95"/>
    </row>
    <row r="1045" spans="1:20" ht="12.75" customHeight="1" x14ac:dyDescent="0.3">
      <c r="A1045" s="95"/>
      <c r="B1045" s="95"/>
      <c r="C1045" s="97"/>
      <c r="D1045" s="95"/>
      <c r="E1045" s="95"/>
      <c r="F1045" s="95"/>
      <c r="G1045" s="95"/>
      <c r="H1045" s="95"/>
      <c r="I1045" s="95"/>
      <c r="J1045" s="95"/>
      <c r="K1045" s="95"/>
      <c r="L1045" s="95"/>
      <c r="M1045" s="95"/>
      <c r="N1045" s="95"/>
      <c r="O1045" s="95"/>
      <c r="P1045" s="95"/>
      <c r="Q1045" s="95"/>
      <c r="R1045" s="95"/>
      <c r="S1045" s="95"/>
      <c r="T1045" s="95"/>
    </row>
    <row r="1046" spans="1:20" ht="12.75" customHeight="1" x14ac:dyDescent="0.3">
      <c r="A1046" s="95"/>
      <c r="B1046" s="95"/>
      <c r="C1046" s="97"/>
      <c r="D1046" s="95"/>
      <c r="E1046" s="95"/>
      <c r="F1046" s="95"/>
      <c r="G1046" s="95"/>
      <c r="H1046" s="95"/>
      <c r="I1046" s="95"/>
      <c r="J1046" s="95"/>
      <c r="K1046" s="95"/>
      <c r="L1046" s="95"/>
      <c r="M1046" s="95"/>
      <c r="N1046" s="95"/>
      <c r="O1046" s="95"/>
      <c r="P1046" s="95"/>
      <c r="Q1046" s="95"/>
      <c r="R1046" s="95"/>
      <c r="S1046" s="95"/>
      <c r="T1046" s="95"/>
    </row>
    <row r="1047" spans="1:20" ht="12.75" customHeight="1" x14ac:dyDescent="0.3">
      <c r="A1047" s="95"/>
      <c r="B1047" s="95"/>
      <c r="C1047" s="97"/>
      <c r="D1047" s="95"/>
      <c r="E1047" s="95"/>
      <c r="F1047" s="95"/>
      <c r="G1047" s="95"/>
      <c r="H1047" s="95"/>
      <c r="I1047" s="95"/>
      <c r="J1047" s="95"/>
      <c r="K1047" s="95"/>
      <c r="L1047" s="95"/>
      <c r="M1047" s="95"/>
      <c r="N1047" s="95"/>
      <c r="O1047" s="95"/>
      <c r="P1047" s="95"/>
      <c r="Q1047" s="95"/>
      <c r="R1047" s="95"/>
      <c r="S1047" s="95"/>
      <c r="T1047" s="95"/>
    </row>
    <row r="1048" spans="1:20" ht="12.75" customHeight="1" x14ac:dyDescent="0.3">
      <c r="A1048" s="95"/>
      <c r="B1048" s="95"/>
      <c r="C1048" s="97"/>
      <c r="D1048" s="95"/>
      <c r="E1048" s="95"/>
      <c r="F1048" s="95"/>
      <c r="G1048" s="95"/>
      <c r="H1048" s="95"/>
      <c r="I1048" s="95"/>
      <c r="J1048" s="95"/>
      <c r="K1048" s="95"/>
      <c r="L1048" s="95"/>
      <c r="M1048" s="95"/>
      <c r="N1048" s="95"/>
      <c r="O1048" s="95"/>
      <c r="P1048" s="95"/>
      <c r="Q1048" s="95"/>
      <c r="R1048" s="95"/>
      <c r="S1048" s="95"/>
      <c r="T1048" s="95"/>
    </row>
    <row r="1049" spans="1:20" ht="12.75" customHeight="1" x14ac:dyDescent="0.3">
      <c r="A1049" s="95"/>
      <c r="B1049" s="95"/>
      <c r="C1049" s="97"/>
      <c r="D1049" s="95"/>
      <c r="E1049" s="95"/>
      <c r="F1049" s="95"/>
      <c r="G1049" s="95"/>
      <c r="H1049" s="95"/>
      <c r="I1049" s="95"/>
      <c r="J1049" s="95"/>
      <c r="K1049" s="95"/>
      <c r="L1049" s="95"/>
      <c r="M1049" s="95"/>
      <c r="N1049" s="95"/>
      <c r="O1049" s="95"/>
      <c r="P1049" s="95"/>
      <c r="Q1049" s="95"/>
      <c r="R1049" s="95"/>
      <c r="S1049" s="95"/>
      <c r="T1049" s="95"/>
    </row>
    <row r="1050" spans="1:20" ht="12.75" customHeight="1" x14ac:dyDescent="0.3">
      <c r="A1050" s="95"/>
      <c r="B1050" s="95"/>
      <c r="C1050" s="97"/>
      <c r="D1050" s="95"/>
      <c r="E1050" s="95"/>
      <c r="F1050" s="95"/>
      <c r="G1050" s="95"/>
      <c r="H1050" s="95"/>
      <c r="I1050" s="95"/>
      <c r="J1050" s="95"/>
      <c r="K1050" s="95"/>
      <c r="L1050" s="95"/>
      <c r="M1050" s="95"/>
      <c r="N1050" s="95"/>
      <c r="O1050" s="95"/>
      <c r="P1050" s="95"/>
      <c r="Q1050" s="95"/>
      <c r="R1050" s="95"/>
      <c r="S1050" s="95"/>
      <c r="T1050" s="95"/>
    </row>
    <row r="1051" spans="1:20" ht="12.75" customHeight="1" x14ac:dyDescent="0.3">
      <c r="A1051" s="95"/>
      <c r="B1051" s="95"/>
      <c r="C1051" s="97"/>
      <c r="D1051" s="95"/>
      <c r="E1051" s="95"/>
      <c r="F1051" s="95"/>
      <c r="G1051" s="95"/>
      <c r="H1051" s="95"/>
      <c r="I1051" s="95"/>
      <c r="J1051" s="95"/>
      <c r="K1051" s="95"/>
      <c r="L1051" s="95"/>
      <c r="M1051" s="95"/>
      <c r="N1051" s="95"/>
      <c r="O1051" s="95"/>
      <c r="P1051" s="95"/>
      <c r="Q1051" s="95"/>
      <c r="R1051" s="95"/>
      <c r="S1051" s="95"/>
      <c r="T1051" s="95"/>
    </row>
    <row r="1052" spans="1:20" ht="12.75" customHeight="1" x14ac:dyDescent="0.3">
      <c r="A1052" s="95"/>
      <c r="B1052" s="95"/>
      <c r="C1052" s="97"/>
      <c r="D1052" s="95"/>
      <c r="E1052" s="95"/>
      <c r="F1052" s="95"/>
      <c r="G1052" s="95"/>
      <c r="H1052" s="95"/>
      <c r="I1052" s="95"/>
      <c r="J1052" s="95"/>
      <c r="K1052" s="95"/>
      <c r="L1052" s="95"/>
      <c r="M1052" s="95"/>
      <c r="N1052" s="95"/>
      <c r="O1052" s="95"/>
      <c r="P1052" s="95"/>
      <c r="Q1052" s="95"/>
      <c r="R1052" s="95"/>
      <c r="S1052" s="95"/>
      <c r="T1052" s="95"/>
    </row>
    <row r="1053" spans="1:20" ht="12.75" customHeight="1" x14ac:dyDescent="0.3">
      <c r="A1053" s="95"/>
      <c r="B1053" s="95"/>
      <c r="C1053" s="97"/>
      <c r="D1053" s="95"/>
      <c r="E1053" s="95"/>
      <c r="F1053" s="95"/>
      <c r="G1053" s="95"/>
      <c r="H1053" s="95"/>
      <c r="I1053" s="95"/>
      <c r="J1053" s="95"/>
      <c r="K1053" s="95"/>
      <c r="L1053" s="95"/>
      <c r="M1053" s="95"/>
      <c r="N1053" s="95"/>
      <c r="O1053" s="95"/>
      <c r="P1053" s="95"/>
      <c r="Q1053" s="95"/>
      <c r="R1053" s="95"/>
      <c r="S1053" s="95"/>
      <c r="T1053" s="95"/>
    </row>
    <row r="1054" spans="1:20" ht="12.75" customHeight="1" x14ac:dyDescent="0.3">
      <c r="A1054" s="95"/>
      <c r="B1054" s="95"/>
      <c r="C1054" s="97"/>
      <c r="D1054" s="95"/>
      <c r="E1054" s="95"/>
      <c r="F1054" s="95"/>
      <c r="G1054" s="95"/>
      <c r="H1054" s="95"/>
      <c r="I1054" s="95"/>
      <c r="J1054" s="95"/>
      <c r="K1054" s="95"/>
      <c r="L1054" s="95"/>
      <c r="M1054" s="95"/>
      <c r="N1054" s="95"/>
      <c r="O1054" s="95"/>
      <c r="P1054" s="95"/>
      <c r="Q1054" s="95"/>
      <c r="R1054" s="95"/>
      <c r="S1054" s="95"/>
      <c r="T1054" s="95"/>
    </row>
    <row r="1055" spans="1:20" ht="12.75" customHeight="1" x14ac:dyDescent="0.3">
      <c r="A1055" s="95"/>
      <c r="B1055" s="95"/>
      <c r="C1055" s="97"/>
      <c r="D1055" s="95"/>
      <c r="E1055" s="95"/>
      <c r="F1055" s="95"/>
      <c r="G1055" s="95"/>
      <c r="H1055" s="95"/>
      <c r="I1055" s="95"/>
      <c r="J1055" s="95"/>
      <c r="K1055" s="95"/>
      <c r="L1055" s="95"/>
      <c r="M1055" s="95"/>
      <c r="N1055" s="95"/>
      <c r="O1055" s="95"/>
      <c r="P1055" s="95"/>
      <c r="Q1055" s="95"/>
      <c r="R1055" s="95"/>
      <c r="S1055" s="95"/>
      <c r="T1055" s="95"/>
    </row>
    <row r="1056" spans="1:20" ht="12.75" customHeight="1" x14ac:dyDescent="0.3">
      <c r="A1056" s="95"/>
      <c r="B1056" s="95"/>
      <c r="C1056" s="97"/>
      <c r="D1056" s="95"/>
      <c r="E1056" s="95"/>
      <c r="F1056" s="95"/>
      <c r="G1056" s="95"/>
      <c r="H1056" s="95"/>
      <c r="I1056" s="95"/>
      <c r="J1056" s="95"/>
      <c r="K1056" s="95"/>
      <c r="L1056" s="95"/>
      <c r="M1056" s="95"/>
      <c r="N1056" s="95"/>
      <c r="O1056" s="95"/>
      <c r="P1056" s="95"/>
      <c r="Q1056" s="95"/>
      <c r="R1056" s="95"/>
      <c r="S1056" s="95"/>
      <c r="T1056" s="95"/>
    </row>
    <row r="1057" spans="1:20" ht="12.75" customHeight="1" x14ac:dyDescent="0.3">
      <c r="A1057" s="95"/>
      <c r="B1057" s="95"/>
      <c r="C1057" s="97"/>
      <c r="D1057" s="95"/>
      <c r="E1057" s="95"/>
      <c r="F1057" s="95"/>
      <c r="G1057" s="95"/>
      <c r="H1057" s="95"/>
      <c r="I1057" s="95"/>
      <c r="J1057" s="95"/>
      <c r="K1057" s="95"/>
      <c r="L1057" s="95"/>
      <c r="M1057" s="95"/>
      <c r="N1057" s="95"/>
      <c r="O1057" s="95"/>
      <c r="P1057" s="95"/>
      <c r="Q1057" s="95"/>
      <c r="R1057" s="95"/>
      <c r="S1057" s="95"/>
      <c r="T1057" s="95"/>
    </row>
    <row r="1058" spans="1:20" ht="12.75" customHeight="1" x14ac:dyDescent="0.3">
      <c r="A1058" s="95"/>
      <c r="B1058" s="95"/>
      <c r="C1058" s="97"/>
      <c r="D1058" s="95"/>
      <c r="E1058" s="95"/>
      <c r="F1058" s="95"/>
      <c r="G1058" s="95"/>
      <c r="H1058" s="95"/>
      <c r="I1058" s="95"/>
      <c r="J1058" s="95"/>
      <c r="K1058" s="95"/>
      <c r="L1058" s="95"/>
      <c r="M1058" s="95"/>
      <c r="N1058" s="95"/>
      <c r="O1058" s="95"/>
      <c r="P1058" s="95"/>
      <c r="Q1058" s="95"/>
      <c r="R1058" s="95"/>
      <c r="S1058" s="95"/>
      <c r="T1058" s="95"/>
    </row>
    <row r="1059" spans="1:20" ht="12.75" customHeight="1" x14ac:dyDescent="0.3">
      <c r="A1059" s="95"/>
      <c r="B1059" s="95"/>
      <c r="C1059" s="97"/>
      <c r="D1059" s="95"/>
      <c r="E1059" s="95"/>
      <c r="F1059" s="95"/>
      <c r="G1059" s="95"/>
      <c r="H1059" s="95"/>
      <c r="I1059" s="95"/>
      <c r="J1059" s="95"/>
      <c r="K1059" s="95"/>
      <c r="L1059" s="95"/>
      <c r="M1059" s="95"/>
      <c r="N1059" s="95"/>
      <c r="O1059" s="95"/>
      <c r="P1059" s="95"/>
      <c r="Q1059" s="95"/>
      <c r="R1059" s="95"/>
      <c r="S1059" s="95"/>
      <c r="T1059" s="95"/>
    </row>
    <row r="1060" spans="1:20" ht="12.75" customHeight="1" x14ac:dyDescent="0.3">
      <c r="A1060" s="95"/>
      <c r="B1060" s="95"/>
      <c r="C1060" s="97"/>
      <c r="D1060" s="95"/>
      <c r="E1060" s="95"/>
      <c r="F1060" s="95"/>
      <c r="G1060" s="95"/>
      <c r="H1060" s="95"/>
      <c r="I1060" s="95"/>
      <c r="J1060" s="95"/>
      <c r="K1060" s="95"/>
      <c r="L1060" s="95"/>
      <c r="M1060" s="95"/>
      <c r="N1060" s="95"/>
      <c r="O1060" s="95"/>
      <c r="P1060" s="95"/>
      <c r="Q1060" s="95"/>
      <c r="R1060" s="95"/>
      <c r="S1060" s="95"/>
      <c r="T1060" s="95"/>
    </row>
    <row r="1061" spans="1:20" ht="12.75" customHeight="1" x14ac:dyDescent="0.3">
      <c r="A1061" s="95"/>
      <c r="B1061" s="95"/>
      <c r="C1061" s="97"/>
      <c r="D1061" s="95"/>
      <c r="E1061" s="95"/>
      <c r="F1061" s="95"/>
      <c r="G1061" s="95"/>
      <c r="H1061" s="95"/>
      <c r="I1061" s="95"/>
      <c r="J1061" s="95"/>
      <c r="K1061" s="95"/>
      <c r="L1061" s="95"/>
      <c r="M1061" s="95"/>
      <c r="N1061" s="95"/>
      <c r="O1061" s="95"/>
      <c r="P1061" s="95"/>
      <c r="Q1061" s="95"/>
      <c r="R1061" s="95"/>
      <c r="S1061" s="95"/>
      <c r="T1061" s="95"/>
    </row>
    <row r="1062" spans="1:20" ht="12.75" customHeight="1" x14ac:dyDescent="0.3">
      <c r="A1062" s="95"/>
      <c r="B1062" s="95"/>
      <c r="C1062" s="97"/>
      <c r="D1062" s="95"/>
      <c r="E1062" s="95"/>
      <c r="F1062" s="95"/>
      <c r="G1062" s="95"/>
      <c r="H1062" s="95"/>
      <c r="I1062" s="95"/>
      <c r="J1062" s="95"/>
      <c r="K1062" s="95"/>
      <c r="L1062" s="95"/>
      <c r="M1062" s="95"/>
      <c r="N1062" s="95"/>
      <c r="O1062" s="95"/>
      <c r="P1062" s="95"/>
      <c r="Q1062" s="95"/>
      <c r="R1062" s="95"/>
      <c r="S1062" s="95"/>
      <c r="T1062" s="95"/>
    </row>
    <row r="1063" spans="1:20" ht="12.75" customHeight="1" x14ac:dyDescent="0.3">
      <c r="A1063" s="95"/>
      <c r="B1063" s="95"/>
      <c r="C1063" s="97"/>
      <c r="D1063" s="95"/>
      <c r="E1063" s="95"/>
      <c r="F1063" s="95"/>
      <c r="G1063" s="95"/>
      <c r="H1063" s="95"/>
      <c r="I1063" s="95"/>
      <c r="J1063" s="95"/>
      <c r="K1063" s="95"/>
      <c r="L1063" s="95"/>
      <c r="M1063" s="95"/>
      <c r="N1063" s="95"/>
      <c r="O1063" s="95"/>
      <c r="P1063" s="95"/>
      <c r="Q1063" s="95"/>
      <c r="R1063" s="95"/>
      <c r="S1063" s="95"/>
      <c r="T1063" s="95"/>
    </row>
    <row r="1064" spans="1:20" ht="12.75" customHeight="1" x14ac:dyDescent="0.3">
      <c r="A1064" s="95"/>
      <c r="B1064" s="95"/>
      <c r="C1064" s="97"/>
      <c r="D1064" s="95"/>
      <c r="E1064" s="95"/>
      <c r="F1064" s="95"/>
      <c r="G1064" s="95"/>
      <c r="H1064" s="95"/>
      <c r="I1064" s="95"/>
      <c r="J1064" s="95"/>
      <c r="K1064" s="95"/>
      <c r="L1064" s="95"/>
      <c r="M1064" s="95"/>
      <c r="N1064" s="95"/>
      <c r="O1064" s="95"/>
      <c r="P1064" s="95"/>
      <c r="Q1064" s="95"/>
      <c r="R1064" s="95"/>
      <c r="S1064" s="95"/>
      <c r="T1064" s="95"/>
    </row>
    <row r="1065" spans="1:20" ht="12.75" customHeight="1" x14ac:dyDescent="0.3">
      <c r="A1065" s="95"/>
      <c r="B1065" s="95"/>
      <c r="C1065" s="97"/>
      <c r="D1065" s="95"/>
      <c r="E1065" s="95"/>
      <c r="F1065" s="95"/>
      <c r="G1065" s="95"/>
      <c r="H1065" s="95"/>
      <c r="I1065" s="95"/>
      <c r="J1065" s="95"/>
      <c r="K1065" s="95"/>
      <c r="L1065" s="95"/>
      <c r="M1065" s="95"/>
      <c r="N1065" s="95"/>
      <c r="O1065" s="95"/>
      <c r="P1065" s="95"/>
      <c r="Q1065" s="95"/>
      <c r="R1065" s="95"/>
      <c r="S1065" s="95"/>
      <c r="T1065" s="95"/>
    </row>
    <row r="1066" spans="1:20" ht="12.75" customHeight="1" x14ac:dyDescent="0.3">
      <c r="A1066" s="95"/>
      <c r="B1066" s="95"/>
      <c r="C1066" s="97"/>
      <c r="D1066" s="95"/>
      <c r="E1066" s="95"/>
      <c r="F1066" s="95"/>
      <c r="G1066" s="95"/>
      <c r="H1066" s="95"/>
      <c r="I1066" s="95"/>
      <c r="J1066" s="95"/>
      <c r="K1066" s="95"/>
      <c r="L1066" s="95"/>
      <c r="M1066" s="95"/>
      <c r="N1066" s="95"/>
      <c r="O1066" s="95"/>
      <c r="P1066" s="95"/>
      <c r="Q1066" s="95"/>
      <c r="R1066" s="95"/>
      <c r="S1066" s="95"/>
      <c r="T1066" s="95"/>
    </row>
    <row r="1067" spans="1:20" ht="12.75" customHeight="1" x14ac:dyDescent="0.3">
      <c r="A1067" s="95"/>
      <c r="B1067" s="95"/>
      <c r="C1067" s="97"/>
      <c r="D1067" s="95"/>
      <c r="E1067" s="95"/>
      <c r="F1067" s="95"/>
      <c r="G1067" s="95"/>
      <c r="H1067" s="95"/>
      <c r="I1067" s="95"/>
      <c r="J1067" s="95"/>
      <c r="K1067" s="95"/>
      <c r="L1067" s="95"/>
      <c r="M1067" s="95"/>
      <c r="N1067" s="95"/>
      <c r="O1067" s="95"/>
      <c r="P1067" s="95"/>
      <c r="Q1067" s="95"/>
      <c r="R1067" s="95"/>
      <c r="S1067" s="95"/>
      <c r="T1067" s="95"/>
    </row>
    <row r="1068" spans="1:20" ht="12.75" customHeight="1" x14ac:dyDescent="0.3">
      <c r="A1068" s="95"/>
      <c r="B1068" s="95"/>
      <c r="C1068" s="97"/>
      <c r="D1068" s="95"/>
      <c r="E1068" s="95"/>
      <c r="F1068" s="95"/>
      <c r="G1068" s="95"/>
      <c r="H1068" s="95"/>
      <c r="I1068" s="95"/>
      <c r="J1068" s="95"/>
      <c r="K1068" s="95"/>
      <c r="L1068" s="95"/>
      <c r="M1068" s="95"/>
      <c r="N1068" s="95"/>
      <c r="O1068" s="95"/>
      <c r="P1068" s="95"/>
      <c r="Q1068" s="95"/>
      <c r="R1068" s="95"/>
      <c r="S1068" s="95"/>
      <c r="T1068" s="95"/>
    </row>
    <row r="1069" spans="1:20" ht="12.75" customHeight="1" x14ac:dyDescent="0.3">
      <c r="A1069" s="95"/>
      <c r="B1069" s="95"/>
      <c r="C1069" s="97"/>
      <c r="D1069" s="95"/>
      <c r="E1069" s="95"/>
      <c r="F1069" s="95"/>
      <c r="G1069" s="95"/>
      <c r="H1069" s="95"/>
      <c r="I1069" s="95"/>
      <c r="J1069" s="95"/>
      <c r="K1069" s="95"/>
      <c r="L1069" s="95"/>
      <c r="M1069" s="95"/>
      <c r="N1069" s="95"/>
      <c r="O1069" s="95"/>
      <c r="P1069" s="95"/>
      <c r="Q1069" s="95"/>
      <c r="R1069" s="95"/>
      <c r="S1069" s="95"/>
      <c r="T1069" s="95"/>
    </row>
    <row r="1070" spans="1:20" ht="12.75" customHeight="1" x14ac:dyDescent="0.3">
      <c r="A1070" s="95"/>
      <c r="B1070" s="95"/>
      <c r="C1070" s="97"/>
      <c r="D1070" s="95"/>
      <c r="E1070" s="95"/>
      <c r="F1070" s="95"/>
      <c r="G1070" s="95"/>
      <c r="H1070" s="95"/>
      <c r="I1070" s="95"/>
      <c r="J1070" s="95"/>
      <c r="K1070" s="95"/>
      <c r="L1070" s="95"/>
      <c r="M1070" s="95"/>
      <c r="N1070" s="95"/>
      <c r="O1070" s="95"/>
      <c r="P1070" s="95"/>
      <c r="Q1070" s="95"/>
      <c r="R1070" s="95"/>
      <c r="S1070" s="95"/>
      <c r="T1070" s="95"/>
    </row>
    <row r="1071" spans="1:20" ht="12.75" customHeight="1" x14ac:dyDescent="0.3">
      <c r="A1071" s="95"/>
      <c r="B1071" s="95"/>
      <c r="C1071" s="97"/>
      <c r="D1071" s="95"/>
      <c r="E1071" s="95"/>
      <c r="F1071" s="95"/>
      <c r="G1071" s="95"/>
      <c r="H1071" s="95"/>
      <c r="I1071" s="95"/>
      <c r="J1071" s="95"/>
      <c r="K1071" s="95"/>
      <c r="L1071" s="95"/>
      <c r="M1071" s="95"/>
      <c r="N1071" s="95"/>
      <c r="O1071" s="95"/>
      <c r="P1071" s="95"/>
      <c r="Q1071" s="95"/>
      <c r="R1071" s="95"/>
      <c r="S1071" s="95"/>
      <c r="T1071" s="95"/>
    </row>
    <row r="1072" spans="1:20" ht="12.75" customHeight="1" x14ac:dyDescent="0.3">
      <c r="A1072" s="95"/>
      <c r="B1072" s="95"/>
      <c r="C1072" s="97"/>
      <c r="D1072" s="95"/>
      <c r="E1072" s="95"/>
      <c r="F1072" s="95"/>
      <c r="G1072" s="95"/>
      <c r="H1072" s="95"/>
      <c r="I1072" s="95"/>
      <c r="J1072" s="95"/>
      <c r="K1072" s="95"/>
      <c r="L1072" s="95"/>
      <c r="M1072" s="95"/>
      <c r="N1072" s="95"/>
      <c r="O1072" s="95"/>
      <c r="P1072" s="95"/>
      <c r="Q1072" s="95"/>
      <c r="R1072" s="95"/>
      <c r="S1072" s="95"/>
      <c r="T1072" s="95"/>
    </row>
    <row r="1073" spans="1:20" ht="12.75" customHeight="1" x14ac:dyDescent="0.3">
      <c r="A1073" s="95"/>
      <c r="B1073" s="95"/>
      <c r="C1073" s="97"/>
      <c r="D1073" s="95"/>
      <c r="E1073" s="95"/>
      <c r="F1073" s="95"/>
      <c r="G1073" s="95"/>
      <c r="H1073" s="95"/>
      <c r="I1073" s="95"/>
      <c r="J1073" s="95"/>
      <c r="K1073" s="95"/>
      <c r="L1073" s="95"/>
      <c r="M1073" s="95"/>
      <c r="N1073" s="95"/>
      <c r="O1073" s="95"/>
      <c r="P1073" s="95"/>
      <c r="Q1073" s="95"/>
      <c r="R1073" s="95"/>
      <c r="S1073" s="95"/>
      <c r="T1073" s="95"/>
    </row>
    <row r="1074" spans="1:20" ht="12.75" customHeight="1" x14ac:dyDescent="0.3">
      <c r="A1074" s="95"/>
      <c r="B1074" s="95"/>
      <c r="C1074" s="97"/>
      <c r="D1074" s="95"/>
      <c r="E1074" s="95"/>
      <c r="F1074" s="95"/>
      <c r="G1074" s="95"/>
      <c r="H1074" s="95"/>
      <c r="I1074" s="95"/>
      <c r="J1074" s="95"/>
      <c r="K1074" s="95"/>
      <c r="L1074" s="95"/>
      <c r="M1074" s="95"/>
      <c r="N1074" s="95"/>
      <c r="O1074" s="95"/>
      <c r="P1074" s="95"/>
      <c r="Q1074" s="95"/>
      <c r="R1074" s="95"/>
      <c r="S1074" s="95"/>
      <c r="T1074" s="95"/>
    </row>
    <row r="1075" spans="1:20" ht="12.75" customHeight="1" x14ac:dyDescent="0.3">
      <c r="A1075" s="95"/>
      <c r="B1075" s="95"/>
      <c r="C1075" s="97"/>
      <c r="D1075" s="95"/>
      <c r="E1075" s="95"/>
      <c r="F1075" s="95"/>
      <c r="G1075" s="95"/>
      <c r="H1075" s="95"/>
      <c r="I1075" s="95"/>
      <c r="J1075" s="95"/>
      <c r="K1075" s="95"/>
      <c r="L1075" s="95"/>
      <c r="M1075" s="95"/>
      <c r="N1075" s="95"/>
      <c r="O1075" s="95"/>
      <c r="P1075" s="95"/>
      <c r="Q1075" s="95"/>
      <c r="R1075" s="95"/>
      <c r="S1075" s="95"/>
      <c r="T1075" s="95"/>
    </row>
    <row r="1076" spans="1:20" ht="12.75" customHeight="1" x14ac:dyDescent="0.3">
      <c r="A1076" s="95"/>
      <c r="B1076" s="95"/>
      <c r="C1076" s="97"/>
      <c r="D1076" s="95"/>
      <c r="E1076" s="95"/>
      <c r="F1076" s="95"/>
      <c r="G1076" s="95"/>
      <c r="H1076" s="95"/>
      <c r="I1076" s="95"/>
      <c r="J1076" s="95"/>
      <c r="K1076" s="95"/>
      <c r="L1076" s="95"/>
      <c r="M1076" s="95"/>
      <c r="N1076" s="95"/>
      <c r="O1076" s="95"/>
      <c r="P1076" s="95"/>
      <c r="Q1076" s="95"/>
      <c r="R1076" s="95"/>
      <c r="S1076" s="95"/>
      <c r="T1076" s="95"/>
    </row>
    <row r="1077" spans="1:20" ht="12.75" customHeight="1" x14ac:dyDescent="0.3">
      <c r="A1077" s="95"/>
      <c r="B1077" s="95"/>
      <c r="C1077" s="97"/>
      <c r="D1077" s="95"/>
      <c r="E1077" s="95"/>
      <c r="F1077" s="95"/>
      <c r="G1077" s="95"/>
      <c r="H1077" s="95"/>
      <c r="I1077" s="95"/>
      <c r="J1077" s="95"/>
      <c r="K1077" s="95"/>
      <c r="L1077" s="95"/>
      <c r="M1077" s="95"/>
      <c r="N1077" s="95"/>
      <c r="O1077" s="95"/>
      <c r="P1077" s="95"/>
      <c r="Q1077" s="95"/>
      <c r="R1077" s="95"/>
      <c r="S1077" s="95"/>
      <c r="T1077" s="95"/>
    </row>
    <row r="1078" spans="1:20" ht="12.75" customHeight="1" x14ac:dyDescent="0.3">
      <c r="A1078" s="95"/>
      <c r="B1078" s="95"/>
      <c r="C1078" s="97"/>
      <c r="D1078" s="95"/>
      <c r="E1078" s="95"/>
      <c r="F1078" s="95"/>
      <c r="G1078" s="95"/>
      <c r="H1078" s="95"/>
      <c r="I1078" s="95"/>
      <c r="J1078" s="95"/>
      <c r="K1078" s="95"/>
      <c r="L1078" s="95"/>
      <c r="M1078" s="95"/>
      <c r="N1078" s="95"/>
      <c r="O1078" s="95"/>
      <c r="P1078" s="95"/>
      <c r="Q1078" s="95"/>
      <c r="R1078" s="95"/>
      <c r="S1078" s="95"/>
      <c r="T1078" s="95"/>
    </row>
    <row r="1079" spans="1:20" ht="12.75" customHeight="1" x14ac:dyDescent="0.3">
      <c r="A1079" s="95"/>
      <c r="B1079" s="95"/>
      <c r="C1079" s="97"/>
      <c r="D1079" s="95"/>
      <c r="E1079" s="95"/>
      <c r="F1079" s="95"/>
      <c r="G1079" s="95"/>
      <c r="H1079" s="95"/>
      <c r="I1079" s="95"/>
      <c r="J1079" s="95"/>
      <c r="K1079" s="95"/>
      <c r="L1079" s="95"/>
      <c r="M1079" s="95"/>
      <c r="N1079" s="95"/>
      <c r="O1079" s="95"/>
      <c r="P1079" s="95"/>
      <c r="Q1079" s="95"/>
      <c r="R1079" s="95"/>
      <c r="S1079" s="95"/>
      <c r="T1079" s="95"/>
    </row>
    <row r="1080" spans="1:20" ht="12.75" customHeight="1" x14ac:dyDescent="0.3">
      <c r="A1080" s="95"/>
      <c r="B1080" s="95"/>
      <c r="C1080" s="97"/>
      <c r="D1080" s="95"/>
      <c r="E1080" s="95"/>
      <c r="F1080" s="95"/>
      <c r="G1080" s="95"/>
      <c r="H1080" s="95"/>
      <c r="I1080" s="95"/>
      <c r="J1080" s="95"/>
      <c r="K1080" s="95"/>
      <c r="L1080" s="95"/>
      <c r="M1080" s="95"/>
      <c r="N1080" s="95"/>
      <c r="O1080" s="95"/>
      <c r="P1080" s="95"/>
      <c r="Q1080" s="95"/>
      <c r="R1080" s="95"/>
      <c r="S1080" s="95"/>
      <c r="T1080" s="95"/>
    </row>
    <row r="1081" spans="1:20" ht="12.75" customHeight="1" x14ac:dyDescent="0.3">
      <c r="A1081" s="95"/>
      <c r="B1081" s="95"/>
      <c r="C1081" s="97"/>
      <c r="D1081" s="95"/>
      <c r="E1081" s="95"/>
      <c r="F1081" s="95"/>
      <c r="G1081" s="95"/>
      <c r="H1081" s="95"/>
      <c r="I1081" s="95"/>
      <c r="J1081" s="95"/>
      <c r="K1081" s="95"/>
      <c r="L1081" s="95"/>
      <c r="M1081" s="95"/>
      <c r="N1081" s="95"/>
      <c r="O1081" s="95"/>
      <c r="P1081" s="95"/>
      <c r="Q1081" s="95"/>
      <c r="R1081" s="95"/>
      <c r="S1081" s="95"/>
      <c r="T1081" s="95"/>
    </row>
    <row r="1082" spans="1:20" ht="12.75" customHeight="1" x14ac:dyDescent="0.3">
      <c r="A1082" s="95"/>
      <c r="B1082" s="95"/>
      <c r="C1082" s="97"/>
      <c r="D1082" s="95"/>
      <c r="E1082" s="95"/>
      <c r="F1082" s="95"/>
      <c r="G1082" s="95"/>
      <c r="H1082" s="95"/>
      <c r="I1082" s="95"/>
      <c r="J1082" s="95"/>
      <c r="K1082" s="95"/>
      <c r="L1082" s="95"/>
      <c r="M1082" s="95"/>
      <c r="N1082" s="95"/>
      <c r="O1082" s="95"/>
      <c r="P1082" s="95"/>
      <c r="Q1082" s="95"/>
      <c r="R1082" s="95"/>
      <c r="S1082" s="95"/>
      <c r="T1082" s="95"/>
    </row>
    <row r="1083" spans="1:20" ht="12.75" customHeight="1" x14ac:dyDescent="0.3">
      <c r="A1083" s="95"/>
      <c r="B1083" s="95"/>
      <c r="C1083" s="97"/>
      <c r="D1083" s="95"/>
      <c r="E1083" s="95"/>
      <c r="F1083" s="95"/>
      <c r="G1083" s="95"/>
      <c r="H1083" s="95"/>
      <c r="I1083" s="95"/>
      <c r="J1083" s="95"/>
      <c r="K1083" s="95"/>
      <c r="L1083" s="95"/>
      <c r="M1083" s="95"/>
      <c r="N1083" s="95"/>
      <c r="O1083" s="95"/>
      <c r="P1083" s="95"/>
      <c r="Q1083" s="95"/>
      <c r="R1083" s="95"/>
      <c r="S1083" s="95"/>
      <c r="T1083" s="95"/>
    </row>
    <row r="1084" spans="1:20" ht="12.75" customHeight="1" x14ac:dyDescent="0.3">
      <c r="A1084" s="95"/>
      <c r="B1084" s="95"/>
      <c r="C1084" s="97"/>
      <c r="D1084" s="95"/>
      <c r="E1084" s="95"/>
      <c r="F1084" s="95"/>
      <c r="G1084" s="95"/>
      <c r="H1084" s="95"/>
      <c r="I1084" s="95"/>
      <c r="J1084" s="95"/>
      <c r="K1084" s="95"/>
      <c r="L1084" s="95"/>
      <c r="M1084" s="95"/>
      <c r="N1084" s="95"/>
      <c r="O1084" s="95"/>
      <c r="P1084" s="95"/>
      <c r="Q1084" s="95"/>
      <c r="R1084" s="95"/>
      <c r="S1084" s="95"/>
      <c r="T1084" s="95"/>
    </row>
    <row r="1085" spans="1:20" ht="12.75" customHeight="1" x14ac:dyDescent="0.3">
      <c r="A1085" s="95"/>
      <c r="B1085" s="95"/>
      <c r="C1085" s="97"/>
      <c r="D1085" s="95"/>
      <c r="E1085" s="95"/>
      <c r="F1085" s="95"/>
      <c r="G1085" s="95"/>
      <c r="H1085" s="95"/>
      <c r="I1085" s="95"/>
      <c r="J1085" s="95"/>
      <c r="K1085" s="95"/>
      <c r="L1085" s="95"/>
      <c r="M1085" s="95"/>
      <c r="N1085" s="95"/>
      <c r="O1085" s="95"/>
      <c r="P1085" s="95"/>
      <c r="Q1085" s="95"/>
      <c r="R1085" s="95"/>
      <c r="S1085" s="95"/>
      <c r="T1085" s="95"/>
    </row>
    <row r="1086" spans="1:20" ht="12.75" customHeight="1" x14ac:dyDescent="0.3">
      <c r="A1086" s="95"/>
      <c r="B1086" s="95"/>
      <c r="C1086" s="97"/>
      <c r="D1086" s="95"/>
      <c r="E1086" s="95"/>
      <c r="F1086" s="95"/>
      <c r="G1086" s="95"/>
      <c r="H1086" s="95"/>
      <c r="I1086" s="95"/>
      <c r="J1086" s="95"/>
      <c r="K1086" s="95"/>
      <c r="L1086" s="95"/>
      <c r="M1086" s="95"/>
      <c r="N1086" s="95"/>
      <c r="O1086" s="95"/>
      <c r="P1086" s="95"/>
      <c r="Q1086" s="95"/>
      <c r="R1086" s="95"/>
      <c r="S1086" s="95"/>
      <c r="T1086" s="95"/>
    </row>
    <row r="1087" spans="1:20" ht="12.75" customHeight="1" x14ac:dyDescent="0.3">
      <c r="A1087" s="95"/>
      <c r="B1087" s="95"/>
      <c r="C1087" s="97"/>
      <c r="D1087" s="95"/>
      <c r="E1087" s="95"/>
      <c r="F1087" s="95"/>
      <c r="G1087" s="95"/>
      <c r="H1087" s="95"/>
      <c r="I1087" s="95"/>
      <c r="J1087" s="95"/>
      <c r="K1087" s="95"/>
      <c r="L1087" s="95"/>
      <c r="M1087" s="95"/>
      <c r="N1087" s="95"/>
      <c r="O1087" s="95"/>
      <c r="P1087" s="95"/>
      <c r="Q1087" s="95"/>
      <c r="R1087" s="95"/>
      <c r="S1087" s="95"/>
      <c r="T1087" s="95"/>
    </row>
    <row r="1088" spans="1:20" ht="12.75" customHeight="1" x14ac:dyDescent="0.3">
      <c r="A1088" s="95"/>
      <c r="B1088" s="95"/>
      <c r="C1088" s="97"/>
      <c r="D1088" s="95"/>
      <c r="E1088" s="95"/>
      <c r="F1088" s="95"/>
      <c r="G1088" s="95"/>
      <c r="H1088" s="95"/>
      <c r="I1088" s="95"/>
      <c r="J1088" s="95"/>
      <c r="K1088" s="95"/>
      <c r="L1088" s="95"/>
      <c r="M1088" s="95"/>
      <c r="N1088" s="95"/>
      <c r="O1088" s="95"/>
      <c r="P1088" s="95"/>
      <c r="Q1088" s="95"/>
      <c r="R1088" s="95"/>
      <c r="S1088" s="95"/>
      <c r="T1088" s="95"/>
    </row>
    <row r="1089" spans="1:20" ht="12.75" customHeight="1" x14ac:dyDescent="0.3">
      <c r="A1089" s="95"/>
      <c r="B1089" s="95"/>
      <c r="C1089" s="97"/>
      <c r="D1089" s="95"/>
      <c r="E1089" s="95"/>
      <c r="F1089" s="95"/>
      <c r="G1089" s="95"/>
      <c r="H1089" s="95"/>
      <c r="I1089" s="95"/>
      <c r="J1089" s="95"/>
      <c r="K1089" s="95"/>
      <c r="L1089" s="95"/>
      <c r="M1089" s="95"/>
      <c r="N1089" s="95"/>
      <c r="O1089" s="95"/>
      <c r="P1089" s="95"/>
      <c r="Q1089" s="95"/>
      <c r="R1089" s="95"/>
      <c r="S1089" s="95"/>
      <c r="T1089" s="95"/>
    </row>
    <row r="1090" spans="1:20" ht="12.75" customHeight="1" x14ac:dyDescent="0.3">
      <c r="A1090" s="95"/>
      <c r="B1090" s="95"/>
      <c r="C1090" s="97"/>
      <c r="D1090" s="95"/>
      <c r="E1090" s="95"/>
      <c r="F1090" s="95"/>
      <c r="G1090" s="95"/>
      <c r="H1090" s="95"/>
      <c r="I1090" s="95"/>
      <c r="J1090" s="95"/>
      <c r="K1090" s="95"/>
      <c r="L1090" s="95"/>
      <c r="M1090" s="95"/>
      <c r="N1090" s="95"/>
      <c r="O1090" s="95"/>
      <c r="P1090" s="95"/>
      <c r="Q1090" s="95"/>
      <c r="R1090" s="95"/>
      <c r="S1090" s="95"/>
      <c r="T1090" s="95"/>
    </row>
    <row r="1091" spans="1:20" ht="12.75" customHeight="1" x14ac:dyDescent="0.3">
      <c r="A1091" s="95"/>
      <c r="B1091" s="95"/>
      <c r="C1091" s="97"/>
      <c r="D1091" s="95"/>
      <c r="E1091" s="95"/>
      <c r="F1091" s="95"/>
      <c r="G1091" s="95"/>
      <c r="H1091" s="95"/>
      <c r="I1091" s="95"/>
      <c r="J1091" s="95"/>
      <c r="K1091" s="95"/>
      <c r="L1091" s="95"/>
      <c r="M1091" s="95"/>
      <c r="N1091" s="95"/>
      <c r="O1091" s="95"/>
      <c r="P1091" s="95"/>
      <c r="Q1091" s="95"/>
      <c r="R1091" s="95"/>
      <c r="S1091" s="95"/>
      <c r="T1091" s="95"/>
    </row>
    <row r="1092" spans="1:20" ht="12.75" customHeight="1" x14ac:dyDescent="0.3">
      <c r="A1092" s="95"/>
      <c r="B1092" s="95"/>
      <c r="C1092" s="97"/>
      <c r="D1092" s="95"/>
      <c r="E1092" s="95"/>
      <c r="F1092" s="95"/>
      <c r="G1092" s="95"/>
      <c r="H1092" s="95"/>
      <c r="I1092" s="95"/>
      <c r="J1092" s="95"/>
      <c r="K1092" s="95"/>
      <c r="L1092" s="95"/>
      <c r="M1092" s="95"/>
      <c r="N1092" s="95"/>
      <c r="O1092" s="95"/>
      <c r="P1092" s="95"/>
      <c r="Q1092" s="95"/>
      <c r="R1092" s="95"/>
      <c r="S1092" s="95"/>
      <c r="T1092" s="95"/>
    </row>
    <row r="1093" spans="1:20" ht="12.75" customHeight="1" x14ac:dyDescent="0.3">
      <c r="A1093" s="95"/>
      <c r="B1093" s="95"/>
      <c r="C1093" s="97"/>
      <c r="D1093" s="95"/>
      <c r="E1093" s="95"/>
      <c r="F1093" s="95"/>
      <c r="G1093" s="95"/>
      <c r="H1093" s="95"/>
      <c r="I1093" s="95"/>
      <c r="J1093" s="95"/>
      <c r="K1093" s="95"/>
      <c r="L1093" s="95"/>
      <c r="M1093" s="95"/>
      <c r="N1093" s="95"/>
      <c r="O1093" s="95"/>
      <c r="P1093" s="95"/>
      <c r="Q1093" s="95"/>
      <c r="R1093" s="95"/>
      <c r="S1093" s="95"/>
      <c r="T1093" s="95"/>
    </row>
    <row r="1094" spans="1:20" ht="12.75" customHeight="1" x14ac:dyDescent="0.3">
      <c r="A1094" s="95"/>
      <c r="B1094" s="95"/>
      <c r="C1094" s="97"/>
      <c r="D1094" s="95"/>
      <c r="E1094" s="95"/>
      <c r="F1094" s="95"/>
      <c r="G1094" s="95"/>
      <c r="H1094" s="95"/>
      <c r="I1094" s="95"/>
      <c r="J1094" s="95"/>
      <c r="K1094" s="95"/>
      <c r="L1094" s="95"/>
      <c r="M1094" s="95"/>
      <c r="N1094" s="95"/>
      <c r="O1094" s="95"/>
      <c r="P1094" s="95"/>
      <c r="Q1094" s="95"/>
      <c r="R1094" s="95"/>
      <c r="S1094" s="95"/>
      <c r="T1094" s="95"/>
    </row>
    <row r="1095" spans="1:20" ht="12.75" customHeight="1" x14ac:dyDescent="0.3">
      <c r="A1095" s="95"/>
      <c r="B1095" s="95"/>
      <c r="C1095" s="97"/>
      <c r="D1095" s="95"/>
      <c r="E1095" s="95"/>
      <c r="F1095" s="95"/>
      <c r="G1095" s="95"/>
      <c r="H1095" s="95"/>
      <c r="I1095" s="95"/>
      <c r="J1095" s="95"/>
      <c r="K1095" s="95"/>
      <c r="L1095" s="95"/>
      <c r="M1095" s="95"/>
      <c r="N1095" s="95"/>
      <c r="O1095" s="95"/>
      <c r="P1095" s="95"/>
      <c r="Q1095" s="95"/>
      <c r="R1095" s="95"/>
      <c r="S1095" s="95"/>
      <c r="T1095" s="95"/>
    </row>
    <row r="1096" spans="1:20" ht="12.75" customHeight="1" x14ac:dyDescent="0.3">
      <c r="A1096" s="95"/>
      <c r="B1096" s="95"/>
      <c r="C1096" s="97"/>
      <c r="D1096" s="95"/>
      <c r="E1096" s="95"/>
      <c r="F1096" s="95"/>
      <c r="G1096" s="95"/>
      <c r="H1096" s="95"/>
      <c r="I1096" s="95"/>
      <c r="J1096" s="95"/>
      <c r="K1096" s="95"/>
      <c r="L1096" s="95"/>
      <c r="M1096" s="95"/>
      <c r="N1096" s="95"/>
      <c r="O1096" s="95"/>
      <c r="P1096" s="95"/>
      <c r="Q1096" s="95"/>
      <c r="R1096" s="95"/>
      <c r="S1096" s="95"/>
      <c r="T1096" s="95"/>
    </row>
    <row r="1097" spans="1:20" ht="12.75" customHeight="1" x14ac:dyDescent="0.3">
      <c r="A1097" s="95"/>
      <c r="B1097" s="95"/>
      <c r="C1097" s="97"/>
      <c r="D1097" s="95"/>
      <c r="E1097" s="95"/>
      <c r="F1097" s="95"/>
      <c r="G1097" s="95"/>
      <c r="H1097" s="95"/>
      <c r="I1097" s="95"/>
      <c r="J1097" s="95"/>
      <c r="K1097" s="95"/>
      <c r="L1097" s="95"/>
      <c r="M1097" s="95"/>
      <c r="N1097" s="95"/>
      <c r="O1097" s="95"/>
      <c r="P1097" s="95"/>
      <c r="Q1097" s="95"/>
      <c r="R1097" s="95"/>
      <c r="S1097" s="95"/>
      <c r="T1097" s="95"/>
    </row>
    <row r="1098" spans="1:20" ht="12.75" customHeight="1" x14ac:dyDescent="0.3">
      <c r="A1098" s="95"/>
      <c r="B1098" s="95"/>
      <c r="C1098" s="97"/>
      <c r="D1098" s="95"/>
      <c r="E1098" s="95"/>
      <c r="F1098" s="95"/>
      <c r="G1098" s="95"/>
      <c r="H1098" s="95"/>
      <c r="I1098" s="95"/>
      <c r="J1098" s="95"/>
      <c r="K1098" s="95"/>
      <c r="L1098" s="95"/>
      <c r="M1098" s="95"/>
      <c r="N1098" s="95"/>
      <c r="O1098" s="95"/>
      <c r="P1098" s="95"/>
      <c r="Q1098" s="95"/>
      <c r="R1098" s="95"/>
      <c r="S1098" s="95"/>
      <c r="T1098" s="95"/>
    </row>
    <row r="1099" spans="1:20" ht="12.75" customHeight="1" x14ac:dyDescent="0.3">
      <c r="A1099" s="95"/>
      <c r="B1099" s="95"/>
      <c r="C1099" s="97"/>
      <c r="D1099" s="95"/>
      <c r="E1099" s="95"/>
      <c r="F1099" s="95"/>
      <c r="G1099" s="95"/>
      <c r="H1099" s="95"/>
      <c r="I1099" s="95"/>
      <c r="J1099" s="95"/>
      <c r="K1099" s="95"/>
      <c r="L1099" s="95"/>
      <c r="M1099" s="95"/>
      <c r="N1099" s="95"/>
      <c r="O1099" s="95"/>
      <c r="P1099" s="95"/>
      <c r="Q1099" s="95"/>
      <c r="R1099" s="95"/>
      <c r="S1099" s="95"/>
      <c r="T1099" s="95"/>
    </row>
    <row r="1100" spans="1:20" ht="12.75" customHeight="1" x14ac:dyDescent="0.3">
      <c r="A1100" s="95"/>
      <c r="B1100" s="95"/>
      <c r="C1100" s="97"/>
      <c r="D1100" s="95"/>
      <c r="E1100" s="95"/>
      <c r="F1100" s="95"/>
      <c r="G1100" s="95"/>
      <c r="H1100" s="95"/>
      <c r="I1100" s="95"/>
      <c r="J1100" s="95"/>
      <c r="K1100" s="95"/>
      <c r="L1100" s="95"/>
      <c r="M1100" s="95"/>
      <c r="N1100" s="95"/>
      <c r="O1100" s="95"/>
      <c r="P1100" s="95"/>
      <c r="Q1100" s="95"/>
      <c r="R1100" s="95"/>
      <c r="S1100" s="95"/>
      <c r="T1100" s="95"/>
    </row>
    <row r="1101" spans="1:20" ht="12.75" customHeight="1" x14ac:dyDescent="0.3">
      <c r="A1101" s="95"/>
      <c r="B1101" s="95"/>
      <c r="C1101" s="97"/>
      <c r="D1101" s="95"/>
      <c r="E1101" s="95"/>
      <c r="F1101" s="95"/>
      <c r="G1101" s="95"/>
      <c r="H1101" s="95"/>
      <c r="I1101" s="95"/>
      <c r="J1101" s="95"/>
      <c r="K1101" s="95"/>
      <c r="L1101" s="95"/>
      <c r="M1101" s="95"/>
      <c r="N1101" s="95"/>
      <c r="O1101" s="95"/>
      <c r="P1101" s="95"/>
      <c r="Q1101" s="95"/>
      <c r="R1101" s="95"/>
      <c r="S1101" s="95"/>
      <c r="T1101" s="95"/>
    </row>
    <row r="1102" spans="1:20" ht="12.75" customHeight="1" x14ac:dyDescent="0.3">
      <c r="A1102" s="95"/>
      <c r="B1102" s="95"/>
      <c r="C1102" s="97"/>
      <c r="D1102" s="95"/>
      <c r="E1102" s="95"/>
      <c r="F1102" s="95"/>
      <c r="G1102" s="95"/>
      <c r="H1102" s="95"/>
      <c r="I1102" s="95"/>
      <c r="J1102" s="95"/>
      <c r="K1102" s="95"/>
      <c r="L1102" s="95"/>
      <c r="M1102" s="95"/>
      <c r="N1102" s="95"/>
      <c r="O1102" s="95"/>
      <c r="P1102" s="95"/>
      <c r="Q1102" s="95"/>
      <c r="R1102" s="95"/>
      <c r="S1102" s="95"/>
      <c r="T1102" s="95"/>
    </row>
    <row r="1103" spans="1:20" ht="12.75" customHeight="1" x14ac:dyDescent="0.3">
      <c r="A1103" s="95"/>
      <c r="B1103" s="95"/>
      <c r="C1103" s="97"/>
      <c r="D1103" s="95"/>
      <c r="E1103" s="95"/>
      <c r="F1103" s="95"/>
      <c r="G1103" s="95"/>
      <c r="H1103" s="95"/>
      <c r="I1103" s="95"/>
      <c r="J1103" s="95"/>
      <c r="K1103" s="95"/>
      <c r="L1103" s="95"/>
      <c r="M1103" s="95"/>
      <c r="N1103" s="95"/>
      <c r="O1103" s="95"/>
      <c r="P1103" s="95"/>
      <c r="Q1103" s="95"/>
      <c r="R1103" s="95"/>
      <c r="S1103" s="95"/>
      <c r="T1103" s="95"/>
    </row>
    <row r="1104" spans="1:20" ht="12.75" customHeight="1" x14ac:dyDescent="0.3">
      <c r="A1104" s="95"/>
      <c r="B1104" s="95"/>
      <c r="C1104" s="97"/>
      <c r="D1104" s="95"/>
      <c r="E1104" s="95"/>
      <c r="F1104" s="95"/>
      <c r="G1104" s="95"/>
      <c r="H1104" s="95"/>
      <c r="I1104" s="95"/>
      <c r="J1104" s="95"/>
      <c r="K1104" s="95"/>
      <c r="L1104" s="95"/>
      <c r="M1104" s="95"/>
      <c r="N1104" s="95"/>
      <c r="O1104" s="95"/>
      <c r="P1104" s="95"/>
      <c r="Q1104" s="95"/>
      <c r="R1104" s="95"/>
      <c r="S1104" s="95"/>
      <c r="T1104" s="95"/>
    </row>
    <row r="1105" spans="1:20" ht="12.75" customHeight="1" x14ac:dyDescent="0.3">
      <c r="A1105" s="95"/>
      <c r="B1105" s="95"/>
      <c r="C1105" s="97"/>
      <c r="D1105" s="95"/>
      <c r="E1105" s="95"/>
      <c r="F1105" s="95"/>
      <c r="G1105" s="95"/>
      <c r="H1105" s="95"/>
      <c r="I1105" s="95"/>
      <c r="J1105" s="95"/>
      <c r="K1105" s="95"/>
      <c r="L1105" s="95"/>
      <c r="M1105" s="95"/>
      <c r="N1105" s="95"/>
      <c r="O1105" s="95"/>
      <c r="P1105" s="95"/>
      <c r="Q1105" s="95"/>
      <c r="R1105" s="95"/>
      <c r="S1105" s="95"/>
      <c r="T1105" s="95"/>
    </row>
    <row r="1106" spans="1:20" ht="12.75" customHeight="1" x14ac:dyDescent="0.3">
      <c r="A1106" s="95"/>
      <c r="B1106" s="95"/>
      <c r="C1106" s="97"/>
      <c r="D1106" s="95"/>
      <c r="E1106" s="95"/>
      <c r="F1106" s="95"/>
      <c r="G1106" s="95"/>
      <c r="H1106" s="95"/>
      <c r="I1106" s="95"/>
      <c r="J1106" s="95"/>
      <c r="K1106" s="95"/>
      <c r="L1106" s="95"/>
      <c r="M1106" s="95"/>
      <c r="N1106" s="95"/>
      <c r="O1106" s="95"/>
      <c r="P1106" s="95"/>
      <c r="Q1106" s="95"/>
      <c r="R1106" s="95"/>
      <c r="S1106" s="95"/>
      <c r="T1106" s="95"/>
    </row>
    <row r="1107" spans="1:20" ht="12.75" customHeight="1" x14ac:dyDescent="0.3">
      <c r="A1107" s="95"/>
      <c r="B1107" s="95"/>
      <c r="C1107" s="97"/>
      <c r="D1107" s="95"/>
      <c r="E1107" s="95"/>
      <c r="F1107" s="95"/>
      <c r="G1107" s="95"/>
      <c r="H1107" s="95"/>
      <c r="I1107" s="95"/>
      <c r="J1107" s="95"/>
      <c r="K1107" s="95"/>
      <c r="L1107" s="95"/>
      <c r="M1107" s="95"/>
      <c r="N1107" s="95"/>
      <c r="O1107" s="95"/>
      <c r="P1107" s="95"/>
      <c r="Q1107" s="95"/>
      <c r="R1107" s="95"/>
      <c r="S1107" s="95"/>
      <c r="T1107" s="95"/>
    </row>
    <row r="1108" spans="1:20" ht="12.75" customHeight="1" x14ac:dyDescent="0.3">
      <c r="A1108" s="95"/>
      <c r="B1108" s="95"/>
      <c r="C1108" s="97"/>
      <c r="D1108" s="95"/>
      <c r="E1108" s="95"/>
      <c r="F1108" s="95"/>
      <c r="G1108" s="95"/>
      <c r="H1108" s="95"/>
      <c r="I1108" s="95"/>
      <c r="J1108" s="95"/>
      <c r="K1108" s="95"/>
      <c r="L1108" s="95"/>
      <c r="M1108" s="95"/>
      <c r="N1108" s="95"/>
      <c r="O1108" s="95"/>
      <c r="P1108" s="95"/>
      <c r="Q1108" s="95"/>
      <c r="R1108" s="95"/>
      <c r="S1108" s="95"/>
      <c r="T1108" s="95"/>
    </row>
    <row r="1109" spans="1:20" ht="12.75" customHeight="1" x14ac:dyDescent="0.3">
      <c r="A1109" s="95"/>
      <c r="B1109" s="95"/>
      <c r="C1109" s="97"/>
      <c r="D1109" s="95"/>
      <c r="E1109" s="95"/>
      <c r="F1109" s="95"/>
      <c r="G1109" s="95"/>
      <c r="H1109" s="95"/>
      <c r="I1109" s="95"/>
      <c r="J1109" s="95"/>
      <c r="K1109" s="95"/>
      <c r="L1109" s="95"/>
      <c r="M1109" s="95"/>
      <c r="N1109" s="95"/>
      <c r="O1109" s="95"/>
      <c r="P1109" s="95"/>
      <c r="Q1109" s="95"/>
      <c r="R1109" s="95"/>
      <c r="S1109" s="95"/>
      <c r="T1109" s="95"/>
    </row>
    <row r="1110" spans="1:20" ht="12.75" customHeight="1" x14ac:dyDescent="0.3">
      <c r="A1110" s="95"/>
      <c r="B1110" s="95"/>
      <c r="C1110" s="97"/>
      <c r="D1110" s="95"/>
      <c r="E1110" s="95"/>
      <c r="F1110" s="95"/>
      <c r="G1110" s="95"/>
      <c r="H1110" s="95"/>
      <c r="I1110" s="95"/>
      <c r="J1110" s="95"/>
      <c r="K1110" s="95"/>
      <c r="L1110" s="95"/>
      <c r="M1110" s="95"/>
      <c r="N1110" s="95"/>
      <c r="O1110" s="95"/>
      <c r="P1110" s="95"/>
      <c r="Q1110" s="95"/>
      <c r="R1110" s="95"/>
      <c r="S1110" s="95"/>
      <c r="T1110" s="95"/>
    </row>
    <row r="1111" spans="1:20" ht="12.75" customHeight="1" x14ac:dyDescent="0.3">
      <c r="A1111" s="95"/>
      <c r="B1111" s="95"/>
      <c r="C1111" s="97"/>
      <c r="D1111" s="95"/>
      <c r="E1111" s="95"/>
      <c r="F1111" s="95"/>
      <c r="G1111" s="95"/>
      <c r="H1111" s="95"/>
      <c r="I1111" s="95"/>
      <c r="J1111" s="95"/>
      <c r="K1111" s="95"/>
      <c r="L1111" s="95"/>
      <c r="M1111" s="95"/>
      <c r="N1111" s="95"/>
      <c r="O1111" s="95"/>
      <c r="P1111" s="95"/>
      <c r="Q1111" s="95"/>
      <c r="R1111" s="95"/>
      <c r="S1111" s="95"/>
      <c r="T1111" s="95"/>
    </row>
    <row r="1112" spans="1:20" ht="12.75" customHeight="1" x14ac:dyDescent="0.3">
      <c r="A1112" s="95"/>
      <c r="B1112" s="95"/>
      <c r="C1112" s="97"/>
      <c r="D1112" s="95"/>
      <c r="E1112" s="95"/>
      <c r="F1112" s="95"/>
      <c r="G1112" s="95"/>
      <c r="H1112" s="95"/>
      <c r="I1112" s="95"/>
      <c r="J1112" s="95"/>
      <c r="K1112" s="95"/>
      <c r="L1112" s="95"/>
      <c r="M1112" s="95"/>
      <c r="N1112" s="95"/>
      <c r="O1112" s="95"/>
      <c r="P1112" s="95"/>
      <c r="Q1112" s="95"/>
      <c r="R1112" s="95"/>
      <c r="S1112" s="95"/>
      <c r="T1112" s="95"/>
    </row>
    <row r="1113" spans="1:20" ht="12.75" customHeight="1" x14ac:dyDescent="0.3">
      <c r="A1113" s="95"/>
      <c r="B1113" s="95"/>
      <c r="C1113" s="97"/>
      <c r="D1113" s="95"/>
      <c r="E1113" s="95"/>
      <c r="F1113" s="95"/>
      <c r="G1113" s="95"/>
      <c r="H1113" s="95"/>
      <c r="I1113" s="95"/>
      <c r="J1113" s="95"/>
      <c r="K1113" s="95"/>
      <c r="L1113" s="95"/>
      <c r="M1113" s="95"/>
      <c r="N1113" s="95"/>
      <c r="O1113" s="95"/>
      <c r="P1113" s="95"/>
      <c r="Q1113" s="95"/>
      <c r="R1113" s="95"/>
      <c r="S1113" s="95"/>
      <c r="T1113" s="95"/>
    </row>
    <row r="1114" spans="1:20" ht="12.75" customHeight="1" x14ac:dyDescent="0.3">
      <c r="A1114" s="95"/>
      <c r="B1114" s="95"/>
      <c r="C1114" s="97"/>
      <c r="D1114" s="95"/>
      <c r="E1114" s="95"/>
      <c r="F1114" s="95"/>
      <c r="G1114" s="95"/>
      <c r="H1114" s="95"/>
      <c r="I1114" s="95"/>
      <c r="J1114" s="95"/>
      <c r="K1114" s="95"/>
      <c r="L1114" s="95"/>
      <c r="M1114" s="95"/>
      <c r="N1114" s="95"/>
      <c r="O1114" s="95"/>
      <c r="P1114" s="95"/>
      <c r="Q1114" s="95"/>
      <c r="R1114" s="95"/>
      <c r="S1114" s="95"/>
      <c r="T1114" s="95"/>
    </row>
    <row r="1115" spans="1:20" ht="12.75" customHeight="1" x14ac:dyDescent="0.3">
      <c r="A1115" s="95"/>
      <c r="B1115" s="95"/>
      <c r="C1115" s="97"/>
      <c r="D1115" s="95"/>
      <c r="E1115" s="95"/>
      <c r="F1115" s="95"/>
      <c r="G1115" s="95"/>
      <c r="H1115" s="95"/>
      <c r="I1115" s="95"/>
      <c r="J1115" s="95"/>
      <c r="K1115" s="95"/>
      <c r="L1115" s="95"/>
      <c r="M1115" s="95"/>
      <c r="N1115" s="95"/>
      <c r="O1115" s="95"/>
      <c r="P1115" s="95"/>
      <c r="Q1115" s="95"/>
      <c r="R1115" s="95"/>
      <c r="S1115" s="95"/>
      <c r="T1115" s="95"/>
    </row>
    <row r="1116" spans="1:20" ht="12.75" customHeight="1" x14ac:dyDescent="0.3">
      <c r="A1116" s="95"/>
      <c r="B1116" s="95"/>
      <c r="C1116" s="97"/>
      <c r="D1116" s="95"/>
      <c r="E1116" s="95"/>
      <c r="F1116" s="95"/>
      <c r="G1116" s="95"/>
      <c r="H1116" s="95"/>
      <c r="I1116" s="95"/>
      <c r="J1116" s="95"/>
      <c r="K1116" s="95"/>
      <c r="L1116" s="95"/>
      <c r="M1116" s="95"/>
      <c r="N1116" s="95"/>
      <c r="O1116" s="95"/>
      <c r="P1116" s="95"/>
      <c r="Q1116" s="95"/>
      <c r="R1116" s="95"/>
      <c r="S1116" s="95"/>
      <c r="T1116" s="95"/>
    </row>
    <row r="1117" spans="1:20" ht="12.75" customHeight="1" x14ac:dyDescent="0.3">
      <c r="A1117" s="95"/>
      <c r="B1117" s="95"/>
      <c r="C1117" s="97"/>
      <c r="D1117" s="95"/>
      <c r="E1117" s="95"/>
      <c r="F1117" s="95"/>
      <c r="G1117" s="95"/>
      <c r="H1117" s="95"/>
      <c r="I1117" s="95"/>
      <c r="J1117" s="95"/>
      <c r="K1117" s="95"/>
      <c r="L1117" s="95"/>
      <c r="M1117" s="95"/>
      <c r="N1117" s="95"/>
      <c r="O1117" s="95"/>
      <c r="P1117" s="95"/>
      <c r="Q1117" s="95"/>
      <c r="R1117" s="95"/>
      <c r="S1117" s="95"/>
      <c r="T1117" s="95"/>
    </row>
    <row r="1118" spans="1:20" ht="12.75" customHeight="1" x14ac:dyDescent="0.3">
      <c r="A1118" s="95"/>
      <c r="B1118" s="95"/>
      <c r="C1118" s="97"/>
      <c r="D1118" s="95"/>
      <c r="E1118" s="95"/>
      <c r="F1118" s="95"/>
      <c r="G1118" s="95"/>
      <c r="H1118" s="95"/>
      <c r="I1118" s="95"/>
      <c r="J1118" s="95"/>
      <c r="K1118" s="95"/>
      <c r="L1118" s="95"/>
      <c r="M1118" s="95"/>
      <c r="N1118" s="95"/>
      <c r="O1118" s="95"/>
      <c r="P1118" s="95"/>
      <c r="Q1118" s="95"/>
      <c r="R1118" s="95"/>
      <c r="S1118" s="95"/>
      <c r="T1118" s="95"/>
    </row>
    <row r="1119" spans="1:20" ht="12.75" customHeight="1" x14ac:dyDescent="0.3">
      <c r="A1119" s="95"/>
      <c r="B1119" s="95"/>
      <c r="C1119" s="97"/>
      <c r="D1119" s="95"/>
      <c r="E1119" s="95"/>
      <c r="F1119" s="95"/>
      <c r="G1119" s="95"/>
      <c r="H1119" s="95"/>
      <c r="I1119" s="95"/>
      <c r="J1119" s="95"/>
      <c r="K1119" s="95"/>
      <c r="L1119" s="95"/>
      <c r="M1119" s="95"/>
      <c r="N1119" s="95"/>
      <c r="O1119" s="95"/>
      <c r="P1119" s="95"/>
      <c r="Q1119" s="95"/>
      <c r="R1119" s="95"/>
      <c r="S1119" s="95"/>
      <c r="T1119" s="95"/>
    </row>
    <row r="1120" spans="1:20" ht="12.75" customHeight="1" x14ac:dyDescent="0.3">
      <c r="A1120" s="95"/>
      <c r="B1120" s="95"/>
      <c r="C1120" s="97"/>
      <c r="D1120" s="95"/>
      <c r="E1120" s="95"/>
      <c r="F1120" s="95"/>
      <c r="G1120" s="95"/>
      <c r="H1120" s="95"/>
      <c r="I1120" s="95"/>
      <c r="J1120" s="95"/>
      <c r="K1120" s="95"/>
      <c r="L1120" s="95"/>
      <c r="M1120" s="95"/>
      <c r="N1120" s="95"/>
      <c r="O1120" s="95"/>
      <c r="P1120" s="95"/>
      <c r="Q1120" s="95"/>
      <c r="R1120" s="95"/>
      <c r="S1120" s="95"/>
      <c r="T1120" s="95"/>
    </row>
    <row r="1121" spans="1:20" ht="12.75" customHeight="1" x14ac:dyDescent="0.3">
      <c r="A1121" s="95"/>
      <c r="B1121" s="95"/>
      <c r="C1121" s="97"/>
      <c r="D1121" s="95"/>
      <c r="E1121" s="95"/>
      <c r="F1121" s="95"/>
      <c r="G1121" s="95"/>
      <c r="H1121" s="95"/>
      <c r="I1121" s="95"/>
      <c r="J1121" s="95"/>
      <c r="K1121" s="95"/>
      <c r="L1121" s="95"/>
      <c r="M1121" s="95"/>
      <c r="N1121" s="95"/>
      <c r="O1121" s="95"/>
      <c r="P1121" s="95"/>
      <c r="Q1121" s="95"/>
      <c r="R1121" s="95"/>
      <c r="S1121" s="95"/>
      <c r="T1121" s="95"/>
    </row>
    <row r="1122" spans="1:20" ht="12.75" customHeight="1" x14ac:dyDescent="0.3">
      <c r="A1122" s="95"/>
      <c r="B1122" s="95"/>
      <c r="C1122" s="97"/>
      <c r="D1122" s="95"/>
      <c r="E1122" s="95"/>
      <c r="F1122" s="95"/>
      <c r="G1122" s="95"/>
      <c r="H1122" s="95"/>
      <c r="I1122" s="95"/>
      <c r="J1122" s="95"/>
      <c r="K1122" s="95"/>
      <c r="L1122" s="95"/>
      <c r="M1122" s="95"/>
      <c r="N1122" s="95"/>
      <c r="O1122" s="95"/>
      <c r="P1122" s="95"/>
      <c r="Q1122" s="95"/>
      <c r="R1122" s="95"/>
      <c r="S1122" s="95"/>
      <c r="T1122" s="95"/>
    </row>
    <row r="1123" spans="1:20" ht="12.75" customHeight="1" x14ac:dyDescent="0.3">
      <c r="A1123" s="95"/>
      <c r="B1123" s="95"/>
      <c r="C1123" s="97"/>
      <c r="D1123" s="95"/>
      <c r="E1123" s="95"/>
      <c r="F1123" s="95"/>
      <c r="G1123" s="95"/>
      <c r="H1123" s="95"/>
      <c r="I1123" s="95"/>
      <c r="J1123" s="95"/>
      <c r="K1123" s="95"/>
      <c r="L1123" s="95"/>
      <c r="M1123" s="95"/>
      <c r="N1123" s="95"/>
      <c r="O1123" s="95"/>
      <c r="P1123" s="95"/>
      <c r="Q1123" s="95"/>
      <c r="R1123" s="95"/>
      <c r="S1123" s="95"/>
      <c r="T1123" s="95"/>
    </row>
    <row r="1124" spans="1:20" ht="12.75" customHeight="1" x14ac:dyDescent="0.3">
      <c r="A1124" s="95"/>
      <c r="B1124" s="95"/>
      <c r="C1124" s="97"/>
      <c r="D1124" s="95"/>
      <c r="E1124" s="95"/>
      <c r="F1124" s="95"/>
      <c r="G1124" s="95"/>
      <c r="H1124" s="95"/>
      <c r="I1124" s="95"/>
      <c r="J1124" s="95"/>
      <c r="K1124" s="95"/>
      <c r="L1124" s="95"/>
      <c r="M1124" s="95"/>
      <c r="N1124" s="95"/>
      <c r="O1124" s="95"/>
      <c r="P1124" s="95"/>
      <c r="Q1124" s="95"/>
      <c r="R1124" s="95"/>
      <c r="S1124" s="95"/>
      <c r="T1124" s="95"/>
    </row>
    <row r="1125" spans="1:20" ht="12.75" customHeight="1" x14ac:dyDescent="0.3">
      <c r="A1125" s="95"/>
      <c r="B1125" s="95"/>
      <c r="C1125" s="97"/>
      <c r="D1125" s="95"/>
      <c r="E1125" s="95"/>
      <c r="F1125" s="95"/>
      <c r="G1125" s="95"/>
      <c r="H1125" s="95"/>
      <c r="I1125" s="95"/>
      <c r="J1125" s="95"/>
      <c r="K1125" s="95"/>
      <c r="L1125" s="95"/>
      <c r="M1125" s="95"/>
      <c r="N1125" s="95"/>
      <c r="O1125" s="95"/>
      <c r="P1125" s="95"/>
      <c r="Q1125" s="95"/>
      <c r="R1125" s="95"/>
      <c r="S1125" s="95"/>
      <c r="T1125" s="95"/>
    </row>
  </sheetData>
  <sheetProtection password="C71F" sheet="1" objects="1" scenarios="1"/>
  <autoFilter ref="Q5:T310"/>
  <mergeCells count="6">
    <mergeCell ref="C3:C4"/>
    <mergeCell ref="D3:I3"/>
    <mergeCell ref="K3:Q3"/>
    <mergeCell ref="A1:F1"/>
    <mergeCell ref="A3:A4"/>
    <mergeCell ref="B3:B4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342"/>
  <sheetViews>
    <sheetView view="pageBreakPreview" zoomScale="85" zoomScaleNormal="100" zoomScaleSheetLayoutView="85" workbookViewId="0">
      <pane ySplit="8" topLeftCell="A290" activePane="bottomLeft" state="frozen"/>
      <selection activeCell="E162" activeCellId="1" sqref="E15:E87 E162"/>
      <selection pane="bottomLeft" activeCell="B305" sqref="B305"/>
    </sheetView>
  </sheetViews>
  <sheetFormatPr defaultColWidth="9.1796875" defaultRowHeight="13" outlineLevelRow="3" x14ac:dyDescent="0.3"/>
  <cols>
    <col min="1" max="6" width="25.7265625" style="53" customWidth="1"/>
    <col min="7" max="16384" width="9.1796875" style="53"/>
  </cols>
  <sheetData>
    <row r="1" spans="1:6" x14ac:dyDescent="0.3">
      <c r="A1" s="74"/>
      <c r="F1" s="54" t="s">
        <v>96</v>
      </c>
    </row>
    <row r="2" spans="1:6" ht="14.5" customHeight="1" x14ac:dyDescent="0.3">
      <c r="A2" s="74"/>
      <c r="F2" s="55" t="s">
        <v>97</v>
      </c>
    </row>
    <row r="3" spans="1:6" x14ac:dyDescent="0.3">
      <c r="A3" s="8"/>
    </row>
    <row r="4" spans="1:6" x14ac:dyDescent="0.3">
      <c r="A4" s="182" t="s">
        <v>98</v>
      </c>
      <c r="B4" s="182"/>
      <c r="C4" s="182"/>
      <c r="D4" s="182"/>
      <c r="E4" s="182"/>
      <c r="F4" s="182"/>
    </row>
    <row r="5" spans="1:6" x14ac:dyDescent="0.3">
      <c r="A5" s="182" t="s">
        <v>99</v>
      </c>
      <c r="B5" s="182"/>
      <c r="C5" s="182"/>
      <c r="D5" s="182"/>
      <c r="E5" s="182"/>
      <c r="F5" s="182"/>
    </row>
    <row r="6" spans="1:6" x14ac:dyDescent="0.3">
      <c r="A6" s="8"/>
    </row>
    <row r="7" spans="1:6" ht="26" x14ac:dyDescent="0.3">
      <c r="A7" s="72" t="s">
        <v>0</v>
      </c>
      <c r="B7" s="72" t="s">
        <v>58</v>
      </c>
      <c r="C7" s="72" t="s">
        <v>60</v>
      </c>
      <c r="D7" s="72" t="s">
        <v>61</v>
      </c>
      <c r="E7" s="72" t="s">
        <v>62</v>
      </c>
      <c r="F7" s="72" t="s">
        <v>100</v>
      </c>
    </row>
    <row r="8" spans="1:6" x14ac:dyDescent="0.3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</row>
    <row r="9" spans="1:6" ht="28.9" customHeight="1" x14ac:dyDescent="0.3">
      <c r="A9" s="189" t="s">
        <v>526</v>
      </c>
      <c r="B9" s="189"/>
      <c r="C9" s="189"/>
      <c r="D9" s="189"/>
      <c r="E9" s="189"/>
      <c r="F9" s="189"/>
    </row>
    <row r="10" spans="1:6" ht="28.9" customHeight="1" x14ac:dyDescent="0.3">
      <c r="A10" s="196" t="s">
        <v>546</v>
      </c>
      <c r="B10" s="190"/>
      <c r="C10" s="190"/>
      <c r="D10" s="190"/>
      <c r="E10" s="190"/>
      <c r="F10" s="190"/>
    </row>
    <row r="11" spans="1:6" ht="30" customHeight="1" x14ac:dyDescent="0.3">
      <c r="A11" s="183" t="s">
        <v>4</v>
      </c>
      <c r="B11" s="183"/>
      <c r="C11" s="183"/>
      <c r="D11" s="183"/>
      <c r="E11" s="73">
        <f>E12+E15+E87</f>
        <v>2138.5390911640225</v>
      </c>
      <c r="F11" s="191" t="s">
        <v>135</v>
      </c>
    </row>
    <row r="12" spans="1:6" ht="30" customHeight="1" outlineLevel="1" x14ac:dyDescent="0.3">
      <c r="A12" s="183" t="s">
        <v>5</v>
      </c>
      <c r="B12" s="183"/>
      <c r="C12" s="183"/>
      <c r="D12" s="183"/>
      <c r="E12" s="68">
        <f>SUM(E13:E14)</f>
        <v>776.36324496288444</v>
      </c>
      <c r="F12" s="192"/>
    </row>
    <row r="13" spans="1:6" outlineLevel="2" x14ac:dyDescent="0.3">
      <c r="A13" s="131" t="str">
        <f>'БазНорм (обр)'!A5</f>
        <v>Педагогический персонал</v>
      </c>
      <c r="B13" s="64">
        <f>'БазНорм (обр)'!C5</f>
        <v>5.5493107104984091E-2</v>
      </c>
      <c r="C13" s="68">
        <f>'БазНорм (обр)'!J5</f>
        <v>1</v>
      </c>
      <c r="D13" s="68">
        <f>'БазНорм (обр)'!K5</f>
        <v>13990.264475444297</v>
      </c>
      <c r="E13" s="68">
        <f>B13/C13*D13</f>
        <v>776.36324496288444</v>
      </c>
      <c r="F13" s="192"/>
    </row>
    <row r="14" spans="1:6" outlineLevel="2" x14ac:dyDescent="0.3">
      <c r="A14" s="57"/>
      <c r="B14" s="57"/>
      <c r="C14" s="57"/>
      <c r="D14" s="57"/>
      <c r="E14" s="56"/>
      <c r="F14" s="192"/>
    </row>
    <row r="15" spans="1:6" ht="45" customHeight="1" outlineLevel="1" x14ac:dyDescent="0.3">
      <c r="A15" s="183" t="s">
        <v>6</v>
      </c>
      <c r="B15" s="183"/>
      <c r="C15" s="183"/>
      <c r="D15" s="183"/>
      <c r="E15" s="73">
        <f>E16+E67+E85+E86</f>
        <v>146.27071580042409</v>
      </c>
      <c r="F15" s="192"/>
    </row>
    <row r="16" spans="1:6" s="75" customFormat="1" outlineLevel="2" x14ac:dyDescent="0.3">
      <c r="A16" s="33" t="s">
        <v>56</v>
      </c>
      <c r="B16" s="34" t="s">
        <v>3</v>
      </c>
      <c r="C16" s="61" t="s">
        <v>3</v>
      </c>
      <c r="D16" s="122" t="s">
        <v>3</v>
      </c>
      <c r="E16" s="123">
        <f>SUM(E17:E66)</f>
        <v>122.15476333373341</v>
      </c>
      <c r="F16" s="192"/>
    </row>
    <row r="17" spans="1:10" s="75" customFormat="1" ht="39" outlineLevel="3" x14ac:dyDescent="0.3">
      <c r="A17" s="26" t="str">
        <f>'БазНорм (обр)'!A9</f>
        <v xml:space="preserve">Журнал: Воспитание школьников и духовно-нравственное воспитание </v>
      </c>
      <c r="B17" s="52">
        <f>'БазНорм (обр)'!C9</f>
        <v>2.4006721882126993E-3</v>
      </c>
      <c r="C17" s="61">
        <f>'БазНорм (обр)'!J9</f>
        <v>1</v>
      </c>
      <c r="D17" s="122">
        <f>'БазНорм (обр)'!K9</f>
        <v>9669.8700000000008</v>
      </c>
      <c r="E17" s="122">
        <f>B17/C17*D17</f>
        <v>23.214187972632338</v>
      </c>
      <c r="F17" s="192"/>
      <c r="G17" s="53">
        <f>E17*943-'БазНорм (обр)'!T9*'БазНорм (обр)'!$T$2</f>
        <v>-20621302.461217143</v>
      </c>
      <c r="J17" s="75">
        <f>943*E17</f>
        <v>21890.979258192296</v>
      </c>
    </row>
    <row r="18" spans="1:10" s="75" customFormat="1" ht="26" outlineLevel="3" x14ac:dyDescent="0.3">
      <c r="A18" s="26" t="str">
        <f>'БазНорм (обр)'!A10</f>
        <v>Инновационные проекты и программы в оьразовании</v>
      </c>
      <c r="B18" s="52">
        <f>'БазНорм (обр)'!C10</f>
        <v>2.4006721882126993E-3</v>
      </c>
      <c r="C18" s="61">
        <f>'БазНорм (обр)'!J10</f>
        <v>1</v>
      </c>
      <c r="D18" s="122">
        <f>'БазНорм (обр)'!K10</f>
        <v>1732.6000000000001</v>
      </c>
      <c r="E18" s="122">
        <f t="shared" ref="E18:E81" si="0">B18/C18*D18</f>
        <v>4.1594046332973234</v>
      </c>
      <c r="F18" s="192"/>
    </row>
    <row r="19" spans="1:10" s="75" customFormat="1" ht="26" outlineLevel="3" x14ac:dyDescent="0.3">
      <c r="A19" s="26" t="str">
        <f>'БазНорм (обр)'!A11</f>
        <v>Журнал: Льготный комплект "Эксперт"</v>
      </c>
      <c r="B19" s="52">
        <f>'БазНорм (обр)'!C11</f>
        <v>2.4006721882126993E-3</v>
      </c>
      <c r="C19" s="61">
        <f>'БазНорм (обр)'!J11</f>
        <v>1</v>
      </c>
      <c r="D19" s="122">
        <f>'БазНорм (обр)'!K11</f>
        <v>12040.93</v>
      </c>
      <c r="E19" s="122">
        <f t="shared" si="0"/>
        <v>28.906325771215936</v>
      </c>
      <c r="F19" s="192"/>
    </row>
    <row r="20" spans="1:10" s="75" customFormat="1" outlineLevel="3" x14ac:dyDescent="0.3">
      <c r="A20" s="26" t="str">
        <f>'БазНорм (обр)'!A12</f>
        <v>Журнал: Профильная школа</v>
      </c>
      <c r="B20" s="52">
        <f>'БазНорм (обр)'!C12</f>
        <v>2.4006721882126993E-3</v>
      </c>
      <c r="C20" s="61">
        <f>'БазНорм (обр)'!J12</f>
        <v>1</v>
      </c>
      <c r="D20" s="122">
        <f>'БазНорм (обр)'!K12</f>
        <v>2385.61</v>
      </c>
      <c r="E20" s="122">
        <f t="shared" si="0"/>
        <v>5.7270675789220977</v>
      </c>
      <c r="F20" s="192"/>
    </row>
    <row r="21" spans="1:10" s="75" customFormat="1" ht="26" outlineLevel="3" x14ac:dyDescent="0.3">
      <c r="A21" s="26" t="str">
        <f>'БазНорм (обр)'!A13</f>
        <v xml:space="preserve">Журнал: Путешествие на зеленый свет </v>
      </c>
      <c r="B21" s="52">
        <f>'БазНорм (обр)'!C13</f>
        <v>1.2003360941063496E-3</v>
      </c>
      <c r="C21" s="61">
        <f>'БазНорм (обр)'!J13</f>
        <v>1</v>
      </c>
      <c r="D21" s="122">
        <f>'БазНорм (обр)'!K13</f>
        <v>2401.4900000000002</v>
      </c>
      <c r="E21" s="122">
        <f t="shared" si="0"/>
        <v>2.8825951266354579</v>
      </c>
      <c r="F21" s="192"/>
    </row>
    <row r="22" spans="1:10" s="75" customFormat="1" ht="52" outlineLevel="3" x14ac:dyDescent="0.3">
      <c r="A22" s="26" t="str">
        <f>'БазНорм (обр)'!A14</f>
        <v>Журнал: Школа управления образовательным учреждением. опыт. практика. лучшие рещения (+CD)</v>
      </c>
      <c r="B22" s="52">
        <f>'БазНорм (обр)'!C14</f>
        <v>2.4006721882126993E-3</v>
      </c>
      <c r="C22" s="61">
        <f>'БазНорм (обр)'!J14</f>
        <v>1</v>
      </c>
      <c r="D22" s="122">
        <f>'БазНорм (обр)'!K14</f>
        <v>5662.5</v>
      </c>
      <c r="E22" s="122">
        <f t="shared" si="0"/>
        <v>13.593806265754409</v>
      </c>
      <c r="F22" s="192"/>
    </row>
    <row r="23" spans="1:10" s="75" customFormat="1" outlineLevel="3" x14ac:dyDescent="0.3">
      <c r="A23" s="26" t="str">
        <f>'БазНорм (обр)'!A15</f>
        <v>Журнал: Вестник образования</v>
      </c>
      <c r="B23" s="52">
        <f>'БазНорм (обр)'!C15</f>
        <v>1.2003360941063496E-3</v>
      </c>
      <c r="C23" s="61">
        <f>'БазНорм (обр)'!J15</f>
        <v>1</v>
      </c>
      <c r="D23" s="122">
        <f>'БазНорм (обр)'!K15</f>
        <v>1220.5233333333333</v>
      </c>
      <c r="E23" s="122">
        <f t="shared" si="0"/>
        <v>1.4650382106989954</v>
      </c>
      <c r="F23" s="192"/>
    </row>
    <row r="24" spans="1:10" s="75" customFormat="1" outlineLevel="3" x14ac:dyDescent="0.3">
      <c r="A24" s="26" t="str">
        <f>'БазНорм (обр)'!A16</f>
        <v>Учительская газета</v>
      </c>
      <c r="B24" s="52">
        <f>'БазНорм (обр)'!C16</f>
        <v>1.2003360941063496E-3</v>
      </c>
      <c r="C24" s="61">
        <f>'БазНорм (обр)'!J16</f>
        <v>1</v>
      </c>
      <c r="D24" s="122">
        <f>'БазНорм (обр)'!K16</f>
        <v>2217.91</v>
      </c>
      <c r="E24" s="122">
        <f t="shared" si="0"/>
        <v>2.6622374264794137</v>
      </c>
      <c r="F24" s="192"/>
    </row>
    <row r="25" spans="1:10" s="75" customFormat="1" ht="26" outlineLevel="3" x14ac:dyDescent="0.3">
      <c r="A25" s="26" t="str">
        <f>'БазНорм (обр)'!A17</f>
        <v>Журнал: Управление современной школой. завуч.</v>
      </c>
      <c r="B25" s="52">
        <f>'БазНорм (обр)'!C17</f>
        <v>1.2003360941063496E-3</v>
      </c>
      <c r="C25" s="61">
        <f>'БазНорм (обр)'!J17</f>
        <v>1</v>
      </c>
      <c r="D25" s="122">
        <f>'БазНорм (обр)'!K17</f>
        <v>2938.6333333333332</v>
      </c>
      <c r="E25" s="122">
        <f t="shared" si="0"/>
        <v>3.5273476573440559</v>
      </c>
      <c r="F25" s="192"/>
    </row>
    <row r="26" spans="1:10" s="75" customFormat="1" ht="39" outlineLevel="3" x14ac:dyDescent="0.3">
      <c r="A26" s="26" t="str">
        <f>'БазНорм (обр)'!A18</f>
        <v>Журнал: Управление образовательным учреждением в вопросах и ответах</v>
      </c>
      <c r="B26" s="52">
        <f>'БазНорм (обр)'!C18</f>
        <v>1.2003360941063496E-3</v>
      </c>
      <c r="C26" s="61">
        <f>'БазНорм (обр)'!J18</f>
        <v>1</v>
      </c>
      <c r="D26" s="122">
        <f>'БазНорм (обр)'!K18</f>
        <v>5111.956666666666</v>
      </c>
      <c r="E26" s="122">
        <f t="shared" si="0"/>
        <v>6.1360660985075803</v>
      </c>
      <c r="F26" s="192"/>
    </row>
    <row r="27" spans="1:10" s="75" customFormat="1" outlineLevel="3" x14ac:dyDescent="0.3">
      <c r="A27" s="26" t="str">
        <f>'БазНорм (обр)'!A19</f>
        <v>Журнал: Лучик</v>
      </c>
      <c r="B27" s="52">
        <f>'БазНорм (обр)'!C19</f>
        <v>1.2003360941063496E-3</v>
      </c>
      <c r="C27" s="61">
        <f>'БазНорм (обр)'!J19</f>
        <v>1</v>
      </c>
      <c r="D27" s="122">
        <f>'БазНорм (обр)'!K19</f>
        <v>2481.1133333333332</v>
      </c>
      <c r="E27" s="122">
        <f t="shared" si="0"/>
        <v>2.9781698875685185</v>
      </c>
      <c r="F27" s="192"/>
    </row>
    <row r="28" spans="1:10" s="75" customFormat="1" outlineLevel="3" x14ac:dyDescent="0.3">
      <c r="A28" s="26" t="str">
        <f>'БазНорм (обр)'!A20</f>
        <v>Журнал: Дефектология</v>
      </c>
      <c r="B28" s="52">
        <f>'БазНорм (обр)'!C20</f>
        <v>0</v>
      </c>
      <c r="C28" s="61">
        <f>'БазНорм (обр)'!J20</f>
        <v>1</v>
      </c>
      <c r="D28" s="122">
        <f>'БазНорм (обр)'!K20</f>
        <v>4152.8633333333337</v>
      </c>
      <c r="E28" s="122">
        <f t="shared" si="0"/>
        <v>0</v>
      </c>
      <c r="F28" s="192"/>
    </row>
    <row r="29" spans="1:10" s="75" customFormat="1" outlineLevel="3" x14ac:dyDescent="0.3">
      <c r="A29" s="26" t="str">
        <f>'БазНорм (обр)'!A21</f>
        <v>Журнал: Лена рукоделия</v>
      </c>
      <c r="B29" s="52">
        <f>'БазНорм (обр)'!C21</f>
        <v>0</v>
      </c>
      <c r="C29" s="61">
        <f>'БазНорм (обр)'!J21</f>
        <v>1</v>
      </c>
      <c r="D29" s="122">
        <f>'БазНорм (обр)'!K21</f>
        <v>650.57000000000005</v>
      </c>
      <c r="E29" s="122">
        <f t="shared" si="0"/>
        <v>0</v>
      </c>
      <c r="F29" s="192"/>
    </row>
    <row r="30" spans="1:10" s="75" customFormat="1" ht="26" outlineLevel="3" x14ac:dyDescent="0.3">
      <c r="A30" s="26" t="str">
        <f>'БазНорм (обр)'!A22</f>
        <v>Нормативные документы образовательного учреждения</v>
      </c>
      <c r="B30" s="52">
        <f>'БазНорм (обр)'!C22</f>
        <v>1.2003360941063496E-3</v>
      </c>
      <c r="C30" s="61">
        <f>'БазНорм (обр)'!J22</f>
        <v>1</v>
      </c>
      <c r="D30" s="122">
        <f>'БазНорм (обр)'!K22</f>
        <v>3898.5533333333333</v>
      </c>
      <c r="E30" s="122">
        <f t="shared" si="0"/>
        <v>4.6795742807986231</v>
      </c>
      <c r="F30" s="192"/>
    </row>
    <row r="31" spans="1:10" s="75" customFormat="1" ht="26" outlineLevel="3" x14ac:dyDescent="0.3">
      <c r="A31" s="26" t="str">
        <f>'БазНорм (обр)'!A23</f>
        <v>Журнал: Практика работы в школе</v>
      </c>
      <c r="B31" s="52">
        <f>'БазНорм (обр)'!C23</f>
        <v>0</v>
      </c>
      <c r="C31" s="61">
        <f>'БазНорм (обр)'!J23</f>
        <v>1</v>
      </c>
      <c r="D31" s="122">
        <f>'БазНорм (обр)'!K23</f>
        <v>2880.0966666666668</v>
      </c>
      <c r="E31" s="122">
        <f t="shared" si="0"/>
        <v>0</v>
      </c>
      <c r="F31" s="192"/>
    </row>
    <row r="32" spans="1:10" s="75" customFormat="1" ht="26" outlineLevel="3" x14ac:dyDescent="0.3">
      <c r="A32" s="26" t="str">
        <f>'БазНорм (обр)'!A24</f>
        <v>Журнал: Профессиональная библиотека</v>
      </c>
      <c r="B32" s="52">
        <f>'БазНорм (обр)'!C24</f>
        <v>0</v>
      </c>
      <c r="C32" s="61">
        <f>'БазНорм (обр)'!J24</f>
        <v>1</v>
      </c>
      <c r="D32" s="122">
        <f>'БазНорм (обр)'!K24</f>
        <v>1519.4233333333334</v>
      </c>
      <c r="E32" s="122">
        <f t="shared" si="0"/>
        <v>0</v>
      </c>
      <c r="F32" s="192"/>
    </row>
    <row r="33" spans="1:6" s="75" customFormat="1" outlineLevel="3" x14ac:dyDescent="0.3">
      <c r="A33" s="26" t="str">
        <f>'БазНорм (обр)'!A25</f>
        <v>Справочник руководителя</v>
      </c>
      <c r="B33" s="52">
        <f>'БазНорм (обр)'!C25</f>
        <v>1.2003360941063496E-3</v>
      </c>
      <c r="C33" s="61">
        <f>'БазНорм (обр)'!J25</f>
        <v>1</v>
      </c>
      <c r="D33" s="122">
        <f>'БазНорм (обр)'!K25</f>
        <v>5374.4366666666665</v>
      </c>
      <c r="E33" s="122">
        <f t="shared" si="0"/>
        <v>6.4511303164886158</v>
      </c>
      <c r="F33" s="192"/>
    </row>
    <row r="34" spans="1:6" s="75" customFormat="1" ht="26" outlineLevel="3" x14ac:dyDescent="0.3">
      <c r="A34" s="26" t="str">
        <f>'БазНорм (обр)'!A26</f>
        <v>Юридический журнал директора школы</v>
      </c>
      <c r="B34" s="52">
        <f>'БазНорм (обр)'!C26</f>
        <v>1.2003360941063496E-3</v>
      </c>
      <c r="C34" s="61">
        <f>'БазНорм (обр)'!J26</f>
        <v>1</v>
      </c>
      <c r="D34" s="122">
        <f>'БазНорм (обр)'!K26</f>
        <v>2784.8700000000003</v>
      </c>
      <c r="E34" s="122">
        <f t="shared" si="0"/>
        <v>3.3427799783939505</v>
      </c>
      <c r="F34" s="192"/>
    </row>
    <row r="35" spans="1:6" s="75" customFormat="1" outlineLevel="3" x14ac:dyDescent="0.3">
      <c r="A35" s="26" t="str">
        <f>'БазНорм (обр)'!A27</f>
        <v xml:space="preserve">Детская энциклопедия </v>
      </c>
      <c r="B35" s="52">
        <f>'БазНорм (обр)'!C27</f>
        <v>0</v>
      </c>
      <c r="C35" s="61">
        <f>'БазНорм (обр)'!J27</f>
        <v>1</v>
      </c>
      <c r="D35" s="122">
        <f>'БазНорм (обр)'!K27</f>
        <v>675.24000000000012</v>
      </c>
      <c r="E35" s="122">
        <f t="shared" si="0"/>
        <v>0</v>
      </c>
      <c r="F35" s="192"/>
    </row>
    <row r="36" spans="1:6" s="75" customFormat="1" ht="26" outlineLevel="3" x14ac:dyDescent="0.3">
      <c r="A36" s="26" t="str">
        <f>'БазНорм (обр)'!A28</f>
        <v>Журнал: Добрая дорога детства</v>
      </c>
      <c r="B36" s="52">
        <f>'БазНорм (обр)'!C28</f>
        <v>0</v>
      </c>
      <c r="C36" s="61">
        <f>'БазНорм (обр)'!J28</f>
        <v>1</v>
      </c>
      <c r="D36" s="122">
        <f>'БазНорм (обр)'!K28</f>
        <v>483.35999999999996</v>
      </c>
      <c r="E36" s="122">
        <f t="shared" si="0"/>
        <v>0</v>
      </c>
      <c r="F36" s="192"/>
    </row>
    <row r="37" spans="1:6" s="75" customFormat="1" ht="26" outlineLevel="3" x14ac:dyDescent="0.3">
      <c r="A37" s="26" t="str">
        <f>'БазНорм (обр)'!A29</f>
        <v>Справочник классного руководителя</v>
      </c>
      <c r="B37" s="52">
        <f>'БазНорм (обр)'!C29</f>
        <v>0</v>
      </c>
      <c r="C37" s="61">
        <f>'БазНорм (обр)'!J29</f>
        <v>1</v>
      </c>
      <c r="D37" s="122">
        <f>'БазНорм (обр)'!K29</f>
        <v>3829.6933333333332</v>
      </c>
      <c r="E37" s="122">
        <f t="shared" si="0"/>
        <v>0</v>
      </c>
      <c r="F37" s="192"/>
    </row>
    <row r="38" spans="1:6" s="75" customFormat="1" ht="26" outlineLevel="3" x14ac:dyDescent="0.3">
      <c r="A38" s="26" t="str">
        <f>'БазНорм (обр)'!A30</f>
        <v>Справочник заместителя директора школы</v>
      </c>
      <c r="B38" s="52">
        <f>'БазНорм (обр)'!C30</f>
        <v>1.2003360941063496E-3</v>
      </c>
      <c r="C38" s="61">
        <f>'БазНорм (обр)'!J30</f>
        <v>1</v>
      </c>
      <c r="D38" s="122">
        <f>'БазНорм (обр)'!K30</f>
        <v>8785.5866666666661</v>
      </c>
      <c r="E38" s="122">
        <f t="shared" si="0"/>
        <v>10.54565678389949</v>
      </c>
      <c r="F38" s="192"/>
    </row>
    <row r="39" spans="1:6" s="75" customFormat="1" outlineLevel="3" x14ac:dyDescent="0.3">
      <c r="A39" s="26" t="str">
        <f>'БазНорм (обр)'!A31</f>
        <v>Журнал: Школьный психолог</v>
      </c>
      <c r="B39" s="52">
        <f>'БазНорм (обр)'!C31</f>
        <v>0</v>
      </c>
      <c r="C39" s="61">
        <f>'БазНорм (обр)'!J31</f>
        <v>1</v>
      </c>
      <c r="D39" s="122">
        <f>'БазНорм (обр)'!K31</f>
        <v>2492.1033333333335</v>
      </c>
      <c r="E39" s="122">
        <f t="shared" si="0"/>
        <v>0</v>
      </c>
      <c r="F39" s="192"/>
    </row>
    <row r="40" spans="1:6" s="75" customFormat="1" outlineLevel="3" x14ac:dyDescent="0.3">
      <c r="A40" s="26" t="str">
        <f>'БазНорм (обр)'!A32</f>
        <v>Журнал: Последний звонок</v>
      </c>
      <c r="B40" s="52">
        <f>'БазНорм (обр)'!C32</f>
        <v>0</v>
      </c>
      <c r="C40" s="61">
        <f>'БазНорм (обр)'!J32</f>
        <v>1</v>
      </c>
      <c r="D40" s="122">
        <f>'БазНорм (обр)'!K32</f>
        <v>243.67999999999998</v>
      </c>
      <c r="E40" s="122">
        <f t="shared" si="0"/>
        <v>0</v>
      </c>
      <c r="F40" s="192"/>
    </row>
    <row r="41" spans="1:6" s="75" customFormat="1" outlineLevel="3" x14ac:dyDescent="0.3">
      <c r="A41" s="26" t="str">
        <f>'БазНорм (обр)'!A33</f>
        <v>Журнал: Шишкин лес</v>
      </c>
      <c r="B41" s="52">
        <f>'БазНорм (обр)'!C33</f>
        <v>0</v>
      </c>
      <c r="C41" s="61">
        <f>'БазНорм (обр)'!J33</f>
        <v>1</v>
      </c>
      <c r="D41" s="122">
        <f>'БазНорм (обр)'!K33</f>
        <v>729.63</v>
      </c>
      <c r="E41" s="122">
        <f t="shared" si="0"/>
        <v>0</v>
      </c>
      <c r="F41" s="192"/>
    </row>
    <row r="42" spans="1:6" s="75" customFormat="1" outlineLevel="3" x14ac:dyDescent="0.3">
      <c r="A42" s="26" t="str">
        <f>'БазНорм (обр)'!A34</f>
        <v>Журнал: ГЕОленок</v>
      </c>
      <c r="B42" s="52">
        <f>'БазНорм (обр)'!C34</f>
        <v>0</v>
      </c>
      <c r="C42" s="61">
        <f>'БазНорм (обр)'!J34</f>
        <v>1</v>
      </c>
      <c r="D42" s="122">
        <f>'БазНорм (обр)'!K34</f>
        <v>975.71333333333325</v>
      </c>
      <c r="E42" s="122">
        <f t="shared" si="0"/>
        <v>0</v>
      </c>
      <c r="F42" s="192"/>
    </row>
    <row r="43" spans="1:6" s="75" customFormat="1" outlineLevel="3" x14ac:dyDescent="0.3">
      <c r="A43" s="26" t="str">
        <f>'БазНорм (обр)'!A35</f>
        <v>Журнал: Добрята</v>
      </c>
      <c r="B43" s="52">
        <f>'БазНорм (обр)'!C35</f>
        <v>0</v>
      </c>
      <c r="C43" s="61">
        <f>'БазНорм (обр)'!J35</f>
        <v>1</v>
      </c>
      <c r="D43" s="122">
        <f>'БазНорм (обр)'!K35</f>
        <v>555.23333333333323</v>
      </c>
      <c r="E43" s="122">
        <f t="shared" si="0"/>
        <v>0</v>
      </c>
      <c r="F43" s="192"/>
    </row>
    <row r="44" spans="1:6" s="75" customFormat="1" outlineLevel="3" x14ac:dyDescent="0.3">
      <c r="A44" s="26" t="str">
        <f>'БазНорм (обр)'!A36</f>
        <v>Журнал: Бумеранг</v>
      </c>
      <c r="B44" s="52">
        <f>'БазНорм (обр)'!C36</f>
        <v>0</v>
      </c>
      <c r="C44" s="61">
        <f>'БазНорм (обр)'!J36</f>
        <v>1</v>
      </c>
      <c r="D44" s="122">
        <f>'БазНорм (обр)'!K36</f>
        <v>1560.5833333333333</v>
      </c>
      <c r="E44" s="122">
        <f t="shared" si="0"/>
        <v>0</v>
      </c>
      <c r="F44" s="192"/>
    </row>
    <row r="45" spans="1:6" s="75" customFormat="1" outlineLevel="3" x14ac:dyDescent="0.3">
      <c r="A45" s="26" t="str">
        <f>'БазНорм (обр)'!A37</f>
        <v>Журнал :Веселые животные</v>
      </c>
      <c r="B45" s="52">
        <f>'БазНорм (обр)'!C37</f>
        <v>0</v>
      </c>
      <c r="C45" s="61">
        <f>'БазНорм (обр)'!J37</f>
        <v>1</v>
      </c>
      <c r="D45" s="122">
        <f>'БазНорм (обр)'!K37</f>
        <v>786.48666666666668</v>
      </c>
      <c r="E45" s="122">
        <f t="shared" si="0"/>
        <v>0</v>
      </c>
      <c r="F45" s="192"/>
    </row>
    <row r="46" spans="1:6" s="75" customFormat="1" outlineLevel="3" x14ac:dyDescent="0.3">
      <c r="A46" s="26" t="str">
        <f>'БазНорм (обр)'!A38</f>
        <v>Журнал: Весёлый затейник</v>
      </c>
      <c r="B46" s="52">
        <f>'БазНорм (обр)'!C38</f>
        <v>0</v>
      </c>
      <c r="C46" s="61">
        <f>'БазНорм (обр)'!J38</f>
        <v>1</v>
      </c>
      <c r="D46" s="122">
        <f>'БазНорм (обр)'!K38</f>
        <v>488.7833333333333</v>
      </c>
      <c r="E46" s="122">
        <f t="shared" si="0"/>
        <v>0</v>
      </c>
      <c r="F46" s="192"/>
    </row>
    <row r="47" spans="1:6" s="75" customFormat="1" outlineLevel="3" x14ac:dyDescent="0.3">
      <c r="A47" s="26" t="str">
        <f>'БазНорм (обр)'!A39</f>
        <v>Журнал: Все звёзды</v>
      </c>
      <c r="B47" s="52">
        <f>'БазНорм (обр)'!C39</f>
        <v>0</v>
      </c>
      <c r="C47" s="61">
        <f>'БазНорм (обр)'!J39</f>
        <v>1</v>
      </c>
      <c r="D47" s="122">
        <f>'БазНорм (обр)'!K39</f>
        <v>1488.61</v>
      </c>
      <c r="E47" s="122">
        <f t="shared" si="0"/>
        <v>0</v>
      </c>
      <c r="F47" s="192"/>
    </row>
    <row r="48" spans="1:6" s="75" customFormat="1" ht="26" outlineLevel="3" x14ac:dyDescent="0.3">
      <c r="A48" s="26" t="str">
        <f>'БазНорм (обр)'!A40</f>
        <v>Журнал: Девчонки-мальчишки. Школа ремесел</v>
      </c>
      <c r="B48" s="52">
        <f>'БазНорм (обр)'!C40</f>
        <v>0</v>
      </c>
      <c r="C48" s="61">
        <f>'БазНорм (обр)'!J40</f>
        <v>1</v>
      </c>
      <c r="D48" s="122">
        <f>'БазНорм (обр)'!K40</f>
        <v>2156.1133333333332</v>
      </c>
      <c r="E48" s="122">
        <f t="shared" si="0"/>
        <v>0</v>
      </c>
      <c r="F48" s="192"/>
    </row>
    <row r="49" spans="1:6" s="75" customFormat="1" ht="26" outlineLevel="3" x14ac:dyDescent="0.3">
      <c r="A49" s="26" t="str">
        <f>'БазНорм (обр)'!A41</f>
        <v>Журнал: Управление современной школой</v>
      </c>
      <c r="B49" s="52">
        <f>'БазНорм (обр)'!C41</f>
        <v>0</v>
      </c>
      <c r="C49" s="61">
        <f>'БазНорм (обр)'!J41</f>
        <v>1</v>
      </c>
      <c r="D49" s="122">
        <f>'БазНорм (обр)'!K41</f>
        <v>1364.0166666666667</v>
      </c>
      <c r="E49" s="122">
        <f t="shared" si="0"/>
        <v>0</v>
      </c>
      <c r="F49" s="192"/>
    </row>
    <row r="50" spans="1:6" s="75" customFormat="1" outlineLevel="3" x14ac:dyDescent="0.3">
      <c r="A50" s="26" t="str">
        <f>'БазНорм (обр)'!A42</f>
        <v>Журнал : Клёпа</v>
      </c>
      <c r="B50" s="52">
        <f>'БазНорм (обр)'!C42</f>
        <v>0</v>
      </c>
      <c r="C50" s="61">
        <f>'БазНорм (обр)'!J42</f>
        <v>1</v>
      </c>
      <c r="D50" s="122">
        <f>'БазНорм (обр)'!K42</f>
        <v>1301.9666666666667</v>
      </c>
      <c r="E50" s="122">
        <f t="shared" si="0"/>
        <v>0</v>
      </c>
      <c r="F50" s="192"/>
    </row>
    <row r="51" spans="1:6" s="75" customFormat="1" outlineLevel="3" x14ac:dyDescent="0.3">
      <c r="A51" s="26" t="str">
        <f>'БазНорм (обр)'!A43</f>
        <v>Журнал: Компьютер MOUSE</v>
      </c>
      <c r="B51" s="52">
        <f>'БазНорм (обр)'!C43</f>
        <v>0</v>
      </c>
      <c r="C51" s="61">
        <f>'БазНорм (обр)'!J43</f>
        <v>1</v>
      </c>
      <c r="D51" s="122">
        <f>'БазНорм (обр)'!K43</f>
        <v>891.30333333333328</v>
      </c>
      <c r="E51" s="122">
        <f t="shared" si="0"/>
        <v>0</v>
      </c>
      <c r="F51" s="192"/>
    </row>
    <row r="52" spans="1:6" s="75" customFormat="1" outlineLevel="3" x14ac:dyDescent="0.3">
      <c r="A52" s="26" t="str">
        <f>'БазНорм (обр)'!A44</f>
        <v>Журнал: Спасайкин</v>
      </c>
      <c r="B52" s="52">
        <f>'БазНорм (обр)'!C44</f>
        <v>1.2003360941063496E-3</v>
      </c>
      <c r="C52" s="61">
        <f>'БазНорм (обр)'!J44</f>
        <v>1</v>
      </c>
      <c r="D52" s="122">
        <f>'БазНорм (обр)'!K44</f>
        <v>1569.04</v>
      </c>
      <c r="E52" s="122">
        <f t="shared" si="0"/>
        <v>1.8833753450966269</v>
      </c>
      <c r="F52" s="192"/>
    </row>
    <row r="53" spans="1:6" s="75" customFormat="1" ht="26" outlineLevel="3" x14ac:dyDescent="0.3">
      <c r="A53" s="26" t="str">
        <f>'БазНорм (обр)'!A45</f>
        <v>Журнал: Мир техники для детей</v>
      </c>
      <c r="B53" s="52">
        <f>'БазНорм (обр)'!C45</f>
        <v>0</v>
      </c>
      <c r="C53" s="61">
        <f>'БазНорм (обр)'!J45</f>
        <v>1</v>
      </c>
      <c r="D53" s="122">
        <f>'БазНорм (обр)'!K45</f>
        <v>1734.6766666666665</v>
      </c>
      <c r="E53" s="122">
        <f t="shared" si="0"/>
        <v>0</v>
      </c>
      <c r="F53" s="192"/>
    </row>
    <row r="54" spans="1:6" s="75" customFormat="1" outlineLevel="3" x14ac:dyDescent="0.3">
      <c r="A54" s="26" t="str">
        <f>'БазНорм (обр)'!A46</f>
        <v>Журнал: Читайка</v>
      </c>
      <c r="B54" s="52">
        <f>'БазНорм (обр)'!C46</f>
        <v>0</v>
      </c>
      <c r="C54" s="61">
        <f>'БазНорм (обр)'!J46</f>
        <v>1</v>
      </c>
      <c r="D54" s="122">
        <f>'БазНорм (обр)'!K46</f>
        <v>2052.0733333333333</v>
      </c>
      <c r="E54" s="122">
        <f t="shared" si="0"/>
        <v>0</v>
      </c>
      <c r="F54" s="192"/>
    </row>
    <row r="55" spans="1:6" s="75" customFormat="1" ht="26" outlineLevel="3" x14ac:dyDescent="0.3">
      <c r="A55" s="26" t="str">
        <f>'БазНорм (обр)'!A47</f>
        <v>Журнал: Чудеса и приключения-детям-ЧИП</v>
      </c>
      <c r="B55" s="52">
        <f>'БазНорм (обр)'!C47</f>
        <v>0</v>
      </c>
      <c r="C55" s="61">
        <f>'БазНорм (обр)'!J47</f>
        <v>1</v>
      </c>
      <c r="D55" s="122">
        <f>'БазНорм (обр)'!K47</f>
        <v>690.03333333333342</v>
      </c>
      <c r="E55" s="122">
        <f t="shared" si="0"/>
        <v>0</v>
      </c>
      <c r="F55" s="192"/>
    </row>
    <row r="56" spans="1:6" s="75" customFormat="1" outlineLevel="3" x14ac:dyDescent="0.3">
      <c r="A56" s="26" t="str">
        <f>'БазНорм (обр)'!A48</f>
        <v>Журнал: Юный краевед</v>
      </c>
      <c r="B56" s="52">
        <f>'БазНорм (обр)'!C48</f>
        <v>0</v>
      </c>
      <c r="C56" s="61">
        <f>'БазНорм (обр)'!J48</f>
        <v>1</v>
      </c>
      <c r="D56" s="122">
        <f>'БазНорм (обр)'!K48</f>
        <v>1650.9000000000003</v>
      </c>
      <c r="E56" s="122">
        <f t="shared" si="0"/>
        <v>0</v>
      </c>
      <c r="F56" s="192"/>
    </row>
    <row r="57" spans="1:6" s="75" customFormat="1" outlineLevel="3" x14ac:dyDescent="0.3">
      <c r="A57" s="26" t="str">
        <f>'БазНорм (обр)'!A49</f>
        <v>Журнал: Игровая библиотека</v>
      </c>
      <c r="B57" s="52">
        <f>'БазНорм (обр)'!C49</f>
        <v>0</v>
      </c>
      <c r="C57" s="61">
        <f>'БазНорм (обр)'!J49</f>
        <v>1</v>
      </c>
      <c r="D57" s="122">
        <f>'БазНорм (обр)'!K49</f>
        <v>1969.9599999999998</v>
      </c>
      <c r="E57" s="122">
        <f t="shared" si="0"/>
        <v>0</v>
      </c>
      <c r="F57" s="192"/>
    </row>
    <row r="58" spans="1:6" s="75" customFormat="1" ht="26" outlineLevel="3" x14ac:dyDescent="0.3">
      <c r="A58" s="26" t="str">
        <f>'БазНорм (обр)'!A50</f>
        <v>Журнал: Школа и производство</v>
      </c>
      <c r="B58" s="52">
        <f>'БазНорм (обр)'!C50</f>
        <v>0</v>
      </c>
      <c r="C58" s="61">
        <f>'БазНорм (обр)'!J50</f>
        <v>1</v>
      </c>
      <c r="D58" s="122">
        <f>'БазНорм (обр)'!K50</f>
        <v>5537.1500000000005</v>
      </c>
      <c r="E58" s="122">
        <f t="shared" si="0"/>
        <v>0</v>
      </c>
      <c r="F58" s="192"/>
    </row>
    <row r="59" spans="1:6" s="75" customFormat="1" outlineLevel="3" x14ac:dyDescent="0.3">
      <c r="A59" s="26" t="str">
        <f>'БазНорм (обр)'!A51</f>
        <v>Журнал: Веселый урок</v>
      </c>
      <c r="B59" s="52">
        <f>'БазНорм (обр)'!C51</f>
        <v>0</v>
      </c>
      <c r="C59" s="61">
        <f>'БазНорм (обр)'!J51</f>
        <v>1</v>
      </c>
      <c r="D59" s="122">
        <f>'БазНорм (обр)'!K51</f>
        <v>882.0100000000001</v>
      </c>
      <c r="E59" s="122">
        <f t="shared" si="0"/>
        <v>0</v>
      </c>
      <c r="F59" s="192"/>
    </row>
    <row r="60" spans="1:6" s="75" customFormat="1" outlineLevel="3" x14ac:dyDescent="0.3">
      <c r="A60" s="26" t="str">
        <f>'БазНорм (обр)'!A52</f>
        <v>Журнал: ОБЖ</v>
      </c>
      <c r="B60" s="52">
        <f>'БазНорм (обр)'!C52</f>
        <v>0</v>
      </c>
      <c r="C60" s="61">
        <f>'БазНорм (обр)'!J52</f>
        <v>1</v>
      </c>
      <c r="D60" s="122">
        <f>'БазНорм (обр)'!K52</f>
        <v>866.4</v>
      </c>
      <c r="E60" s="122">
        <f t="shared" si="0"/>
        <v>0</v>
      </c>
      <c r="F60" s="192"/>
    </row>
    <row r="61" spans="1:6" s="75" customFormat="1" outlineLevel="3" x14ac:dyDescent="0.3">
      <c r="A61" s="26" t="str">
        <f>'БазНорм (обр)'!A53</f>
        <v>Журнал: Мурзилка</v>
      </c>
      <c r="B61" s="52">
        <f>'БазНорм (обр)'!C53</f>
        <v>0</v>
      </c>
      <c r="C61" s="61">
        <f>'БазНорм (обр)'!J53</f>
        <v>1</v>
      </c>
      <c r="D61" s="122">
        <f>'БазНорм (обр)'!K53</f>
        <v>950.5100000000001</v>
      </c>
      <c r="E61" s="122">
        <f t="shared" si="0"/>
        <v>0</v>
      </c>
      <c r="F61" s="192"/>
    </row>
    <row r="62" spans="1:6" s="75" customFormat="1" outlineLevel="3" x14ac:dyDescent="0.3">
      <c r="A62" s="26" t="str">
        <f>'БазНорм (обр)'!A54</f>
        <v>Журнал: Юный эрудит</v>
      </c>
      <c r="B62" s="52">
        <f>'БазНорм (обр)'!C54</f>
        <v>0</v>
      </c>
      <c r="C62" s="61">
        <f>'БазНорм (обр)'!J54</f>
        <v>1</v>
      </c>
      <c r="D62" s="122">
        <f>'БазНорм (обр)'!K54</f>
        <v>436.38333333333338</v>
      </c>
      <c r="E62" s="122">
        <f t="shared" si="0"/>
        <v>0</v>
      </c>
      <c r="F62" s="192"/>
    </row>
    <row r="63" spans="1:6" s="75" customFormat="1" outlineLevel="3" x14ac:dyDescent="0.3">
      <c r="A63" s="26" t="str">
        <f>'БазНорм (обр)'!A55</f>
        <v>Журнал: Педсовет</v>
      </c>
      <c r="B63" s="52">
        <f>'БазНорм (обр)'!C55</f>
        <v>0</v>
      </c>
      <c r="C63" s="61">
        <f>'БазНорм (обр)'!J55</f>
        <v>1</v>
      </c>
      <c r="D63" s="122">
        <f>'БазНорм (обр)'!K55</f>
        <v>238.34</v>
      </c>
      <c r="E63" s="122">
        <f t="shared" si="0"/>
        <v>0</v>
      </c>
      <c r="F63" s="192"/>
    </row>
    <row r="64" spans="1:6" s="75" customFormat="1" outlineLevel="3" x14ac:dyDescent="0.3">
      <c r="A64" s="26" t="str">
        <f>'БазНорм (обр)'!A56</f>
        <v>Журнал: Методист</v>
      </c>
      <c r="B64" s="52">
        <f>'БазНорм (обр)'!C56</f>
        <v>0</v>
      </c>
      <c r="C64" s="61">
        <f>'БазНорм (обр)'!J56</f>
        <v>1</v>
      </c>
      <c r="D64" s="122">
        <f>'БазНорм (обр)'!K56</f>
        <v>1476.32</v>
      </c>
      <c r="E64" s="122">
        <f t="shared" si="0"/>
        <v>0</v>
      </c>
      <c r="F64" s="192"/>
    </row>
    <row r="65" spans="1:6" s="75" customFormat="1" outlineLevel="3" x14ac:dyDescent="0.3">
      <c r="A65" s="26" t="str">
        <f>'БазНорм (обр)'!A57</f>
        <v>Журнал: Огонек</v>
      </c>
      <c r="B65" s="52">
        <f>'БазНорм (обр)'!C57</f>
        <v>0</v>
      </c>
      <c r="C65" s="61">
        <f>'БазНорм (обр)'!J57</f>
        <v>1</v>
      </c>
      <c r="D65" s="122">
        <f>'БазНорм (обр)'!K57</f>
        <v>806.31666666666661</v>
      </c>
      <c r="E65" s="122">
        <f t="shared" si="0"/>
        <v>0</v>
      </c>
      <c r="F65" s="192"/>
    </row>
    <row r="66" spans="1:6" s="75" customFormat="1" outlineLevel="3" x14ac:dyDescent="0.3">
      <c r="A66" s="26" t="str">
        <f>'БазНорм (обр)'!A58</f>
        <v>Журнал: Отчего и почему</v>
      </c>
      <c r="B66" s="52">
        <f>'БазНорм (обр)'!C58</f>
        <v>0</v>
      </c>
      <c r="C66" s="61">
        <f>'БазНорм (обр)'!J58</f>
        <v>1</v>
      </c>
      <c r="D66" s="122">
        <f>'БазНорм (обр)'!K58</f>
        <v>901.74333333333334</v>
      </c>
      <c r="E66" s="122">
        <f t="shared" si="0"/>
        <v>0</v>
      </c>
      <c r="F66" s="192"/>
    </row>
    <row r="67" spans="1:6" s="76" customFormat="1" outlineLevel="2" x14ac:dyDescent="0.3">
      <c r="A67" s="33" t="s">
        <v>478</v>
      </c>
      <c r="B67" s="51" t="s">
        <v>3</v>
      </c>
      <c r="C67" s="50" t="s">
        <v>3</v>
      </c>
      <c r="D67" s="123" t="s">
        <v>3</v>
      </c>
      <c r="E67" s="123">
        <f>SUM(E68:E84)</f>
        <v>0</v>
      </c>
      <c r="F67" s="192"/>
    </row>
    <row r="68" spans="1:6" s="75" customFormat="1" outlineLevel="3" x14ac:dyDescent="0.3">
      <c r="A68" s="26" t="str">
        <f>'БазНорм (обр)'!A60</f>
        <v>Шкаф для документов</v>
      </c>
      <c r="B68" s="52">
        <f>'БазНорм (обр)'!C60</f>
        <v>0</v>
      </c>
      <c r="C68" s="61">
        <f>'БазНорм (обр)'!J60</f>
        <v>5</v>
      </c>
      <c r="D68" s="122">
        <f>'БазНорм (обр)'!K60</f>
        <v>6845</v>
      </c>
      <c r="E68" s="122">
        <f t="shared" si="0"/>
        <v>0</v>
      </c>
      <c r="F68" s="192"/>
    </row>
    <row r="69" spans="1:6" s="75" customFormat="1" outlineLevel="3" x14ac:dyDescent="0.3">
      <c r="A69" s="26" t="str">
        <f>'БазНорм (обр)'!A61</f>
        <v>Шкаф книжный</v>
      </c>
      <c r="B69" s="52">
        <f>'БазНорм (обр)'!C61</f>
        <v>0</v>
      </c>
      <c r="C69" s="61">
        <f>'БазНорм (обр)'!J61</f>
        <v>5</v>
      </c>
      <c r="D69" s="122">
        <f>'БазНорм (обр)'!K61</f>
        <v>4120</v>
      </c>
      <c r="E69" s="122">
        <f t="shared" si="0"/>
        <v>0</v>
      </c>
      <c r="F69" s="192"/>
    </row>
    <row r="70" spans="1:6" s="75" customFormat="1" outlineLevel="3" x14ac:dyDescent="0.3">
      <c r="A70" s="26" t="str">
        <f>'БазНорм (обр)'!A62</f>
        <v>Шкаф под ключи</v>
      </c>
      <c r="B70" s="52">
        <f>'БазНорм (обр)'!C62</f>
        <v>0</v>
      </c>
      <c r="C70" s="61">
        <f>'БазНорм (обр)'!J62</f>
        <v>5</v>
      </c>
      <c r="D70" s="122">
        <f>'БазНорм (обр)'!K62</f>
        <v>1274.6666666666667</v>
      </c>
      <c r="E70" s="122">
        <f t="shared" si="0"/>
        <v>0</v>
      </c>
      <c r="F70" s="192"/>
    </row>
    <row r="71" spans="1:6" s="75" customFormat="1" outlineLevel="3" x14ac:dyDescent="0.3">
      <c r="A71" s="26" t="str">
        <f>'БазНорм (обр)'!A63</f>
        <v>Шкаф для одежды</v>
      </c>
      <c r="B71" s="52">
        <f>'БазНорм (обр)'!C63</f>
        <v>0</v>
      </c>
      <c r="C71" s="61">
        <f>'БазНорм (обр)'!J63</f>
        <v>5</v>
      </c>
      <c r="D71" s="122">
        <f>'БазНорм (обр)'!K63</f>
        <v>8696.6666666666661</v>
      </c>
      <c r="E71" s="122">
        <f t="shared" si="0"/>
        <v>0</v>
      </c>
      <c r="F71" s="192"/>
    </row>
    <row r="72" spans="1:6" s="75" customFormat="1" outlineLevel="3" x14ac:dyDescent="0.3">
      <c r="A72" s="26" t="str">
        <f>'БазНорм (обр)'!A64</f>
        <v>Стеллаж для библиотеки</v>
      </c>
      <c r="B72" s="52">
        <f>'БазНорм (обр)'!C64</f>
        <v>0</v>
      </c>
      <c r="C72" s="61">
        <f>'БазНорм (обр)'!J64</f>
        <v>5</v>
      </c>
      <c r="D72" s="122">
        <f>'БазНорм (обр)'!K64</f>
        <v>3510.16</v>
      </c>
      <c r="E72" s="122">
        <f t="shared" si="0"/>
        <v>0</v>
      </c>
      <c r="F72" s="192"/>
    </row>
    <row r="73" spans="1:6" s="75" customFormat="1" ht="26" outlineLevel="3" x14ac:dyDescent="0.3">
      <c r="A73" s="26" t="str">
        <f>'БазНорм (обр)'!A65</f>
        <v>Стеллаж библиотечный 2х сторон</v>
      </c>
      <c r="B73" s="52">
        <f>'БазНорм (обр)'!C65</f>
        <v>0</v>
      </c>
      <c r="C73" s="61">
        <f>'БазНорм (обр)'!J65</f>
        <v>5</v>
      </c>
      <c r="D73" s="122">
        <f>'БазНорм (обр)'!K65</f>
        <v>9230</v>
      </c>
      <c r="E73" s="122">
        <f t="shared" si="0"/>
        <v>0</v>
      </c>
      <c r="F73" s="192"/>
    </row>
    <row r="74" spans="1:6" s="75" customFormat="1" ht="26" outlineLevel="3" x14ac:dyDescent="0.3">
      <c r="A74" s="26" t="str">
        <f>'БазНорм (обр)'!A66</f>
        <v>Стеллаж библиотечный односторонний</v>
      </c>
      <c r="B74" s="52">
        <f>'БазНорм (обр)'!C66</f>
        <v>0</v>
      </c>
      <c r="C74" s="61">
        <f>'БазНорм (обр)'!J66</f>
        <v>5</v>
      </c>
      <c r="D74" s="122">
        <f>'БазНорм (обр)'!K66</f>
        <v>7546.666666666667</v>
      </c>
      <c r="E74" s="122">
        <f t="shared" si="0"/>
        <v>0</v>
      </c>
      <c r="F74" s="192"/>
    </row>
    <row r="75" spans="1:6" s="75" customFormat="1" outlineLevel="3" x14ac:dyDescent="0.3">
      <c r="A75" s="26" t="str">
        <f>'БазНорм (обр)'!A67</f>
        <v>Полка для раз. досок</v>
      </c>
      <c r="B75" s="52">
        <f>'БазНорм (обр)'!C67</f>
        <v>0</v>
      </c>
      <c r="C75" s="61">
        <f>'БазНорм (обр)'!J67</f>
        <v>5</v>
      </c>
      <c r="D75" s="122">
        <f>'БазНорм (обр)'!K67</f>
        <v>8756.6666666666661</v>
      </c>
      <c r="E75" s="122">
        <f t="shared" si="0"/>
        <v>0</v>
      </c>
      <c r="F75" s="192"/>
    </row>
    <row r="76" spans="1:6" s="75" customFormat="1" outlineLevel="3" x14ac:dyDescent="0.3">
      <c r="A76" s="26" t="str">
        <f>'БазНорм (обр)'!A68</f>
        <v>Доска аудиторная</v>
      </c>
      <c r="B76" s="52">
        <f>'БазНорм (обр)'!C68</f>
        <v>0</v>
      </c>
      <c r="C76" s="61">
        <f>'БазНорм (обр)'!J68</f>
        <v>5</v>
      </c>
      <c r="D76" s="122">
        <f>'БазНорм (обр)'!K68</f>
        <v>3951.0050000000001</v>
      </c>
      <c r="E76" s="122">
        <f t="shared" si="0"/>
        <v>0</v>
      </c>
      <c r="F76" s="192"/>
    </row>
    <row r="77" spans="1:6" s="75" customFormat="1" outlineLevel="3" x14ac:dyDescent="0.3">
      <c r="A77" s="26" t="str">
        <f>'БазНорм (обр)'!A69</f>
        <v>Доска пробковая</v>
      </c>
      <c r="B77" s="52">
        <f>'БазНорм (обр)'!C69</f>
        <v>0</v>
      </c>
      <c r="C77" s="61">
        <f>'БазНорм (обр)'!J69</f>
        <v>5</v>
      </c>
      <c r="D77" s="122">
        <f>'БазНорм (обр)'!K69</f>
        <v>3123.8166666666671</v>
      </c>
      <c r="E77" s="122">
        <f t="shared" si="0"/>
        <v>0</v>
      </c>
      <c r="F77" s="192"/>
    </row>
    <row r="78" spans="1:6" s="75" customFormat="1" outlineLevel="3" x14ac:dyDescent="0.3">
      <c r="A78" s="26" t="str">
        <f>'БазНорм (обр)'!A70</f>
        <v>Стол эргономичный</v>
      </c>
      <c r="B78" s="52">
        <f>'БазНорм (обр)'!C70</f>
        <v>0</v>
      </c>
      <c r="C78" s="61">
        <f>'БазНорм (обр)'!J70</f>
        <v>5</v>
      </c>
      <c r="D78" s="122">
        <f>'БазНорм (обр)'!K70</f>
        <v>2116.6666666666665</v>
      </c>
      <c r="E78" s="122">
        <f t="shared" si="0"/>
        <v>0</v>
      </c>
      <c r="F78" s="192"/>
    </row>
    <row r="79" spans="1:6" s="75" customFormat="1" outlineLevel="3" x14ac:dyDescent="0.3">
      <c r="A79" s="26" t="str">
        <f>'БазНорм (обр)'!A71</f>
        <v>Стол ученический</v>
      </c>
      <c r="B79" s="52">
        <f>'БазНорм (обр)'!C71</f>
        <v>0</v>
      </c>
      <c r="C79" s="61">
        <f>'БазНорм (обр)'!J71</f>
        <v>5</v>
      </c>
      <c r="D79" s="122">
        <f>'БазНорм (обр)'!K71</f>
        <v>2768</v>
      </c>
      <c r="E79" s="122">
        <f t="shared" si="0"/>
        <v>0</v>
      </c>
      <c r="F79" s="192"/>
    </row>
    <row r="80" spans="1:6" s="75" customFormat="1" outlineLevel="3" x14ac:dyDescent="0.3">
      <c r="A80" s="26" t="str">
        <f>'БазНорм (обр)'!A72</f>
        <v>Стул офисный</v>
      </c>
      <c r="B80" s="52">
        <f>'БазНорм (обр)'!C72</f>
        <v>0</v>
      </c>
      <c r="C80" s="61">
        <f>'БазНорм (обр)'!J72</f>
        <v>5</v>
      </c>
      <c r="D80" s="122">
        <f>'БазНорм (обр)'!K72</f>
        <v>1830</v>
      </c>
      <c r="E80" s="122">
        <f t="shared" si="0"/>
        <v>0</v>
      </c>
      <c r="F80" s="192"/>
    </row>
    <row r="81" spans="1:6" s="75" customFormat="1" outlineLevel="3" x14ac:dyDescent="0.3">
      <c r="A81" s="26" t="str">
        <f>'БазНорм (обр)'!A73</f>
        <v>Стул ученический</v>
      </c>
      <c r="B81" s="52">
        <f>'БазНорм (обр)'!C73</f>
        <v>0</v>
      </c>
      <c r="C81" s="61">
        <f>'БазНорм (обр)'!J73</f>
        <v>5</v>
      </c>
      <c r="D81" s="122">
        <f>'БазНорм (обр)'!K73</f>
        <v>1222.5333333333333</v>
      </c>
      <c r="E81" s="122">
        <f t="shared" si="0"/>
        <v>0</v>
      </c>
      <c r="F81" s="192"/>
    </row>
    <row r="82" spans="1:6" s="75" customFormat="1" outlineLevel="3" x14ac:dyDescent="0.3">
      <c r="A82" s="26" t="str">
        <f>'БазНорм (обр)'!A74</f>
        <v>Тумба подкатная</v>
      </c>
      <c r="B82" s="52">
        <f>'БазНорм (обр)'!C74</f>
        <v>0</v>
      </c>
      <c r="C82" s="61">
        <f>'БазНорм (обр)'!J74</f>
        <v>5</v>
      </c>
      <c r="D82" s="122">
        <f>'БазНорм (обр)'!K74</f>
        <v>2782.3333333333335</v>
      </c>
      <c r="E82" s="122">
        <f t="shared" ref="E82:E145" si="1">B82/C82*D82</f>
        <v>0</v>
      </c>
      <c r="F82" s="192"/>
    </row>
    <row r="83" spans="1:6" s="75" customFormat="1" outlineLevel="3" x14ac:dyDescent="0.3">
      <c r="A83" s="26" t="str">
        <f>'БазНорм (обр)'!A75</f>
        <v>Скамейка 3- местная</v>
      </c>
      <c r="B83" s="52">
        <f>'БазНорм (обр)'!C75</f>
        <v>0</v>
      </c>
      <c r="C83" s="61">
        <f>'БазНорм (обр)'!J75</f>
        <v>5</v>
      </c>
      <c r="D83" s="122">
        <f>'БазНорм (обр)'!K75</f>
        <v>2249</v>
      </c>
      <c r="E83" s="122">
        <f t="shared" si="1"/>
        <v>0</v>
      </c>
      <c r="F83" s="192"/>
    </row>
    <row r="84" spans="1:6" s="75" customFormat="1" ht="26" outlineLevel="3" x14ac:dyDescent="0.3">
      <c r="A84" s="26" t="str">
        <f>'БазНорм (обр)'!A76</f>
        <v>Скамья для раздевалок одностопрнняя</v>
      </c>
      <c r="B84" s="52">
        <f>'БазНорм (обр)'!C76</f>
        <v>0</v>
      </c>
      <c r="C84" s="61">
        <f>'БазНорм (обр)'!J76</f>
        <v>5</v>
      </c>
      <c r="D84" s="122">
        <f>'БазНорм (обр)'!K76</f>
        <v>12866.666666666666</v>
      </c>
      <c r="E84" s="122">
        <f t="shared" si="1"/>
        <v>0</v>
      </c>
      <c r="F84" s="192"/>
    </row>
    <row r="85" spans="1:6" s="75" customFormat="1" outlineLevel="2" x14ac:dyDescent="0.3">
      <c r="A85" s="26" t="str">
        <f>'БазНорм (обр)'!A77</f>
        <v>Грамоты</v>
      </c>
      <c r="B85" s="52">
        <f>'БазНорм (обр)'!C77</f>
        <v>1.3323730644580483</v>
      </c>
      <c r="C85" s="61">
        <f>'БазНорм (обр)'!J77</f>
        <v>1</v>
      </c>
      <c r="D85" s="122">
        <f>'БазНорм (обр)'!K77</f>
        <v>18.099999999999998</v>
      </c>
      <c r="E85" s="122">
        <f>B85*D85</f>
        <v>24.115952466690672</v>
      </c>
      <c r="F85" s="192"/>
    </row>
    <row r="86" spans="1:6" s="75" customFormat="1" ht="39" outlineLevel="2" x14ac:dyDescent="0.3">
      <c r="A86" s="26" t="str">
        <f>'БазНорм (обр)'!A78</f>
        <v>Медали "За особые успехи в учении", аттестаты, приложения к аттестату</v>
      </c>
      <c r="B86" s="52">
        <f>'БазНорм (обр)'!C78</f>
        <v>0.23646621053895089</v>
      </c>
      <c r="C86" s="61">
        <f>'БазНорм (обр)'!J78</f>
        <v>1</v>
      </c>
      <c r="D86" s="122">
        <f>'БазНорм (обр)'!K78</f>
        <v>0</v>
      </c>
      <c r="E86" s="122">
        <f>B86*D86</f>
        <v>0</v>
      </c>
      <c r="F86" s="192"/>
    </row>
    <row r="87" spans="1:6" ht="30" customHeight="1" outlineLevel="1" x14ac:dyDescent="0.3">
      <c r="A87" s="183" t="s">
        <v>7</v>
      </c>
      <c r="B87" s="183"/>
      <c r="C87" s="183"/>
      <c r="D87" s="183"/>
      <c r="E87" s="73">
        <f>E88+E91+E95+E103+E143</f>
        <v>1215.9051304007137</v>
      </c>
      <c r="F87" s="192"/>
    </row>
    <row r="88" spans="1:6" s="60" customFormat="1" ht="26" outlineLevel="2" x14ac:dyDescent="0.3">
      <c r="A88" s="33" t="s">
        <v>475</v>
      </c>
      <c r="B88" s="51" t="s">
        <v>3</v>
      </c>
      <c r="C88" s="51" t="s">
        <v>3</v>
      </c>
      <c r="D88" s="73" t="s">
        <v>3</v>
      </c>
      <c r="E88" s="123">
        <f>SUM(E89:E90)</f>
        <v>205.99823853891434</v>
      </c>
      <c r="F88" s="192"/>
    </row>
    <row r="89" spans="1:6" s="60" customFormat="1" outlineLevel="3" collapsed="1" x14ac:dyDescent="0.3">
      <c r="A89" s="26" t="str">
        <f>'БазНорм (обр)'!A81</f>
        <v>Вода питьевая</v>
      </c>
      <c r="B89" s="52">
        <f>'БазНорм (обр)'!C81</f>
        <v>10.568766513697677</v>
      </c>
      <c r="C89" s="61">
        <f>'БазНорм (обр)'!J81</f>
        <v>1</v>
      </c>
      <c r="D89" s="122">
        <f>'БазНорм (обр)'!K81</f>
        <v>13.157894736842104</v>
      </c>
      <c r="E89" s="122">
        <f>B89*D89</f>
        <v>139.06271728549572</v>
      </c>
      <c r="F89" s="192"/>
    </row>
    <row r="90" spans="1:6" s="60" customFormat="1" outlineLevel="3" x14ac:dyDescent="0.3">
      <c r="A90" s="26" t="str">
        <f>'БазНорм (обр)'!A82</f>
        <v>Одноразовые стаканы</v>
      </c>
      <c r="B90" s="52">
        <f>'БазНорм (обр)'!C82</f>
        <v>52.843832568488388</v>
      </c>
      <c r="C90" s="61">
        <f>'БазНорм (обр)'!J82</f>
        <v>1</v>
      </c>
      <c r="D90" s="122">
        <f>'БазНорм (обр)'!K82</f>
        <v>1.2666666666666666</v>
      </c>
      <c r="E90" s="122">
        <f>B90*D90</f>
        <v>66.935521253418628</v>
      </c>
      <c r="F90" s="192"/>
    </row>
    <row r="91" spans="1:6" s="60" customFormat="1" outlineLevel="2" x14ac:dyDescent="0.3">
      <c r="A91" s="33" t="s">
        <v>474</v>
      </c>
      <c r="B91" s="51" t="s">
        <v>3</v>
      </c>
      <c r="C91" s="34" t="s">
        <v>3</v>
      </c>
      <c r="D91" s="73" t="s">
        <v>3</v>
      </c>
      <c r="E91" s="123">
        <f>SUM(E92:E94)</f>
        <v>99.922279392450434</v>
      </c>
      <c r="F91" s="192"/>
    </row>
    <row r="92" spans="1:6" s="60" customFormat="1" outlineLevel="3" x14ac:dyDescent="0.3">
      <c r="A92" s="26" t="str">
        <f>'БазНорм (обр)'!A84</f>
        <v>Антивирус</v>
      </c>
      <c r="B92" s="52">
        <f>'БазНорм (обр)'!C84</f>
        <v>0.13906271728549574</v>
      </c>
      <c r="C92" s="61">
        <f>'БазНорм (обр)'!J84</f>
        <v>1</v>
      </c>
      <c r="D92" s="122">
        <f>'БазНорм (обр)'!K84</f>
        <v>464.32</v>
      </c>
      <c r="E92" s="122">
        <f t="shared" si="1"/>
        <v>64.569600890001382</v>
      </c>
      <c r="F92" s="192"/>
    </row>
    <row r="93" spans="1:6" s="60" customFormat="1" outlineLevel="3" x14ac:dyDescent="0.3">
      <c r="A93" s="26" t="str">
        <f>'БазНорм (обр)'!A85</f>
        <v>WebFiltre UserGate</v>
      </c>
      <c r="B93" s="52">
        <f>'БазНорм (обр)'!C85</f>
        <v>0.13906271728549574</v>
      </c>
      <c r="C93" s="61">
        <f>'БазНорм (обр)'!J85</f>
        <v>1</v>
      </c>
      <c r="D93" s="122">
        <f>'БазНорм (обр)'!K85</f>
        <v>238.88777777777776</v>
      </c>
      <c r="E93" s="122">
        <f t="shared" si="1"/>
        <v>33.220383504071442</v>
      </c>
      <c r="F93" s="192"/>
    </row>
    <row r="94" spans="1:6" s="60" customFormat="1" ht="26" outlineLevel="3" x14ac:dyDescent="0.3">
      <c r="A94" s="26" t="str">
        <f>'БазНорм (обр)'!A86</f>
        <v>Сопровождение ПО Vipnet Client</v>
      </c>
      <c r="B94" s="52">
        <f>'БазНорм (обр)'!C86</f>
        <v>1.3906271728549575E-3</v>
      </c>
      <c r="C94" s="61">
        <f>'БазНорм (обр)'!J86</f>
        <v>1</v>
      </c>
      <c r="D94" s="122">
        <f>'БазНорм (обр)'!K86</f>
        <v>1533.3333333333333</v>
      </c>
      <c r="E94" s="122">
        <f t="shared" si="1"/>
        <v>2.1322949983776014</v>
      </c>
      <c r="F94" s="192"/>
    </row>
    <row r="95" spans="1:6" s="60" customFormat="1" ht="26" outlineLevel="2" x14ac:dyDescent="0.3">
      <c r="A95" s="33" t="s">
        <v>65</v>
      </c>
      <c r="B95" s="51" t="s">
        <v>3</v>
      </c>
      <c r="C95" s="34" t="s">
        <v>3</v>
      </c>
      <c r="D95" s="73" t="s">
        <v>3</v>
      </c>
      <c r="E95" s="123">
        <f>SUM(E96:E102)</f>
        <v>610.75159169374228</v>
      </c>
      <c r="F95" s="192"/>
    </row>
    <row r="96" spans="1:6" s="60" customFormat="1" outlineLevel="3" x14ac:dyDescent="0.3">
      <c r="A96" s="26" t="str">
        <f>'БазНорм (обр)'!A88</f>
        <v>Медицинский осмотр</v>
      </c>
      <c r="B96" s="52">
        <f>'БазНорм (обр)'!C88</f>
        <v>3.0593797802809065E-2</v>
      </c>
      <c r="C96" s="61">
        <f>'БазНорм (обр)'!J88</f>
        <v>1</v>
      </c>
      <c r="D96" s="122">
        <f>'БазНорм (обр)'!K88</f>
        <v>4045.8333333333335</v>
      </c>
      <c r="E96" s="122">
        <f t="shared" si="1"/>
        <v>123.77740694386502</v>
      </c>
      <c r="F96" s="192"/>
    </row>
    <row r="97" spans="1:6" s="60" customFormat="1" outlineLevel="3" x14ac:dyDescent="0.3">
      <c r="A97" s="26" t="str">
        <f>'БазНорм (обр)'!A89</f>
        <v>Гигиеническая аттестация</v>
      </c>
      <c r="B97" s="52">
        <f>'БазНорм (обр)'!C89</f>
        <v>0.1015157836184119</v>
      </c>
      <c r="C97" s="61">
        <f>'БазНорм (обр)'!J89</f>
        <v>1</v>
      </c>
      <c r="D97" s="122">
        <f>'БазНорм (обр)'!K89</f>
        <v>570</v>
      </c>
      <c r="E97" s="122">
        <f t="shared" si="1"/>
        <v>57.863996662494785</v>
      </c>
      <c r="F97" s="192"/>
    </row>
    <row r="98" spans="1:6" s="60" customFormat="1" outlineLevel="3" x14ac:dyDescent="0.3">
      <c r="A98" s="26" t="str">
        <f>'БазНорм (обр)'!A90</f>
        <v>Оценка условий труда</v>
      </c>
      <c r="B98" s="52">
        <f>'БазНорм (обр)'!C90</f>
        <v>7.7412513255567333E-2</v>
      </c>
      <c r="C98" s="61">
        <f>'БазНорм (обр)'!J90</f>
        <v>1</v>
      </c>
      <c r="D98" s="122">
        <f>'БазНорм (обр)'!K90</f>
        <v>2200</v>
      </c>
      <c r="E98" s="122">
        <f t="shared" si="1"/>
        <v>170.30752916224813</v>
      </c>
      <c r="F98" s="192"/>
    </row>
    <row r="99" spans="1:6" s="60" customFormat="1" outlineLevel="3" x14ac:dyDescent="0.3">
      <c r="A99" s="26" t="str">
        <f>'БазНорм (обр)'!A91</f>
        <v>Аттестация рабочих мест</v>
      </c>
      <c r="B99" s="52">
        <f>'БазНорм (обр)'!C91</f>
        <v>7.4231177094379638E-2</v>
      </c>
      <c r="C99" s="61">
        <f>'БазНорм (обр)'!J91</f>
        <v>1</v>
      </c>
      <c r="D99" s="122">
        <f>'БазНорм (обр)'!K91</f>
        <v>1800</v>
      </c>
      <c r="E99" s="122">
        <f t="shared" si="1"/>
        <v>133.61611876988334</v>
      </c>
      <c r="F99" s="192"/>
    </row>
    <row r="100" spans="1:6" s="60" customFormat="1" outlineLevel="3" x14ac:dyDescent="0.3">
      <c r="A100" s="26" t="str">
        <f>'БазНорм (обр)'!A92</f>
        <v>Заправка картриджей</v>
      </c>
      <c r="B100" s="52">
        <f>'БазНорм (обр)'!C92</f>
        <v>0.20859407592824364</v>
      </c>
      <c r="C100" s="61">
        <f>'БазНорм (обр)'!J92</f>
        <v>1</v>
      </c>
      <c r="D100" s="122">
        <f>'БазНорм (обр)'!K92</f>
        <v>400</v>
      </c>
      <c r="E100" s="122">
        <f t="shared" si="1"/>
        <v>83.437630371297459</v>
      </c>
      <c r="F100" s="192"/>
    </row>
    <row r="101" spans="1:6" s="60" customFormat="1" outlineLevel="3" x14ac:dyDescent="0.3">
      <c r="A101" s="26" t="str">
        <f>'БазНорм (обр)'!A93</f>
        <v>Приобритение картриджей</v>
      </c>
      <c r="B101" s="52">
        <f>'БазНорм (обр)'!C93</f>
        <v>2.7812543457099152E-2</v>
      </c>
      <c r="C101" s="61">
        <f>'БазНорм (обр)'!J93</f>
        <v>1</v>
      </c>
      <c r="D101" s="122">
        <f>'БазНорм (обр)'!K93</f>
        <v>1408.2820512820515</v>
      </c>
      <c r="E101" s="122">
        <f t="shared" si="1"/>
        <v>39.167905751134796</v>
      </c>
      <c r="F101" s="192"/>
    </row>
    <row r="102" spans="1:6" s="60" customFormat="1" outlineLevel="3" x14ac:dyDescent="0.3">
      <c r="A102" s="26" t="str">
        <f>'БазНорм (обр)'!A94</f>
        <v>Хостинг сайта</v>
      </c>
      <c r="B102" s="52">
        <f>'БазНорм (обр)'!C94</f>
        <v>1.3906271728549575E-3</v>
      </c>
      <c r="C102" s="61">
        <f>'БазНорм (обр)'!J94</f>
        <v>1</v>
      </c>
      <c r="D102" s="122">
        <f>'БазНорм (обр)'!K94</f>
        <v>1856</v>
      </c>
      <c r="E102" s="122">
        <f t="shared" si="1"/>
        <v>2.5810040328188011</v>
      </c>
      <c r="F102" s="192"/>
    </row>
    <row r="103" spans="1:6" s="60" customFormat="1" outlineLevel="2" x14ac:dyDescent="0.3">
      <c r="A103" s="33" t="s">
        <v>66</v>
      </c>
      <c r="B103" s="51" t="s">
        <v>3</v>
      </c>
      <c r="C103" s="34" t="s">
        <v>3</v>
      </c>
      <c r="D103" s="73" t="s">
        <v>3</v>
      </c>
      <c r="E103" s="123">
        <f>SUM(E104:E142)</f>
        <v>287.6069654801239</v>
      </c>
      <c r="F103" s="192"/>
    </row>
    <row r="104" spans="1:6" s="60" customFormat="1" outlineLevel="3" x14ac:dyDescent="0.3">
      <c r="A104" s="26" t="str">
        <f>'БазНорм (обр)'!A96</f>
        <v>Бумага А4</v>
      </c>
      <c r="B104" s="52">
        <f>'БазНорм (обр)'!C96</f>
        <v>0.29692470837751855</v>
      </c>
      <c r="C104" s="61">
        <f>'БазНорм (обр)'!J96</f>
        <v>1</v>
      </c>
      <c r="D104" s="122">
        <f>'БазНорм (обр)'!K96</f>
        <v>246.29333333333338</v>
      </c>
      <c r="E104" s="122">
        <f t="shared" si="1"/>
        <v>73.130576175326979</v>
      </c>
      <c r="F104" s="192"/>
    </row>
    <row r="105" spans="1:6" s="60" customFormat="1" outlineLevel="3" x14ac:dyDescent="0.3">
      <c r="A105" s="26" t="str">
        <f>'БазНорм (обр)'!A97</f>
        <v>Блок для записей</v>
      </c>
      <c r="B105" s="52">
        <f>'БазНорм (обр)'!C97</f>
        <v>6.0016804705317485E-2</v>
      </c>
      <c r="C105" s="61">
        <f>'БазНорм (обр)'!J97</f>
        <v>1</v>
      </c>
      <c r="D105" s="122">
        <f>'БазНорм (обр)'!K97</f>
        <v>93.743333333333325</v>
      </c>
      <c r="E105" s="122">
        <f t="shared" si="1"/>
        <v>5.6261753290921446</v>
      </c>
      <c r="F105" s="192"/>
    </row>
    <row r="106" spans="1:6" s="60" customFormat="1" outlineLevel="3" x14ac:dyDescent="0.3">
      <c r="A106" s="26" t="str">
        <f>'БазНорм (обр)'!A98</f>
        <v>Блок липкий</v>
      </c>
      <c r="B106" s="52">
        <f>'БазНорм (обр)'!C98</f>
        <v>6.0016804705317485E-2</v>
      </c>
      <c r="C106" s="61">
        <f>'БазНорм (обр)'!J98</f>
        <v>1</v>
      </c>
      <c r="D106" s="122">
        <f>'БазНорм (обр)'!K98</f>
        <v>112.23333333333333</v>
      </c>
      <c r="E106" s="122">
        <f t="shared" si="1"/>
        <v>6.7358860480934659</v>
      </c>
      <c r="F106" s="192"/>
    </row>
    <row r="107" spans="1:6" s="60" customFormat="1" outlineLevel="3" x14ac:dyDescent="0.3">
      <c r="A107" s="26" t="str">
        <f>'БазНорм (обр)'!A99</f>
        <v>Мел школьный</v>
      </c>
      <c r="B107" s="52">
        <f>'БазНорм (обр)'!C99</f>
        <v>2.4006721882126995E-2</v>
      </c>
      <c r="C107" s="61">
        <f>'БазНорм (обр)'!J99</f>
        <v>1</v>
      </c>
      <c r="D107" s="122">
        <f>'БазНорм (обр)'!K99</f>
        <v>534</v>
      </c>
      <c r="E107" s="122">
        <f t="shared" si="1"/>
        <v>12.819589485055815</v>
      </c>
      <c r="F107" s="192"/>
    </row>
    <row r="108" spans="1:6" s="60" customFormat="1" outlineLevel="3" x14ac:dyDescent="0.3">
      <c r="A108" s="26" t="str">
        <f>'БазНорм (обр)'!A100</f>
        <v>Ластик (резинка)</v>
      </c>
      <c r="B108" s="52">
        <f>'БазНорм (обр)'!C100</f>
        <v>3.0008402352658742E-2</v>
      </c>
      <c r="C108" s="61">
        <f>'БазНорм (обр)'!J100</f>
        <v>1</v>
      </c>
      <c r="D108" s="122">
        <f>'БазНорм (обр)'!K100</f>
        <v>22.436666666666667</v>
      </c>
      <c r="E108" s="122">
        <f t="shared" si="1"/>
        <v>0.67328852078582002</v>
      </c>
      <c r="F108" s="192"/>
    </row>
    <row r="109" spans="1:6" s="60" customFormat="1" outlineLevel="3" x14ac:dyDescent="0.3">
      <c r="A109" s="26" t="str">
        <f>'БазНорм (обр)'!A101</f>
        <v>Карандаш ч/гр</v>
      </c>
      <c r="B109" s="52">
        <f>'БазНорм (обр)'!C101</f>
        <v>8.402352658744448E-3</v>
      </c>
      <c r="C109" s="61">
        <f>'БазНорм (обр)'!J101</f>
        <v>1</v>
      </c>
      <c r="D109" s="122">
        <f>'БазНорм (обр)'!K101</f>
        <v>16.09</v>
      </c>
      <c r="E109" s="122">
        <f t="shared" si="1"/>
        <v>0.13519385427919817</v>
      </c>
      <c r="F109" s="192"/>
    </row>
    <row r="110" spans="1:6" s="60" customFormat="1" outlineLevel="3" x14ac:dyDescent="0.3">
      <c r="A110" s="26" t="str">
        <f>'БазНорм (обр)'!A102</f>
        <v>Ручка гелевая черная</v>
      </c>
      <c r="B110" s="52">
        <f>'БазНорм (обр)'!C102</f>
        <v>0.14404033129276198</v>
      </c>
      <c r="C110" s="61">
        <f>'БазНорм (обр)'!J102</f>
        <v>1</v>
      </c>
      <c r="D110" s="122">
        <f>'БазНорм (обр)'!K102</f>
        <v>49.300000000000004</v>
      </c>
      <c r="E110" s="122">
        <f t="shared" si="1"/>
        <v>7.101188332733166</v>
      </c>
      <c r="F110" s="192"/>
    </row>
    <row r="111" spans="1:6" s="60" customFormat="1" outlineLevel="3" x14ac:dyDescent="0.3">
      <c r="A111" s="26" t="str">
        <f>'БазНорм (обр)'!A103</f>
        <v>Ручка шариковая</v>
      </c>
      <c r="B111" s="52">
        <f>'БазНорм (обр)'!C103</f>
        <v>6.0016804705317485E-2</v>
      </c>
      <c r="C111" s="61">
        <f>'БазНорм (обр)'!J103</f>
        <v>1</v>
      </c>
      <c r="D111" s="122">
        <f>'БазНорм (обр)'!K103</f>
        <v>26.313333333333333</v>
      </c>
      <c r="E111" s="122">
        <f t="shared" si="1"/>
        <v>1.5792421878125873</v>
      </c>
      <c r="F111" s="192"/>
    </row>
    <row r="112" spans="1:6" s="60" customFormat="1" outlineLevel="3" x14ac:dyDescent="0.3">
      <c r="A112" s="26" t="str">
        <f>'БазНорм (обр)'!A104</f>
        <v>Текстовый маркер</v>
      </c>
      <c r="B112" s="52">
        <f>'БазНорм (обр)'!C104</f>
        <v>5.4015124234785737E-2</v>
      </c>
      <c r="C112" s="61">
        <f>'БазНорм (обр)'!J104</f>
        <v>1</v>
      </c>
      <c r="D112" s="122">
        <f>'БазНорм (обр)'!K104</f>
        <v>43.686666666666667</v>
      </c>
      <c r="E112" s="122">
        <f t="shared" si="1"/>
        <v>2.3597407274036728</v>
      </c>
      <c r="F112" s="192"/>
    </row>
    <row r="113" spans="1:6" s="60" customFormat="1" outlineLevel="3" x14ac:dyDescent="0.3">
      <c r="A113" s="26" t="str">
        <f>'БазНорм (обр)'!A105</f>
        <v>Маркеры для доски</v>
      </c>
      <c r="B113" s="52">
        <f>'БазНорм (обр)'!C105</f>
        <v>0.27812543457099148</v>
      </c>
      <c r="C113" s="61">
        <f>'БазНорм (обр)'!J105</f>
        <v>1</v>
      </c>
      <c r="D113" s="122">
        <f>'БазНорм (обр)'!K105</f>
        <v>275.59999999999997</v>
      </c>
      <c r="E113" s="122">
        <f t="shared" si="1"/>
        <v>76.651369767765246</v>
      </c>
      <c r="F113" s="192"/>
    </row>
    <row r="114" spans="1:6" s="60" customFormat="1" outlineLevel="3" x14ac:dyDescent="0.3">
      <c r="A114" s="26" t="str">
        <f>'БазНорм (обр)'!A106</f>
        <v xml:space="preserve">Корректор </v>
      </c>
      <c r="B114" s="52">
        <f>'БазНорм (обр)'!C106</f>
        <v>2.225003476567932E-2</v>
      </c>
      <c r="C114" s="61">
        <f>'БазНорм (обр)'!J106</f>
        <v>1</v>
      </c>
      <c r="D114" s="122">
        <f>'БазНорм (обр)'!K106</f>
        <v>29.77333333333333</v>
      </c>
      <c r="E114" s="122">
        <f t="shared" si="1"/>
        <v>0.6624577017568255</v>
      </c>
      <c r="F114" s="192"/>
    </row>
    <row r="115" spans="1:6" s="60" customFormat="1" outlineLevel="3" x14ac:dyDescent="0.3">
      <c r="A115" s="26" t="str">
        <f>'БазНорм (обр)'!A107</f>
        <v>Кнопки</v>
      </c>
      <c r="B115" s="52">
        <f>'БазНорм (обр)'!C107</f>
        <v>1.3906271728549576E-2</v>
      </c>
      <c r="C115" s="61">
        <f>'БазНорм (обр)'!J107</f>
        <v>1</v>
      </c>
      <c r="D115" s="122">
        <f>'БазНорм (обр)'!K107</f>
        <v>30.330000000000002</v>
      </c>
      <c r="E115" s="122">
        <f t="shared" si="1"/>
        <v>0.42177722152690866</v>
      </c>
      <c r="F115" s="192"/>
    </row>
    <row r="116" spans="1:6" s="60" customFormat="1" ht="26" outlineLevel="3" x14ac:dyDescent="0.3">
      <c r="A116" s="26" t="str">
        <f>'БазНорм (обр)'!A108</f>
        <v>Разделители листов, картонные</v>
      </c>
      <c r="B116" s="52">
        <f>'БазНорм (обр)'!C108</f>
        <v>6.0016804705317485E-2</v>
      </c>
      <c r="C116" s="61">
        <f>'БазНорм (обр)'!J108</f>
        <v>1</v>
      </c>
      <c r="D116" s="122">
        <f>'БазНорм (обр)'!K108</f>
        <v>199.04</v>
      </c>
      <c r="E116" s="122">
        <f t="shared" si="1"/>
        <v>11.945744808546392</v>
      </c>
      <c r="F116" s="192"/>
    </row>
    <row r="117" spans="1:6" s="60" customFormat="1" ht="26" outlineLevel="3" x14ac:dyDescent="0.3">
      <c r="A117" s="26" t="str">
        <f>'БазНорм (обр)'!A109</f>
        <v>Скоросшиватель пластик 150мкм</v>
      </c>
      <c r="B117" s="52">
        <f>'БазНорм (обр)'!C109</f>
        <v>0.13906271728549574</v>
      </c>
      <c r="C117" s="61">
        <f>'БазНорм (обр)'!J109</f>
        <v>1</v>
      </c>
      <c r="D117" s="122">
        <f>'БазНорм (обр)'!K109</f>
        <v>114.63666666666666</v>
      </c>
      <c r="E117" s="122">
        <f t="shared" si="1"/>
        <v>15.941686367218278</v>
      </c>
      <c r="F117" s="192"/>
    </row>
    <row r="118" spans="1:6" s="60" customFormat="1" outlineLevel="3" x14ac:dyDescent="0.3">
      <c r="A118" s="26" t="str">
        <f>'БазНорм (обр)'!A110</f>
        <v>Файл А4 прозрачный</v>
      </c>
      <c r="B118" s="52">
        <f>'БазНорм (обр)'!C110</f>
        <v>3.5624476110645431</v>
      </c>
      <c r="C118" s="61">
        <f>'БазНорм (обр)'!J110</f>
        <v>1</v>
      </c>
      <c r="D118" s="122">
        <f>'БазНорм (обр)'!K110</f>
        <v>1.51</v>
      </c>
      <c r="E118" s="122">
        <f t="shared" si="1"/>
        <v>5.3792958927074599</v>
      </c>
      <c r="F118" s="192"/>
    </row>
    <row r="119" spans="1:6" s="60" customFormat="1" outlineLevel="3" x14ac:dyDescent="0.3">
      <c r="A119" s="26" t="str">
        <f>'БазНорм (обр)'!A111</f>
        <v xml:space="preserve">Папки файлы </v>
      </c>
      <c r="B119" s="52">
        <f>'БазНорм (обр)'!C111</f>
        <v>3.6010082823190494E-2</v>
      </c>
      <c r="C119" s="61">
        <f>'БазНорм (обр)'!J111</f>
        <v>1</v>
      </c>
      <c r="D119" s="122">
        <f>'БазНорм (обр)'!K111</f>
        <v>129.82666666666668</v>
      </c>
      <c r="E119" s="122">
        <f t="shared" si="1"/>
        <v>4.6750690193254121</v>
      </c>
      <c r="F119" s="192"/>
    </row>
    <row r="120" spans="1:6" s="60" customFormat="1" outlineLevel="3" x14ac:dyDescent="0.3">
      <c r="A120" s="26" t="str">
        <f>'БазНорм (обр)'!A112</f>
        <v xml:space="preserve">Клей-карандаш </v>
      </c>
      <c r="B120" s="52">
        <f>'БазНорм (обр)'!C112</f>
        <v>2.7812543457099152E-2</v>
      </c>
      <c r="C120" s="61">
        <f>'БазНорм (обр)'!J112</f>
        <v>1</v>
      </c>
      <c r="D120" s="122">
        <f>'БазНорм (обр)'!K112</f>
        <v>53.403333333333336</v>
      </c>
      <c r="E120" s="122">
        <f t="shared" si="1"/>
        <v>1.4852825290872851</v>
      </c>
      <c r="F120" s="192"/>
    </row>
    <row r="121" spans="1:6" s="60" customFormat="1" outlineLevel="3" x14ac:dyDescent="0.3">
      <c r="A121" s="26" t="str">
        <f>'БазНорм (обр)'!A113</f>
        <v>Клей ПВА</v>
      </c>
      <c r="B121" s="52">
        <f>'БазНорм (обр)'!C113</f>
        <v>1.3906271728549576E-2</v>
      </c>
      <c r="C121" s="61">
        <f>'БазНорм (обр)'!J113</f>
        <v>1</v>
      </c>
      <c r="D121" s="122">
        <f>'БазНорм (обр)'!K113</f>
        <v>86.553333333333327</v>
      </c>
      <c r="E121" s="122">
        <f t="shared" si="1"/>
        <v>1.203634172345061</v>
      </c>
      <c r="F121" s="192"/>
    </row>
    <row r="122" spans="1:6" s="60" customFormat="1" outlineLevel="3" x14ac:dyDescent="0.3">
      <c r="A122" s="26" t="str">
        <f>'БазНорм (обр)'!A114</f>
        <v>Скотч 19*33</v>
      </c>
      <c r="B122" s="52">
        <f>'БазНорм (обр)'!C114</f>
        <v>2.7242246437552388E-2</v>
      </c>
      <c r="C122" s="61">
        <f>'БазНорм (обр)'!J114</f>
        <v>1</v>
      </c>
      <c r="D122" s="122">
        <f>'БазНорм (обр)'!K114</f>
        <v>47.993333333333332</v>
      </c>
      <c r="E122" s="122">
        <f t="shared" si="1"/>
        <v>1.3074462140262642</v>
      </c>
      <c r="F122" s="192"/>
    </row>
    <row r="123" spans="1:6" s="60" customFormat="1" outlineLevel="3" x14ac:dyDescent="0.3">
      <c r="A123" s="26" t="str">
        <f>'БазНорм (обр)'!A115</f>
        <v>Скотч 50*66</v>
      </c>
      <c r="B123" s="52">
        <f>'БазНорм (обр)'!C115</f>
        <v>2.9337803855825649E-2</v>
      </c>
      <c r="C123" s="61">
        <f>'БазНорм (обр)'!J115</f>
        <v>1</v>
      </c>
      <c r="D123" s="122">
        <f>'БазНорм (обр)'!K115</f>
        <v>92.29</v>
      </c>
      <c r="E123" s="122">
        <f t="shared" si="1"/>
        <v>2.7075859178541495</v>
      </c>
      <c r="F123" s="192"/>
    </row>
    <row r="124" spans="1:6" s="60" customFormat="1" outlineLevel="3" x14ac:dyDescent="0.3">
      <c r="A124" s="26" t="str">
        <f>'БазНорм (обр)'!A116</f>
        <v>Скотч 48*100</v>
      </c>
      <c r="B124" s="52">
        <f>'БазНорм (обр)'!C116</f>
        <v>0</v>
      </c>
      <c r="C124" s="61">
        <f>'БазНорм (обр)'!J116</f>
        <v>1</v>
      </c>
      <c r="D124" s="122">
        <f>'БазНорм (обр)'!K116</f>
        <v>98</v>
      </c>
      <c r="E124" s="122">
        <f t="shared" si="1"/>
        <v>0</v>
      </c>
      <c r="F124" s="192"/>
    </row>
    <row r="125" spans="1:6" s="60" customFormat="1" outlineLevel="3" x14ac:dyDescent="0.3">
      <c r="A125" s="26" t="str">
        <f>'БазНорм (обр)'!A117</f>
        <v>Клейкая лента 48*100</v>
      </c>
      <c r="B125" s="52">
        <f>'БазНорм (обр)'!C117</f>
        <v>2.1606049693914296E-2</v>
      </c>
      <c r="C125" s="61">
        <f>'БазНорм (обр)'!J117</f>
        <v>1</v>
      </c>
      <c r="D125" s="122">
        <f>'БазНорм (обр)'!K117</f>
        <v>85.236666666666665</v>
      </c>
      <c r="E125" s="122">
        <f t="shared" si="1"/>
        <v>1.8416276557436082</v>
      </c>
      <c r="F125" s="192"/>
    </row>
    <row r="126" spans="1:6" s="60" customFormat="1" outlineLevel="3" x14ac:dyDescent="0.3">
      <c r="A126" s="26" t="str">
        <f>'БазНорм (обр)'!A118</f>
        <v>Клейкая лента 48*66</v>
      </c>
      <c r="B126" s="52">
        <f>'БазНорм (обр)'!C118</f>
        <v>0.17382839660686969</v>
      </c>
      <c r="C126" s="61">
        <f>'БазНорм (обр)'!J118</f>
        <v>1</v>
      </c>
      <c r="D126" s="122">
        <f>'БазНорм (обр)'!K118</f>
        <v>79.876666666666665</v>
      </c>
      <c r="E126" s="122">
        <f t="shared" si="1"/>
        <v>13.884832892968062</v>
      </c>
      <c r="F126" s="192"/>
    </row>
    <row r="127" spans="1:6" s="60" customFormat="1" outlineLevel="3" x14ac:dyDescent="0.3">
      <c r="A127" s="26" t="str">
        <f>'БазНорм (обр)'!A119</f>
        <v>Регистратор 50 мм</v>
      </c>
      <c r="B127" s="52">
        <f>'БазНорм (обр)'!C119</f>
        <v>3.143336127409891E-2</v>
      </c>
      <c r="C127" s="61">
        <f>'БазНорм (обр)'!J119</f>
        <v>1</v>
      </c>
      <c r="D127" s="122">
        <f>'БазНорм (обр)'!K119</f>
        <v>162.49333333333334</v>
      </c>
      <c r="E127" s="122">
        <f t="shared" si="1"/>
        <v>5.1077116512992458</v>
      </c>
      <c r="F127" s="192"/>
    </row>
    <row r="128" spans="1:6" s="60" customFormat="1" ht="26" outlineLevel="3" x14ac:dyDescent="0.3">
      <c r="A128" s="26" t="str">
        <f>'БазНорм (обр)'!A120</f>
        <v>Накопитель документов Лоток-коробка 150мм</v>
      </c>
      <c r="B128" s="52">
        <f>'БазНорм (обр)'!C120</f>
        <v>1.2003360941063497E-2</v>
      </c>
      <c r="C128" s="61">
        <f>'БазНорм (обр)'!J120</f>
        <v>1</v>
      </c>
      <c r="D128" s="122">
        <f>'БазНорм (обр)'!K120</f>
        <v>76.953333333333333</v>
      </c>
      <c r="E128" s="122">
        <f t="shared" si="1"/>
        <v>0.92369863561797305</v>
      </c>
      <c r="F128" s="192"/>
    </row>
    <row r="129" spans="1:6" s="60" customFormat="1" ht="26" outlineLevel="3" x14ac:dyDescent="0.3">
      <c r="A129" s="26" t="str">
        <f>'БазНорм (обр)'!A121</f>
        <v>Накопитель документов Лоток-коробка 75мм</v>
      </c>
      <c r="B129" s="52">
        <f>'БазНорм (обр)'!C121</f>
        <v>2.4006721882126995E-2</v>
      </c>
      <c r="C129" s="61">
        <f>'БазНорм (обр)'!J121</f>
        <v>1</v>
      </c>
      <c r="D129" s="122">
        <f>'БазНорм (обр)'!K121</f>
        <v>50.306666666666672</v>
      </c>
      <c r="E129" s="122">
        <f t="shared" si="1"/>
        <v>1.2076981554835355</v>
      </c>
      <c r="F129" s="192"/>
    </row>
    <row r="130" spans="1:6" s="60" customFormat="1" outlineLevel="3" x14ac:dyDescent="0.3">
      <c r="A130" s="26" t="str">
        <f>'БазНорм (обр)'!A122</f>
        <v>Тетрадь 48л.</v>
      </c>
      <c r="B130" s="52">
        <f>'БазНорм (обр)'!C122</f>
        <v>3.6010082823190494E-3</v>
      </c>
      <c r="C130" s="61">
        <f>'БазНорм (обр)'!J122</f>
        <v>1</v>
      </c>
      <c r="D130" s="122">
        <f>'БазНорм (обр)'!K122</f>
        <v>33.536666666666669</v>
      </c>
      <c r="E130" s="122">
        <f t="shared" si="1"/>
        <v>0.12076581442803987</v>
      </c>
      <c r="F130" s="192"/>
    </row>
    <row r="131" spans="1:6" s="60" customFormat="1" outlineLevel="3" x14ac:dyDescent="0.3">
      <c r="A131" s="26" t="str">
        <f>'БазНорм (обр)'!A123</f>
        <v>Скрепки 28 мм</v>
      </c>
      <c r="B131" s="52">
        <f>'БазНорм (обр)'!C123</f>
        <v>2.7812543457099152E-2</v>
      </c>
      <c r="C131" s="61">
        <f>'БазНорм (обр)'!J123</f>
        <v>1</v>
      </c>
      <c r="D131" s="122">
        <f>'БазНорм (обр)'!K123</f>
        <v>35.979999999999997</v>
      </c>
      <c r="E131" s="122">
        <f t="shared" si="1"/>
        <v>1.0006953135864274</v>
      </c>
      <c r="F131" s="192"/>
    </row>
    <row r="132" spans="1:6" s="60" customFormat="1" outlineLevel="3" x14ac:dyDescent="0.3">
      <c r="A132" s="26" t="str">
        <f>'БазНорм (обр)'!A124</f>
        <v>Скобы № 10</v>
      </c>
      <c r="B132" s="52">
        <f>'БазНорм (обр)'!C124</f>
        <v>4.8013443764253989E-2</v>
      </c>
      <c r="C132" s="61">
        <f>'БазНорм (обр)'!J124</f>
        <v>1</v>
      </c>
      <c r="D132" s="122">
        <f>'БазНорм (обр)'!K124</f>
        <v>26.26</v>
      </c>
      <c r="E132" s="122">
        <f t="shared" si="1"/>
        <v>1.2608330332493098</v>
      </c>
      <c r="F132" s="192"/>
    </row>
    <row r="133" spans="1:6" s="60" customFormat="1" outlineLevel="3" x14ac:dyDescent="0.3">
      <c r="A133" s="26" t="str">
        <f>'БазНорм (обр)'!A125</f>
        <v>Скобы № 24</v>
      </c>
      <c r="B133" s="52">
        <f>'БазНорм (обр)'!C125</f>
        <v>2.4006721882126995E-2</v>
      </c>
      <c r="C133" s="61">
        <f>'БазНорм (обр)'!J125</f>
        <v>1</v>
      </c>
      <c r="D133" s="122">
        <f>'БазНорм (обр)'!K125</f>
        <v>45.336666666666666</v>
      </c>
      <c r="E133" s="122">
        <f t="shared" si="1"/>
        <v>1.0883847477293642</v>
      </c>
      <c r="F133" s="192"/>
    </row>
    <row r="134" spans="1:6" s="60" customFormat="1" outlineLevel="3" x14ac:dyDescent="0.3">
      <c r="A134" s="26" t="str">
        <f>'БазНорм (обр)'!A126</f>
        <v>Папка с файлами</v>
      </c>
      <c r="B134" s="52">
        <f>'БазНорм (обр)'!C126</f>
        <v>6.953135864274787E-2</v>
      </c>
      <c r="C134" s="61">
        <f>'БазНорм (обр)'!J126</f>
        <v>1</v>
      </c>
      <c r="D134" s="122">
        <f>'БазНорм (обр)'!K126</f>
        <v>190.79333333333332</v>
      </c>
      <c r="E134" s="122">
        <f t="shared" si="1"/>
        <v>13.266119686645341</v>
      </c>
      <c r="F134" s="192"/>
    </row>
    <row r="135" spans="1:6" s="60" customFormat="1" outlineLevel="3" x14ac:dyDescent="0.3">
      <c r="A135" s="26" t="str">
        <f>'БазНорм (обр)'!A127</f>
        <v>Папка - регистратор</v>
      </c>
      <c r="B135" s="52">
        <f>'БазНорм (обр)'!C127</f>
        <v>4.1718815185648725E-2</v>
      </c>
      <c r="C135" s="61">
        <f>'БазНорм (обр)'!J127</f>
        <v>1</v>
      </c>
      <c r="D135" s="122">
        <f>'БазНорм (обр)'!K127</f>
        <v>158.69666666666666</v>
      </c>
      <c r="E135" s="122">
        <f t="shared" si="1"/>
        <v>6.6206369072451672</v>
      </c>
      <c r="F135" s="192"/>
    </row>
    <row r="136" spans="1:6" s="60" customFormat="1" outlineLevel="3" x14ac:dyDescent="0.3">
      <c r="A136" s="26" t="str">
        <f>'БазНорм (обр)'!A128</f>
        <v>Папка - уголок</v>
      </c>
      <c r="B136" s="52">
        <f>'БазНорм (обр)'!C128</f>
        <v>6.953135864274787E-2</v>
      </c>
      <c r="C136" s="61">
        <f>'БазНорм (обр)'!J128</f>
        <v>1</v>
      </c>
      <c r="D136" s="122">
        <f>'БазНорм (обр)'!K128</f>
        <v>12.046666666666667</v>
      </c>
      <c r="E136" s="122">
        <f t="shared" si="1"/>
        <v>0.837621100449636</v>
      </c>
      <c r="F136" s="192"/>
    </row>
    <row r="137" spans="1:6" s="60" customFormat="1" outlineLevel="3" x14ac:dyDescent="0.3">
      <c r="A137" s="26" t="str">
        <f>'БазНорм (обр)'!A129</f>
        <v>Папка с завязками карт</v>
      </c>
      <c r="B137" s="52">
        <f>'БазНорм (обр)'!C129</f>
        <v>0.13906271728549574</v>
      </c>
      <c r="C137" s="61">
        <f>'БазНорм (обр)'!J129</f>
        <v>1</v>
      </c>
      <c r="D137" s="122">
        <f>'БазНорм (обр)'!K129</f>
        <v>8.98</v>
      </c>
      <c r="E137" s="122">
        <f t="shared" si="1"/>
        <v>1.2487832012237519</v>
      </c>
      <c r="F137" s="192"/>
    </row>
    <row r="138" spans="1:6" s="60" customFormat="1" outlineLevel="3" x14ac:dyDescent="0.3">
      <c r="A138" s="26" t="str">
        <f>'БазНорм (обр)'!A130</f>
        <v>Папка с мет. приж. 0,6 мм</v>
      </c>
      <c r="B138" s="52">
        <f>'БазНорм (обр)'!C130</f>
        <v>2.4006721882126995E-2</v>
      </c>
      <c r="C138" s="61">
        <f>'БазНорм (обр)'!J130</f>
        <v>1</v>
      </c>
      <c r="D138" s="122">
        <f>'БазНорм (обр)'!K130</f>
        <v>92.06</v>
      </c>
      <c r="E138" s="122">
        <f t="shared" si="1"/>
        <v>2.210058816468611</v>
      </c>
      <c r="F138" s="192"/>
    </row>
    <row r="139" spans="1:6" s="60" customFormat="1" outlineLevel="3" x14ac:dyDescent="0.3">
      <c r="A139" s="26" t="str">
        <f>'БазНорм (обр)'!A131</f>
        <v>Папка с мет. приж 0,7мм</v>
      </c>
      <c r="B139" s="52">
        <f>'БазНорм (обр)'!C131</f>
        <v>1.2003360941063497E-2</v>
      </c>
      <c r="C139" s="61">
        <f>'БазНорм (обр)'!J131</f>
        <v>1</v>
      </c>
      <c r="D139" s="122">
        <f>'БазНорм (обр)'!K131</f>
        <v>97.14</v>
      </c>
      <c r="E139" s="122">
        <f t="shared" si="1"/>
        <v>1.1660064818149081</v>
      </c>
      <c r="F139" s="192"/>
    </row>
    <row r="140" spans="1:6" s="60" customFormat="1" outlineLevel="3" x14ac:dyDescent="0.3">
      <c r="A140" s="26" t="str">
        <f>'БазНорм (обр)'!A132</f>
        <v>Нож канцелярский</v>
      </c>
      <c r="B140" s="52">
        <f>'БазНорм (обр)'!C132</f>
        <v>1.3906271728549576E-2</v>
      </c>
      <c r="C140" s="61">
        <f>'БазНорм (обр)'!J132</f>
        <v>1</v>
      </c>
      <c r="D140" s="122">
        <f>'БазНорм (обр)'!K132</f>
        <v>68.13</v>
      </c>
      <c r="E140" s="122">
        <f t="shared" si="1"/>
        <v>0.94743429286608261</v>
      </c>
      <c r="F140" s="192"/>
    </row>
    <row r="141" spans="1:6" s="60" customFormat="1" outlineLevel="3" x14ac:dyDescent="0.3">
      <c r="A141" s="26" t="str">
        <f>'БазНорм (обр)'!A133</f>
        <v>Ножницы канц.</v>
      </c>
      <c r="B141" s="52">
        <f>'БазНорм (обр)'!C133</f>
        <v>6.9531358642747881E-3</v>
      </c>
      <c r="C141" s="61">
        <f>'БазНорм (обр)'!J133</f>
        <v>1</v>
      </c>
      <c r="D141" s="122">
        <f>'БазНорм (обр)'!K133</f>
        <v>99.089999999999989</v>
      </c>
      <c r="E141" s="122">
        <f t="shared" si="1"/>
        <v>0.6889862327909887</v>
      </c>
      <c r="F141" s="192"/>
    </row>
    <row r="142" spans="1:6" s="60" customFormat="1" outlineLevel="3" x14ac:dyDescent="0.3">
      <c r="A142" s="26" t="str">
        <f>'БазНорм (обр)'!A134</f>
        <v>Степлер</v>
      </c>
      <c r="B142" s="52">
        <f>'БазНорм (обр)'!C134</f>
        <v>6.9531358642747881E-3</v>
      </c>
      <c r="C142" s="61">
        <f>'БазНорм (обр)'!J134</f>
        <v>1</v>
      </c>
      <c r="D142" s="122">
        <f>'БазНорм (обр)'!K134</f>
        <v>236.27333333333331</v>
      </c>
      <c r="E142" s="122">
        <f t="shared" si="1"/>
        <v>1.6428405877717516</v>
      </c>
      <c r="F142" s="192"/>
    </row>
    <row r="143" spans="1:6" s="60" customFormat="1" outlineLevel="2" x14ac:dyDescent="0.3">
      <c r="A143" s="33" t="s">
        <v>67</v>
      </c>
      <c r="B143" s="51" t="s">
        <v>3</v>
      </c>
      <c r="C143" s="34" t="s">
        <v>3</v>
      </c>
      <c r="D143" s="73" t="s">
        <v>3</v>
      </c>
      <c r="E143" s="123">
        <f>SUM(E144:E161)</f>
        <v>11.626055295482733</v>
      </c>
      <c r="F143" s="192"/>
    </row>
    <row r="144" spans="1:6" s="60" customFormat="1" outlineLevel="3" x14ac:dyDescent="0.3">
      <c r="A144" s="26" t="str">
        <f>'БазНорм (обр)'!A136</f>
        <v>Йод р-р 5%-10 мл.</v>
      </c>
      <c r="B144" s="52">
        <f>'БазНорм (обр)'!C136</f>
        <v>2.4006721882126995E-2</v>
      </c>
      <c r="C144" s="61">
        <f>'БазНорм (обр)'!J136</f>
        <v>1</v>
      </c>
      <c r="D144" s="122">
        <f>'БазНорм (обр)'!K136</f>
        <v>10.666666666666666</v>
      </c>
      <c r="E144" s="122">
        <f t="shared" si="1"/>
        <v>0.25607170007602126</v>
      </c>
      <c r="F144" s="192"/>
    </row>
    <row r="145" spans="1:6" s="60" customFormat="1" outlineLevel="3" x14ac:dyDescent="0.3">
      <c r="A145" s="26" t="str">
        <f>'БазНорм (обр)'!A137</f>
        <v>Перекись водорода 3% 40 мл.</v>
      </c>
      <c r="B145" s="52">
        <f>'БазНорм (обр)'!C137</f>
        <v>3.6010082823190494E-2</v>
      </c>
      <c r="C145" s="61">
        <f>'БазНорм (обр)'!J137</f>
        <v>1</v>
      </c>
      <c r="D145" s="122">
        <f>'БазНорм (обр)'!K137</f>
        <v>6.666666666666667</v>
      </c>
      <c r="E145" s="122">
        <f t="shared" si="1"/>
        <v>0.24006721882126997</v>
      </c>
      <c r="F145" s="192"/>
    </row>
    <row r="146" spans="1:6" s="60" customFormat="1" outlineLevel="3" x14ac:dyDescent="0.3">
      <c r="A146" s="26" t="str">
        <f>'БазНорм (обр)'!A138</f>
        <v>Аммиака р-р-100 мл</v>
      </c>
      <c r="B146" s="52">
        <f>'БазНорм (обр)'!C138</f>
        <v>3.6010082823190494E-3</v>
      </c>
      <c r="C146" s="61">
        <f>'БазНорм (обр)'!J138</f>
        <v>1</v>
      </c>
      <c r="D146" s="122">
        <f>'БазНорм (обр)'!K138</f>
        <v>26</v>
      </c>
      <c r="E146" s="122">
        <f t="shared" ref="E146:E161" si="2">B146/C146*D146</f>
        <v>9.3626215340295277E-2</v>
      </c>
      <c r="F146" s="192"/>
    </row>
    <row r="147" spans="1:6" s="60" customFormat="1" ht="26" outlineLevel="3" x14ac:dyDescent="0.3">
      <c r="A147" s="26" t="str">
        <f>'БазНорм (обр)'!A139</f>
        <v>Уголь активированный 250мг №10</v>
      </c>
      <c r="B147" s="52">
        <f>'БазНорм (обр)'!C139</f>
        <v>1.2003360941063497E-2</v>
      </c>
      <c r="C147" s="61">
        <f>'БазНорм (обр)'!J139</f>
        <v>1</v>
      </c>
      <c r="D147" s="122">
        <f>'БазНорм (обр)'!K139</f>
        <v>8</v>
      </c>
      <c r="E147" s="122">
        <f t="shared" si="2"/>
        <v>9.6026887528507979E-2</v>
      </c>
      <c r="F147" s="192"/>
    </row>
    <row r="148" spans="1:6" s="60" customFormat="1" outlineLevel="3" x14ac:dyDescent="0.3">
      <c r="A148" s="26" t="str">
        <f>'БазНорм (обр)'!A140</f>
        <v>Бинт стерильный 5*10 см</v>
      </c>
      <c r="B148" s="52">
        <f>'БазНорм (обр)'!C140</f>
        <v>4.2011763293722242E-2</v>
      </c>
      <c r="C148" s="61">
        <f>'БазНорм (обр)'!J140</f>
        <v>1</v>
      </c>
      <c r="D148" s="122">
        <f>'БазНорм (обр)'!K140</f>
        <v>17</v>
      </c>
      <c r="E148" s="122">
        <f t="shared" si="2"/>
        <v>0.71419997599327811</v>
      </c>
      <c r="F148" s="192"/>
    </row>
    <row r="149" spans="1:6" s="60" customFormat="1" outlineLevel="3" x14ac:dyDescent="0.3">
      <c r="A149" s="26" t="str">
        <f>'БазНорм (обр)'!A141</f>
        <v>Бинт стерильный 7-14 см</v>
      </c>
      <c r="B149" s="52">
        <f>'БазНорм (обр)'!C141</f>
        <v>4.2011763293722242E-2</v>
      </c>
      <c r="C149" s="61">
        <f>'БазНорм (обр)'!J141</f>
        <v>1</v>
      </c>
      <c r="D149" s="122">
        <f>'БазНорм (обр)'!K141</f>
        <v>32</v>
      </c>
      <c r="E149" s="122">
        <f t="shared" si="2"/>
        <v>1.3443764253991117</v>
      </c>
      <c r="F149" s="192"/>
    </row>
    <row r="150" spans="1:6" s="60" customFormat="1" outlineLevel="3" x14ac:dyDescent="0.3">
      <c r="A150" s="26" t="str">
        <f>'БазНорм (обр)'!A142</f>
        <v>Вата хирург. стерильн. 250г</v>
      </c>
      <c r="B150" s="52">
        <f>'БазНорм (обр)'!C142</f>
        <v>2.4006721882126993E-3</v>
      </c>
      <c r="C150" s="61">
        <f>'БазНорм (обр)'!J142</f>
        <v>1</v>
      </c>
      <c r="D150" s="122">
        <f>'БазНорм (обр)'!K142</f>
        <v>115.33333333333333</v>
      </c>
      <c r="E150" s="122">
        <f t="shared" si="2"/>
        <v>0.27687752570719798</v>
      </c>
      <c r="F150" s="192"/>
    </row>
    <row r="151" spans="1:6" s="60" customFormat="1" ht="26" outlineLevel="3" x14ac:dyDescent="0.3">
      <c r="A151" s="26" t="str">
        <f>'БазНорм (обр)'!A143</f>
        <v>Салфетки стрерильные 16*14 №20</v>
      </c>
      <c r="B151" s="52">
        <f>'БазНорм (обр)'!C143</f>
        <v>2.4006721882126995E-2</v>
      </c>
      <c r="C151" s="61">
        <f>'БазНорм (обр)'!J143</f>
        <v>1</v>
      </c>
      <c r="D151" s="122">
        <f>'БазНорм (обр)'!K143</f>
        <v>30</v>
      </c>
      <c r="E151" s="122">
        <f t="shared" si="2"/>
        <v>0.72020165646380985</v>
      </c>
      <c r="F151" s="192"/>
    </row>
    <row r="152" spans="1:6" s="60" customFormat="1" outlineLevel="3" x14ac:dyDescent="0.3">
      <c r="A152" s="26" t="str">
        <f>'БазНорм (обр)'!A144</f>
        <v>Л/пласт. бактериц. 2,5*7,2 №1</v>
      </c>
      <c r="B152" s="52">
        <f>'БазНорм (обр)'!C144</f>
        <v>0.24006721882126994</v>
      </c>
      <c r="C152" s="61">
        <f>'БазНорм (обр)'!J144</f>
        <v>1</v>
      </c>
      <c r="D152" s="122">
        <f>'БазНорм (обр)'!K144</f>
        <v>3.5</v>
      </c>
      <c r="E152" s="122">
        <f t="shared" si="2"/>
        <v>0.84023526587444475</v>
      </c>
      <c r="F152" s="192"/>
    </row>
    <row r="153" spans="1:6" s="60" customFormat="1" outlineLevel="3" x14ac:dyDescent="0.3">
      <c r="A153" s="26" t="str">
        <f>'БазНорм (обр)'!A145</f>
        <v>Л/пласт,3*500</v>
      </c>
      <c r="B153" s="52">
        <f>'БазНорм (обр)'!C145</f>
        <v>2.4006721882126993E-3</v>
      </c>
      <c r="C153" s="61">
        <f>'БазНорм (обр)'!J145</f>
        <v>1</v>
      </c>
      <c r="D153" s="122">
        <f>'БазНорм (обр)'!K145</f>
        <v>37.666666666666664</v>
      </c>
      <c r="E153" s="122">
        <f t="shared" si="2"/>
        <v>9.0425319089345008E-2</v>
      </c>
      <c r="F153" s="192"/>
    </row>
    <row r="154" spans="1:6" s="60" customFormat="1" outlineLevel="3" x14ac:dyDescent="0.3">
      <c r="A154" s="26" t="str">
        <f>'БазНорм (обр)'!A146</f>
        <v>Маска трехсл.мед.№50</v>
      </c>
      <c r="B154" s="52">
        <f>'БазНорм (обр)'!C146</f>
        <v>2.4006721882126993E-3</v>
      </c>
      <c r="C154" s="61">
        <f>'БазНорм (обр)'!J146</f>
        <v>1</v>
      </c>
      <c r="D154" s="122">
        <f>'БазНорм (обр)'!K146</f>
        <v>150</v>
      </c>
      <c r="E154" s="122">
        <f t="shared" si="2"/>
        <v>0.36010082823190487</v>
      </c>
      <c r="F154" s="192"/>
    </row>
    <row r="155" spans="1:6" s="60" customFormat="1" outlineLevel="3" x14ac:dyDescent="0.3">
      <c r="A155" s="26" t="str">
        <f>'БазНорм (обр)'!A147</f>
        <v>Губка гемостатическая 5*5</v>
      </c>
      <c r="B155" s="52">
        <f>'БазНорм (обр)'!C147</f>
        <v>2.4006721882126993E-3</v>
      </c>
      <c r="C155" s="61">
        <f>'БазНорм (обр)'!J147</f>
        <v>1</v>
      </c>
      <c r="D155" s="122">
        <f>'БазНорм (обр)'!K147</f>
        <v>110</v>
      </c>
      <c r="E155" s="122">
        <f t="shared" si="2"/>
        <v>0.2640739407033969</v>
      </c>
      <c r="F155" s="192"/>
    </row>
    <row r="156" spans="1:6" s="60" customFormat="1" outlineLevel="3" x14ac:dyDescent="0.3">
      <c r="A156" s="26" t="str">
        <f>'БазНорм (обр)'!A148</f>
        <v>Левомеколь мазь 40г.</v>
      </c>
      <c r="B156" s="52">
        <f>'БазНорм (обр)'!C148</f>
        <v>3.6010082823190494E-3</v>
      </c>
      <c r="C156" s="61">
        <f>'БазНорм (обр)'!J148</f>
        <v>1</v>
      </c>
      <c r="D156" s="122">
        <f>'БазНорм (обр)'!K148</f>
        <v>150</v>
      </c>
      <c r="E156" s="122">
        <f t="shared" si="2"/>
        <v>0.54015124234785739</v>
      </c>
      <c r="F156" s="192"/>
    </row>
    <row r="157" spans="1:6" s="60" customFormat="1" outlineLevel="3" x14ac:dyDescent="0.3">
      <c r="A157" s="26" t="str">
        <f>'БазНорм (обр)'!A149</f>
        <v>Напальчник резиновый №5</v>
      </c>
      <c r="B157" s="52">
        <f>'БазНорм (обр)'!C149</f>
        <v>9.6026887528507972E-3</v>
      </c>
      <c r="C157" s="61">
        <f>'БазНорм (обр)'!J149</f>
        <v>1</v>
      </c>
      <c r="D157" s="122">
        <f>'БазНорм (обр)'!K149</f>
        <v>15</v>
      </c>
      <c r="E157" s="122">
        <f t="shared" si="2"/>
        <v>0.14404033129276195</v>
      </c>
      <c r="F157" s="192"/>
    </row>
    <row r="158" spans="1:6" s="60" customFormat="1" outlineLevel="3" x14ac:dyDescent="0.3">
      <c r="A158" s="26" t="str">
        <f>'БазНорм (обр)'!A150</f>
        <v>Пакет гипотермич. "Снежок"</v>
      </c>
      <c r="B158" s="52">
        <f>'БазНорм (обр)'!C150</f>
        <v>0.18005041411595246</v>
      </c>
      <c r="C158" s="61">
        <f>'БазНорм (обр)'!J150</f>
        <v>1</v>
      </c>
      <c r="D158" s="122">
        <f>'БазНорм (обр)'!K150</f>
        <v>23</v>
      </c>
      <c r="E158" s="122">
        <f t="shared" si="2"/>
        <v>4.1411595246669064</v>
      </c>
      <c r="F158" s="192"/>
    </row>
    <row r="159" spans="1:6" s="60" customFormat="1" outlineLevel="3" x14ac:dyDescent="0.3">
      <c r="A159" s="26" t="str">
        <f>'БазНорм (обр)'!A151</f>
        <v>Сульфацил-натрия 20%-5мл</v>
      </c>
      <c r="B159" s="52">
        <f>'БазНорм (обр)'!C151</f>
        <v>4.8013443764253986E-3</v>
      </c>
      <c r="C159" s="61">
        <f>'БазНорм (обр)'!J151</f>
        <v>1</v>
      </c>
      <c r="D159" s="122">
        <f>'БазНорм (обр)'!K151</f>
        <v>90</v>
      </c>
      <c r="E159" s="122">
        <f t="shared" si="2"/>
        <v>0.4321209938782859</v>
      </c>
      <c r="F159" s="192"/>
    </row>
    <row r="160" spans="1:6" s="60" customFormat="1" outlineLevel="3" x14ac:dyDescent="0.3">
      <c r="A160" s="26" t="str">
        <f>'БазНорм (обр)'!A152</f>
        <v>Перчатки латексные хир.стер.</v>
      </c>
      <c r="B160" s="52">
        <f>'БазНорм (обр)'!C152</f>
        <v>2.4006721882126995E-2</v>
      </c>
      <c r="C160" s="61">
        <f>'БазНорм (обр)'!J152</f>
        <v>1</v>
      </c>
      <c r="D160" s="122">
        <f>'БазНорм (обр)'!K152</f>
        <v>40</v>
      </c>
      <c r="E160" s="122">
        <f t="shared" si="2"/>
        <v>0.96026887528507976</v>
      </c>
      <c r="F160" s="192"/>
    </row>
    <row r="161" spans="1:6" s="60" customFormat="1" ht="26" outlineLevel="3" x14ac:dyDescent="0.3">
      <c r="A161" s="26" t="str">
        <f>'БазНорм (обр)'!A153</f>
        <v>Бриллиантовый зелен. 1%-10мл</v>
      </c>
      <c r="B161" s="52">
        <f>'БазНорм (обр)'!C153</f>
        <v>1.2003360941063497E-2</v>
      </c>
      <c r="C161" s="61">
        <f>'БазНорм (обр)'!J153</f>
        <v>1</v>
      </c>
      <c r="D161" s="122">
        <f>'БазНорм (обр)'!K153</f>
        <v>9.3333333333333339</v>
      </c>
      <c r="E161" s="122">
        <f t="shared" si="2"/>
        <v>0.11203136878325931</v>
      </c>
      <c r="F161" s="192"/>
    </row>
    <row r="162" spans="1:6" ht="30" customHeight="1" x14ac:dyDescent="0.3">
      <c r="A162" s="183" t="s">
        <v>11</v>
      </c>
      <c r="B162" s="183"/>
      <c r="C162" s="183"/>
      <c r="D162" s="183"/>
      <c r="E162" s="73">
        <f>E163+E172+E202+E204+E208+E212+E216+E213</f>
        <v>7800.7254723867909</v>
      </c>
      <c r="F162" s="192"/>
    </row>
    <row r="163" spans="1:6" ht="30" customHeight="1" outlineLevel="1" x14ac:dyDescent="0.3">
      <c r="A163" s="183" t="s">
        <v>12</v>
      </c>
      <c r="B163" s="183"/>
      <c r="C163" s="183"/>
      <c r="D163" s="183"/>
      <c r="E163" s="73">
        <f>SUM(E164:E171)</f>
        <v>6229.999088016968</v>
      </c>
      <c r="F163" s="192"/>
    </row>
    <row r="164" spans="1:6" outlineLevel="2" x14ac:dyDescent="0.3">
      <c r="A164" s="26" t="str">
        <f>'БазНорм (обр)'!A156</f>
        <v>Теплоэнергия (город)</v>
      </c>
      <c r="B164" s="52">
        <f>'БазНорм (обр)'!C156</f>
        <v>1.6197030752916226</v>
      </c>
      <c r="C164" s="61">
        <f>'БазНорм (обр)'!J156</f>
        <v>1</v>
      </c>
      <c r="D164" s="122">
        <f>'БазНорм (обр)'!K156</f>
        <v>3101.7699982977383</v>
      </c>
      <c r="E164" s="68">
        <f t="shared" ref="E164:E171" si="3">B164*D164</f>
        <v>5023.9464050901379</v>
      </c>
      <c r="F164" s="192"/>
    </row>
    <row r="165" spans="1:6" outlineLevel="2" x14ac:dyDescent="0.3">
      <c r="A165" s="26" t="str">
        <f>'БазНорм (обр)'!A157</f>
        <v>Теплоэнергия в горячей воде</v>
      </c>
      <c r="B165" s="52">
        <f>'БазНорм (обр)'!C157</f>
        <v>0</v>
      </c>
      <c r="C165" s="61">
        <f>'БазНорм (обр)'!J157</f>
        <v>1</v>
      </c>
      <c r="D165" s="122">
        <f>'БазНорм (обр)'!K157</f>
        <v>0</v>
      </c>
      <c r="E165" s="68">
        <f t="shared" si="3"/>
        <v>0</v>
      </c>
      <c r="F165" s="192"/>
    </row>
    <row r="166" spans="1:6" outlineLevel="2" x14ac:dyDescent="0.3">
      <c r="A166" s="26" t="str">
        <f>'БазНорм (обр)'!A158</f>
        <v>Теплоноситель</v>
      </c>
      <c r="B166" s="52">
        <f>'БазНорм (обр)'!C158</f>
        <v>3.4638388123011667</v>
      </c>
      <c r="C166" s="61">
        <f>'БазНорм (обр)'!J158</f>
        <v>1</v>
      </c>
      <c r="D166" s="122">
        <f>'БазНорм (обр)'!K158</f>
        <v>19.370000612294881</v>
      </c>
      <c r="E166" s="68">
        <f t="shared" si="3"/>
        <v>67.094559915164368</v>
      </c>
      <c r="F166" s="192"/>
    </row>
    <row r="167" spans="1:6" outlineLevel="2" x14ac:dyDescent="0.3">
      <c r="A167" s="26" t="str">
        <f>'БазНорм (обр)'!A159</f>
        <v>Электроэнергия (до 150)</v>
      </c>
      <c r="B167" s="52">
        <f>'БазНорм (обр)'!C159</f>
        <v>113.65853658536585</v>
      </c>
      <c r="C167" s="61">
        <f>'БазНорм (обр)'!J159</f>
        <v>1</v>
      </c>
      <c r="D167" s="122">
        <f>'БазНорм (обр)'!K159</f>
        <v>5.23</v>
      </c>
      <c r="E167" s="68">
        <f t="shared" si="3"/>
        <v>594.43414634146347</v>
      </c>
      <c r="F167" s="192"/>
    </row>
    <row r="168" spans="1:6" ht="26" outlineLevel="2" x14ac:dyDescent="0.3">
      <c r="A168" s="26" t="str">
        <f>'БазНорм (обр)'!A160</f>
        <v>Электроэнергия (от 150 до 670)</v>
      </c>
      <c r="B168" s="52">
        <f>'БазНорм (обр)'!C160</f>
        <v>57.739130434782609</v>
      </c>
      <c r="C168" s="61">
        <f>'БазНорм (обр)'!J160</f>
        <v>1</v>
      </c>
      <c r="D168" s="122">
        <f>'БазНорм (обр)'!K160</f>
        <v>5.1899999999999995</v>
      </c>
      <c r="E168" s="68">
        <f t="shared" si="3"/>
        <v>299.66608695652172</v>
      </c>
      <c r="F168" s="192"/>
    </row>
    <row r="169" spans="1:6" outlineLevel="2" x14ac:dyDescent="0.3">
      <c r="A169" s="26" t="str">
        <f>'БазНорм (обр)'!A161</f>
        <v>Холодное водоснабжение</v>
      </c>
      <c r="B169" s="52">
        <f>'БазНорм (обр)'!C161</f>
        <v>4.1823966065747618</v>
      </c>
      <c r="C169" s="61">
        <f>'БазНорм (обр)'!J161</f>
        <v>1</v>
      </c>
      <c r="D169" s="122">
        <f>'БазНорм (обр)'!K161</f>
        <v>19.55</v>
      </c>
      <c r="E169" s="68">
        <f t="shared" si="3"/>
        <v>81.765853658536599</v>
      </c>
      <c r="F169" s="192"/>
    </row>
    <row r="170" spans="1:6" outlineLevel="2" x14ac:dyDescent="0.3">
      <c r="A170" s="26" t="str">
        <f>'БазНорм (обр)'!A162</f>
        <v>Водоотведение</v>
      </c>
      <c r="B170" s="52">
        <f>'БазНорм (обр)'!C162</f>
        <v>6.7815482502651117</v>
      </c>
      <c r="C170" s="61">
        <f>'БазНорм (обр)'!J162</f>
        <v>1</v>
      </c>
      <c r="D170" s="122">
        <f>'БазНорм (обр)'!K162</f>
        <v>22.639999999999997</v>
      </c>
      <c r="E170" s="68">
        <f t="shared" si="3"/>
        <v>153.53425238600209</v>
      </c>
      <c r="F170" s="192"/>
    </row>
    <row r="171" spans="1:6" outlineLevel="2" x14ac:dyDescent="0.3">
      <c r="A171" s="26" t="str">
        <f>'БазНорм (обр)'!A163</f>
        <v>Сбросы загрязнений</v>
      </c>
      <c r="B171" s="52">
        <f>'БазНорм (обр)'!C163</f>
        <v>5.7232237539766704</v>
      </c>
      <c r="C171" s="61">
        <f>'БазНорм (обр)'!J163</f>
        <v>1</v>
      </c>
      <c r="D171" s="122">
        <f>'БазНорм (обр)'!K163</f>
        <v>1.67</v>
      </c>
      <c r="E171" s="68">
        <f t="shared" si="3"/>
        <v>9.5577836691410383</v>
      </c>
      <c r="F171" s="192"/>
    </row>
    <row r="172" spans="1:6" ht="30" customHeight="1" outlineLevel="1" x14ac:dyDescent="0.3">
      <c r="A172" s="183" t="s">
        <v>14</v>
      </c>
      <c r="B172" s="183"/>
      <c r="C172" s="183"/>
      <c r="D172" s="183"/>
      <c r="E172" s="73">
        <f>SUM(E173:E201)</f>
        <v>899.27834676564157</v>
      </c>
      <c r="F172" s="192"/>
    </row>
    <row r="173" spans="1:6" outlineLevel="2" x14ac:dyDescent="0.3">
      <c r="A173" s="26" t="str">
        <f>'БазНорм (обр)'!A165</f>
        <v>Дератизация</v>
      </c>
      <c r="B173" s="52">
        <f>'БазНорм (обр)'!C165</f>
        <v>0.93864262990455993</v>
      </c>
      <c r="C173" s="61">
        <f>'БазНорм (обр)'!J165</f>
        <v>1</v>
      </c>
      <c r="D173" s="122">
        <f>'БазНорм (обр)'!K165</f>
        <v>1.6499999999999997</v>
      </c>
      <c r="E173" s="68">
        <f t="shared" ref="E173:E203" si="4">B173*D173</f>
        <v>1.5487603393425236</v>
      </c>
      <c r="F173" s="192"/>
    </row>
    <row r="174" spans="1:6" outlineLevel="2" x14ac:dyDescent="0.3">
      <c r="A174" s="26" t="str">
        <f>'БазНорм (обр)'!A166</f>
        <v>Дезинсекция</v>
      </c>
      <c r="B174" s="52">
        <f>'БазНорм (обр)'!C166</f>
        <v>0.42417815482502652</v>
      </c>
      <c r="C174" s="61">
        <f>'БазНорм (обр)'!J166</f>
        <v>1</v>
      </c>
      <c r="D174" s="122">
        <f>'БазНорм (обр)'!K166</f>
        <v>3.64</v>
      </c>
      <c r="E174" s="68">
        <f t="shared" si="4"/>
        <v>1.5440084835630965</v>
      </c>
      <c r="F174" s="192"/>
    </row>
    <row r="175" spans="1:6" outlineLevel="2" x14ac:dyDescent="0.3">
      <c r="A175" s="26" t="str">
        <f>'БазНорм (обр)'!A167</f>
        <v>ТО КТС</v>
      </c>
      <c r="B175" s="52">
        <f>'БазНорм (обр)'!C167</f>
        <v>2.1208907741251328E-3</v>
      </c>
      <c r="C175" s="61">
        <f>'БазНорм (обр)'!J167</f>
        <v>1</v>
      </c>
      <c r="D175" s="122">
        <f>'БазНорм (обр)'!K167</f>
        <v>3997.2</v>
      </c>
      <c r="E175" s="68">
        <f t="shared" si="4"/>
        <v>8.4776246023329804</v>
      </c>
      <c r="F175" s="192"/>
    </row>
    <row r="176" spans="1:6" outlineLevel="2" x14ac:dyDescent="0.3">
      <c r="A176" s="26" t="str">
        <f>'БазНорм (обр)'!A168</f>
        <v>Охрана КТС</v>
      </c>
      <c r="B176" s="52">
        <f>'БазНорм (обр)'!C168</f>
        <v>0</v>
      </c>
      <c r="C176" s="61">
        <f>'БазНорм (обр)'!J168</f>
        <v>1</v>
      </c>
      <c r="D176" s="122">
        <f>'БазНорм (обр)'!K168</f>
        <v>1.69</v>
      </c>
      <c r="E176" s="68">
        <f t="shared" si="4"/>
        <v>0</v>
      </c>
      <c r="F176" s="192"/>
    </row>
    <row r="177" spans="1:6" outlineLevel="2" x14ac:dyDescent="0.3">
      <c r="A177" s="26" t="str">
        <f>'БазНорм (обр)'!A169</f>
        <v>Охрана КТС</v>
      </c>
      <c r="B177" s="52">
        <f>'БазНорм (обр)'!C169</f>
        <v>18.579003181336162</v>
      </c>
      <c r="C177" s="61">
        <f>'БазНорм (обр)'!J169</f>
        <v>1</v>
      </c>
      <c r="D177" s="122">
        <f>'БазНорм (обр)'!K169</f>
        <v>3.28</v>
      </c>
      <c r="E177" s="68">
        <f t="shared" si="4"/>
        <v>60.939130434782605</v>
      </c>
      <c r="F177" s="192"/>
    </row>
    <row r="178" spans="1:6" outlineLevel="2" x14ac:dyDescent="0.3">
      <c r="A178" s="26" t="str">
        <f>'БазНорм (обр)'!A170</f>
        <v>Охрана КТС</v>
      </c>
      <c r="B178" s="52">
        <f>'БазНорм (обр)'!C170</f>
        <v>0</v>
      </c>
      <c r="C178" s="61">
        <f>'БазНорм (обр)'!J170</f>
        <v>1</v>
      </c>
      <c r="D178" s="122">
        <f>'БазНорм (обр)'!K170</f>
        <v>5.48</v>
      </c>
      <c r="E178" s="68">
        <f t="shared" si="4"/>
        <v>0</v>
      </c>
      <c r="F178" s="192"/>
    </row>
    <row r="179" spans="1:6" outlineLevel="2" x14ac:dyDescent="0.3">
      <c r="A179" s="26" t="str">
        <f>'БазНорм (обр)'!A171</f>
        <v>Охрана КТС</v>
      </c>
      <c r="B179" s="52">
        <f>'БазНорм (обр)'!C171</f>
        <v>0</v>
      </c>
      <c r="C179" s="61">
        <f>'БазНорм (обр)'!J171</f>
        <v>1</v>
      </c>
      <c r="D179" s="122">
        <f>'БазНорм (обр)'!K171</f>
        <v>1.34</v>
      </c>
      <c r="E179" s="68">
        <f t="shared" si="4"/>
        <v>0</v>
      </c>
      <c r="F179" s="192"/>
    </row>
    <row r="180" spans="1:6" outlineLevel="2" x14ac:dyDescent="0.3">
      <c r="A180" s="26" t="str">
        <f>'БазНорм (обр)'!A172</f>
        <v>Охрана КТС</v>
      </c>
      <c r="B180" s="52">
        <f>'БазНорм (обр)'!C172</f>
        <v>0</v>
      </c>
      <c r="C180" s="61">
        <f>'БазНорм (обр)'!J172</f>
        <v>1</v>
      </c>
      <c r="D180" s="122">
        <f>'БазНорм (обр)'!K172</f>
        <v>1.64</v>
      </c>
      <c r="E180" s="68">
        <f t="shared" si="4"/>
        <v>0</v>
      </c>
      <c r="F180" s="192"/>
    </row>
    <row r="181" spans="1:6" outlineLevel="2" x14ac:dyDescent="0.3">
      <c r="A181" s="26" t="str">
        <f>'БазНорм (обр)'!A173</f>
        <v>Пожарная охрана</v>
      </c>
      <c r="B181" s="52">
        <f>'БазНорм (обр)'!C173</f>
        <v>18.579003181336162</v>
      </c>
      <c r="C181" s="61">
        <f>'БазНорм (обр)'!J173</f>
        <v>1</v>
      </c>
      <c r="D181" s="122">
        <f>'БазНорм (обр)'!K173</f>
        <v>5.27</v>
      </c>
      <c r="E181" s="68">
        <f t="shared" si="4"/>
        <v>97.911346765641568</v>
      </c>
      <c r="F181" s="192"/>
    </row>
    <row r="182" spans="1:6" outlineLevel="2" x14ac:dyDescent="0.3">
      <c r="A182" s="26" t="str">
        <f>'БазНорм (обр)'!A174</f>
        <v>ТО пожарной сигнализации</v>
      </c>
      <c r="B182" s="52">
        <f>'БазНорм (обр)'!C174</f>
        <v>0</v>
      </c>
      <c r="C182" s="61">
        <f>'БазНорм (обр)'!J174</f>
        <v>1</v>
      </c>
      <c r="D182" s="122">
        <f>'БазНорм (обр)'!K174</f>
        <v>103782</v>
      </c>
      <c r="E182" s="68">
        <f t="shared" si="4"/>
        <v>0</v>
      </c>
      <c r="F182" s="192"/>
    </row>
    <row r="183" spans="1:6" outlineLevel="2" x14ac:dyDescent="0.3">
      <c r="A183" s="26" t="str">
        <f>'БазНорм (обр)'!A175</f>
        <v>ТО пожарной сигнализации</v>
      </c>
      <c r="B183" s="52">
        <f>'БазНорм (обр)'!C175</f>
        <v>0</v>
      </c>
      <c r="C183" s="61">
        <f>'БазНорм (обр)'!J175</f>
        <v>1</v>
      </c>
      <c r="D183" s="122">
        <f>'БазНорм (обр)'!K175</f>
        <v>139884</v>
      </c>
      <c r="E183" s="68">
        <f t="shared" si="4"/>
        <v>0</v>
      </c>
      <c r="F183" s="192"/>
    </row>
    <row r="184" spans="1:6" outlineLevel="2" x14ac:dyDescent="0.3">
      <c r="A184" s="26" t="str">
        <f>'БазНорм (обр)'!A176</f>
        <v>ТО пожарной сигнализации</v>
      </c>
      <c r="B184" s="52">
        <f>'БазНорм (обр)'!C176</f>
        <v>1.0604453870625664E-3</v>
      </c>
      <c r="C184" s="61">
        <f>'БазНорм (обр)'!J176</f>
        <v>1</v>
      </c>
      <c r="D184" s="122">
        <f>'БазНорм (обр)'!K176</f>
        <v>93710.48</v>
      </c>
      <c r="E184" s="68">
        <f t="shared" si="4"/>
        <v>99.374846235418886</v>
      </c>
      <c r="F184" s="192"/>
    </row>
    <row r="185" spans="1:6" outlineLevel="2" x14ac:dyDescent="0.3">
      <c r="A185" s="26" t="str">
        <f>'БазНорм (обр)'!A177</f>
        <v>ТО пожарной сигнализации</v>
      </c>
      <c r="B185" s="52">
        <f>'БазНорм (обр)'!C177</f>
        <v>0</v>
      </c>
      <c r="C185" s="61">
        <f>'БазНорм (обр)'!J177</f>
        <v>1</v>
      </c>
      <c r="D185" s="122">
        <f>'БазНорм (обр)'!K177</f>
        <v>109874.40000000001</v>
      </c>
      <c r="E185" s="68">
        <f t="shared" si="4"/>
        <v>0</v>
      </c>
      <c r="F185" s="192"/>
    </row>
    <row r="186" spans="1:6" outlineLevel="2" x14ac:dyDescent="0.3">
      <c r="A186" s="26" t="str">
        <f>'БазНорм (обр)'!A178</f>
        <v>ТО пожарной сигнализации</v>
      </c>
      <c r="B186" s="52">
        <f>'БазНорм (обр)'!C178</f>
        <v>0</v>
      </c>
      <c r="C186" s="61">
        <f>'БазНорм (обр)'!J178</f>
        <v>1</v>
      </c>
      <c r="D186" s="122">
        <f>'БазНорм (обр)'!K178</f>
        <v>93710.399999999994</v>
      </c>
      <c r="E186" s="68">
        <f t="shared" si="4"/>
        <v>0</v>
      </c>
      <c r="F186" s="192"/>
    </row>
    <row r="187" spans="1:6" outlineLevel="2" x14ac:dyDescent="0.3">
      <c r="A187" s="26" t="str">
        <f>'БазНорм (обр)'!A179</f>
        <v>ТО пожарной сигнализации</v>
      </c>
      <c r="B187" s="52">
        <f>'БазНорм (обр)'!C179</f>
        <v>0</v>
      </c>
      <c r="C187" s="61">
        <f>'БазНорм (обр)'!J179</f>
        <v>1</v>
      </c>
      <c r="D187" s="122">
        <f>'БазНорм (обр)'!K179</f>
        <v>78717.600000000006</v>
      </c>
      <c r="E187" s="68">
        <f t="shared" si="4"/>
        <v>0</v>
      </c>
      <c r="F187" s="192"/>
    </row>
    <row r="188" spans="1:6" outlineLevel="2" x14ac:dyDescent="0.3">
      <c r="A188" s="26" t="str">
        <f>'БазНорм (обр)'!A180</f>
        <v>GSM Контакт</v>
      </c>
      <c r="B188" s="52">
        <f>'БазНорм (обр)'!C180</f>
        <v>0</v>
      </c>
      <c r="C188" s="61">
        <f>'БазНорм (обр)'!J180</f>
        <v>1</v>
      </c>
      <c r="D188" s="122">
        <f>'БазНорм (обр)'!K180</f>
        <v>575</v>
      </c>
      <c r="E188" s="68">
        <f t="shared" si="4"/>
        <v>0</v>
      </c>
      <c r="F188" s="192"/>
    </row>
    <row r="189" spans="1:6" outlineLevel="2" x14ac:dyDescent="0.3">
      <c r="A189" s="26" t="str">
        <f>'БазНорм (обр)'!A181</f>
        <v>ТО приборов учета тепла</v>
      </c>
      <c r="B189" s="52">
        <f>'БазНорм (обр)'!C181</f>
        <v>2.1208907741251328E-3</v>
      </c>
      <c r="C189" s="61">
        <f>'БазНорм (обр)'!J181</f>
        <v>1</v>
      </c>
      <c r="D189" s="122">
        <f>'БазНорм (обр)'!K181</f>
        <v>20721.88</v>
      </c>
      <c r="E189" s="68">
        <f t="shared" si="4"/>
        <v>43.948844114528107</v>
      </c>
      <c r="F189" s="192"/>
    </row>
    <row r="190" spans="1:6" ht="26" outlineLevel="2" x14ac:dyDescent="0.3">
      <c r="A190" s="26" t="str">
        <f>'БазНорм (обр)'!A182</f>
        <v>ТО автоматизированного теплового пункта</v>
      </c>
      <c r="B190" s="52">
        <f>'БазНорм (обр)'!C182</f>
        <v>2.1208907741251328E-3</v>
      </c>
      <c r="C190" s="61">
        <f>'БазНорм (обр)'!J182</f>
        <v>1</v>
      </c>
      <c r="D190" s="122">
        <f>'БазНорм (обр)'!K182</f>
        <v>17631.633333333335</v>
      </c>
      <c r="E190" s="68">
        <f t="shared" si="4"/>
        <v>37.39476846942383</v>
      </c>
      <c r="F190" s="192"/>
    </row>
    <row r="191" spans="1:6" outlineLevel="2" x14ac:dyDescent="0.3">
      <c r="A191" s="26" t="str">
        <f>'БазНорм (обр)'!A183</f>
        <v>ТО системы видеонаблюдения</v>
      </c>
      <c r="B191" s="52">
        <f>'БазНорм (обр)'!C183</f>
        <v>1.0604453870625664E-3</v>
      </c>
      <c r="C191" s="61">
        <f>'БазНорм (обр)'!J183</f>
        <v>1</v>
      </c>
      <c r="D191" s="122">
        <f>'БазНорм (обр)'!K183</f>
        <v>21200</v>
      </c>
      <c r="E191" s="68">
        <f t="shared" si="4"/>
        <v>22.481442205726406</v>
      </c>
      <c r="F191" s="192"/>
    </row>
    <row r="192" spans="1:6" outlineLevel="2" x14ac:dyDescent="0.3">
      <c r="A192" s="26" t="str">
        <f>'БазНорм (обр)'!A184</f>
        <v>ТО системы видеонаблюдения</v>
      </c>
      <c r="B192" s="52">
        <f>'БазНорм (обр)'!C184</f>
        <v>0</v>
      </c>
      <c r="C192" s="61">
        <f>'БазНорм (обр)'!J184</f>
        <v>1</v>
      </c>
      <c r="D192" s="122">
        <f>'БазНорм (обр)'!K184</f>
        <v>18000</v>
      </c>
      <c r="E192" s="68">
        <f t="shared" si="4"/>
        <v>0</v>
      </c>
      <c r="F192" s="192"/>
    </row>
    <row r="193" spans="1:6" outlineLevel="2" x14ac:dyDescent="0.3">
      <c r="A193" s="26" t="str">
        <f>'БазНорм (обр)'!A185</f>
        <v>ТО системы видеонаблюдения</v>
      </c>
      <c r="B193" s="52">
        <f>'БазНорм (обр)'!C185</f>
        <v>0</v>
      </c>
      <c r="C193" s="61">
        <f>'БазНорм (обр)'!J185</f>
        <v>1</v>
      </c>
      <c r="D193" s="122">
        <f>'БазНорм (обр)'!K185</f>
        <v>33000</v>
      </c>
      <c r="E193" s="68">
        <f t="shared" si="4"/>
        <v>0</v>
      </c>
      <c r="F193" s="192"/>
    </row>
    <row r="194" spans="1:6" outlineLevel="2" x14ac:dyDescent="0.3">
      <c r="A194" s="26" t="str">
        <f>'БазНорм (обр)'!A186</f>
        <v>Вывоз ТБО</v>
      </c>
      <c r="B194" s="52">
        <f>'БазНорм (обр)'!C186</f>
        <v>0.30965005302226933</v>
      </c>
      <c r="C194" s="61">
        <f>'БазНорм (обр)'!J186</f>
        <v>1</v>
      </c>
      <c r="D194" s="122">
        <f>'БазНорм (обр)'!K186</f>
        <v>651</v>
      </c>
      <c r="E194" s="68">
        <f t="shared" si="4"/>
        <v>201.58218451749732</v>
      </c>
      <c r="F194" s="192"/>
    </row>
    <row r="195" spans="1:6" outlineLevel="2" x14ac:dyDescent="0.3">
      <c r="A195" s="26" t="str">
        <f>'БазНорм (обр)'!A187</f>
        <v>Уборка снега</v>
      </c>
      <c r="B195" s="52">
        <f>'БазНорм (обр)'!C187</f>
        <v>0</v>
      </c>
      <c r="C195" s="61">
        <f>'БазНорм (обр)'!J187</f>
        <v>1</v>
      </c>
      <c r="D195" s="122">
        <f>'БазНорм (обр)'!K187</f>
        <v>1886.67</v>
      </c>
      <c r="E195" s="68">
        <f t="shared" si="4"/>
        <v>0</v>
      </c>
      <c r="F195" s="192"/>
    </row>
    <row r="196" spans="1:6" ht="26" outlineLevel="2" x14ac:dyDescent="0.3">
      <c r="A196" s="26" t="str">
        <f>'БазНорм (обр)'!A188</f>
        <v>Замеры сопротивлений изоляции проводки</v>
      </c>
      <c r="B196" s="52">
        <f>'БазНорм (обр)'!C188</f>
        <v>2.1208907741251328E-3</v>
      </c>
      <c r="C196" s="61">
        <f>'БазНорм (обр)'!J188</f>
        <v>1</v>
      </c>
      <c r="D196" s="122">
        <f>'БазНорм (обр)'!K188</f>
        <v>31336.333333333332</v>
      </c>
      <c r="E196" s="68">
        <f t="shared" si="4"/>
        <v>66.460940261576539</v>
      </c>
      <c r="F196" s="192"/>
    </row>
    <row r="197" spans="1:6" ht="26" outlineLevel="2" x14ac:dyDescent="0.3">
      <c r="A197" s="26" t="str">
        <f>'БазНорм (обр)'!A189</f>
        <v>Техническое обслуживание силового электрооборудования</v>
      </c>
      <c r="B197" s="52">
        <f>'БазНорм (обр)'!C189</f>
        <v>0</v>
      </c>
      <c r="C197" s="61">
        <f>'БазНорм (обр)'!J189</f>
        <v>1</v>
      </c>
      <c r="D197" s="122">
        <f>'БазНорм (обр)'!K189</f>
        <v>11356.666666666666</v>
      </c>
      <c r="E197" s="68">
        <f t="shared" si="4"/>
        <v>0</v>
      </c>
      <c r="F197" s="192"/>
    </row>
    <row r="198" spans="1:6" outlineLevel="2" x14ac:dyDescent="0.3">
      <c r="A198" s="26" t="str">
        <f>'БазНорм (обр)'!A190</f>
        <v>Прочистка канализации</v>
      </c>
      <c r="B198" s="52">
        <f>'БазНорм (обр)'!C190</f>
        <v>4.2417815482502655E-3</v>
      </c>
      <c r="C198" s="61">
        <f>'БазНорм (обр)'!J190</f>
        <v>1</v>
      </c>
      <c r="D198" s="122">
        <f>'БазНорм (обр)'!K190</f>
        <v>10489</v>
      </c>
      <c r="E198" s="68">
        <f t="shared" si="4"/>
        <v>44.492046659597037</v>
      </c>
      <c r="F198" s="192"/>
    </row>
    <row r="199" spans="1:6" outlineLevel="2" x14ac:dyDescent="0.3">
      <c r="A199" s="26" t="str">
        <f>'БазНорм (обр)'!A191</f>
        <v>Проверка качества огнезащиты</v>
      </c>
      <c r="B199" s="52">
        <f>'БазНорм (обр)'!C191</f>
        <v>2.1208907741251328E-3</v>
      </c>
      <c r="C199" s="61">
        <f>'БазНорм (обр)'!J191</f>
        <v>1</v>
      </c>
      <c r="D199" s="122">
        <f>'БазНорм (обр)'!K191</f>
        <v>5450.5466666666662</v>
      </c>
      <c r="E199" s="68">
        <f t="shared" si="4"/>
        <v>11.560014139271827</v>
      </c>
      <c r="F199" s="192"/>
    </row>
    <row r="200" spans="1:6" ht="39" outlineLevel="2" x14ac:dyDescent="0.3">
      <c r="A200" s="26" t="str">
        <f>'БазНорм (обр)'!A192</f>
        <v>Огнезащитная обработка чердачных деревянных конструкций</v>
      </c>
      <c r="B200" s="52">
        <f>'БазНорм (обр)'!C192</f>
        <v>3.9236479321314954</v>
      </c>
      <c r="C200" s="61">
        <f>'БазНорм (обр)'!J192</f>
        <v>1</v>
      </c>
      <c r="D200" s="122">
        <f>'БазНорм (обр)'!K192</f>
        <v>36.333333333333336</v>
      </c>
      <c r="E200" s="68">
        <f t="shared" si="4"/>
        <v>142.55920820077768</v>
      </c>
      <c r="F200" s="192"/>
    </row>
    <row r="201" spans="1:6" outlineLevel="2" x14ac:dyDescent="0.3">
      <c r="A201" s="26" t="str">
        <f>'БазНорм (обр)'!A193</f>
        <v>ТО грузового лифта</v>
      </c>
      <c r="B201" s="52">
        <f>'БазНорм (обр)'!C193</f>
        <v>1.0604453870625664E-3</v>
      </c>
      <c r="C201" s="61">
        <f>'БазНорм (обр)'!J193</f>
        <v>1</v>
      </c>
      <c r="D201" s="122">
        <f>'БазНорм (обр)'!K193</f>
        <v>55640</v>
      </c>
      <c r="E201" s="68">
        <f t="shared" si="4"/>
        <v>59.003181336161191</v>
      </c>
      <c r="F201" s="192"/>
    </row>
    <row r="202" spans="1:6" ht="30" customHeight="1" outlineLevel="1" x14ac:dyDescent="0.3">
      <c r="A202" s="183" t="s">
        <v>15</v>
      </c>
      <c r="B202" s="183"/>
      <c r="C202" s="183"/>
      <c r="D202" s="183"/>
      <c r="E202" s="73">
        <f>SUM(E203:E203)</f>
        <v>66.719688936019793</v>
      </c>
      <c r="F202" s="192"/>
    </row>
    <row r="203" spans="1:6" outlineLevel="2" x14ac:dyDescent="0.3">
      <c r="A203" s="26" t="str">
        <f>'БазНорм (обр)'!A195</f>
        <v>Ремонт МФУ</v>
      </c>
      <c r="B203" s="52">
        <f>'БазНорм (обр)'!C195</f>
        <v>2.6511134676564158E-2</v>
      </c>
      <c r="C203" s="61">
        <f>'БазНорм (обр)'!J195</f>
        <v>1</v>
      </c>
      <c r="D203" s="122">
        <f>'БазНорм (обр)'!K195</f>
        <v>2516.6666666666665</v>
      </c>
      <c r="E203" s="68">
        <f t="shared" si="4"/>
        <v>66.719688936019793</v>
      </c>
      <c r="F203" s="192"/>
    </row>
    <row r="204" spans="1:6" ht="30" customHeight="1" outlineLevel="1" x14ac:dyDescent="0.3">
      <c r="A204" s="183" t="s">
        <v>16</v>
      </c>
      <c r="B204" s="183"/>
      <c r="C204" s="183"/>
      <c r="D204" s="183"/>
      <c r="E204" s="73">
        <f>SUM(E205:E207)</f>
        <v>127.26148462354189</v>
      </c>
      <c r="F204" s="192"/>
    </row>
    <row r="205" spans="1:6" outlineLevel="2" x14ac:dyDescent="0.3">
      <c r="A205" s="26" t="str">
        <f>'БазНорм (обр)'!A197</f>
        <v>Местная связь</v>
      </c>
      <c r="B205" s="52">
        <f>'БазНорм (обр)'!C197</f>
        <v>1.2725344644750797E-2</v>
      </c>
      <c r="C205" s="61">
        <f>'БазНорм (обр)'!J197</f>
        <v>1</v>
      </c>
      <c r="D205" s="122">
        <f>'БазНорм (обр)'!K197</f>
        <v>4109.3499999999995</v>
      </c>
      <c r="E205" s="68">
        <f>B205*D205</f>
        <v>52.29289501590668</v>
      </c>
      <c r="F205" s="192"/>
    </row>
    <row r="206" spans="1:6" outlineLevel="2" x14ac:dyDescent="0.3">
      <c r="A206" s="26" t="str">
        <f>'БазНорм (обр)'!A198</f>
        <v>Связь МН и МГ</v>
      </c>
      <c r="B206" s="52">
        <f>'БазНорм (обр)'!C198</f>
        <v>1.2725344644750797E-2</v>
      </c>
      <c r="C206" s="61">
        <f>'БазНорм (обр)'!J198</f>
        <v>1</v>
      </c>
      <c r="D206" s="122">
        <f>'БазНорм (обр)'!K198</f>
        <v>31.271666666666665</v>
      </c>
      <c r="E206" s="68">
        <f>B206*D206</f>
        <v>0.39794273594909868</v>
      </c>
      <c r="F206" s="192"/>
    </row>
    <row r="207" spans="1:6" outlineLevel="2" x14ac:dyDescent="0.3">
      <c r="A207" s="26" t="str">
        <f>'БазНорм (обр)'!A199</f>
        <v>Интернет</v>
      </c>
      <c r="B207" s="52">
        <f>'БазНорм (обр)'!C199</f>
        <v>1.2725344644750797E-2</v>
      </c>
      <c r="C207" s="61">
        <f>'БазНорм (обр)'!J199</f>
        <v>1</v>
      </c>
      <c r="D207" s="122">
        <f>'БазНорм (обр)'!K199</f>
        <v>5860.0099999999993</v>
      </c>
      <c r="E207" s="68">
        <f>B207*D207</f>
        <v>74.570646871686108</v>
      </c>
      <c r="F207" s="192"/>
    </row>
    <row r="208" spans="1:6" ht="30" customHeight="1" outlineLevel="1" x14ac:dyDescent="0.3">
      <c r="A208" s="183" t="s">
        <v>17</v>
      </c>
      <c r="B208" s="183"/>
      <c r="C208" s="183"/>
      <c r="D208" s="183"/>
      <c r="E208" s="73">
        <v>0</v>
      </c>
      <c r="F208" s="192"/>
    </row>
    <row r="209" spans="1:6" outlineLevel="2" x14ac:dyDescent="0.3">
      <c r="A209" s="57"/>
      <c r="B209" s="57"/>
      <c r="C209" s="57"/>
      <c r="D209" s="57"/>
      <c r="E209" s="57"/>
      <c r="F209" s="192"/>
    </row>
    <row r="210" spans="1:6" outlineLevel="2" x14ac:dyDescent="0.3">
      <c r="A210" s="57"/>
      <c r="B210" s="57"/>
      <c r="C210" s="57"/>
      <c r="D210" s="57"/>
      <c r="E210" s="57"/>
      <c r="F210" s="192"/>
    </row>
    <row r="211" spans="1:6" outlineLevel="2" x14ac:dyDescent="0.3">
      <c r="A211" s="57"/>
      <c r="B211" s="57"/>
      <c r="C211" s="57"/>
      <c r="D211" s="57"/>
      <c r="E211" s="57"/>
      <c r="F211" s="192"/>
    </row>
    <row r="212" spans="1:6" ht="30" customHeight="1" outlineLevel="1" x14ac:dyDescent="0.3">
      <c r="A212" s="183" t="s">
        <v>20</v>
      </c>
      <c r="B212" s="183"/>
      <c r="C212" s="183"/>
      <c r="D212" s="183"/>
      <c r="E212" s="73">
        <v>0</v>
      </c>
      <c r="F212" s="192"/>
    </row>
    <row r="213" spans="1:6" ht="26" outlineLevel="2" x14ac:dyDescent="0.3">
      <c r="A213" s="131" t="str">
        <f>'БазНорм (обр)'!A205</f>
        <v>Административно-управленческий персонал</v>
      </c>
      <c r="B213" s="64">
        <f>'БазНорм (обр)'!C205</f>
        <v>5.3022269353128317E-3</v>
      </c>
      <c r="C213" s="68">
        <f>'БазНорм (обр)'!J205</f>
        <v>1</v>
      </c>
      <c r="D213" s="68">
        <f>'БазНорм (обр)'!K205</f>
        <v>36009.629999999997</v>
      </c>
      <c r="E213" s="68">
        <f>B213/C213*D213</f>
        <v>190.93123011664898</v>
      </c>
      <c r="F213" s="192"/>
    </row>
    <row r="214" spans="1:6" outlineLevel="2" x14ac:dyDescent="0.3">
      <c r="A214" s="57"/>
      <c r="B214" s="57"/>
      <c r="C214" s="57"/>
      <c r="D214" s="57"/>
      <c r="E214" s="57"/>
      <c r="F214" s="192"/>
    </row>
    <row r="215" spans="1:6" outlineLevel="2" x14ac:dyDescent="0.3">
      <c r="A215" s="57"/>
      <c r="B215" s="57"/>
      <c r="C215" s="57"/>
      <c r="D215" s="57"/>
      <c r="E215" s="57"/>
      <c r="F215" s="192"/>
    </row>
    <row r="216" spans="1:6" ht="16.5" customHeight="1" outlineLevel="1" x14ac:dyDescent="0.3">
      <c r="A216" s="183" t="s">
        <v>23</v>
      </c>
      <c r="B216" s="183"/>
      <c r="C216" s="183"/>
      <c r="D216" s="183"/>
      <c r="E216" s="73">
        <f>E217+E218+E219+E220+E221+E222+E223+E224+E225+E226+E227+E228+E229+E230+E231+E232+E233+E234+E235+E236+E237+E238+E239+E240+E259+E263+E293+E297</f>
        <v>286.53563392797093</v>
      </c>
      <c r="F216" s="192"/>
    </row>
    <row r="217" spans="1:6" ht="26" outlineLevel="2" x14ac:dyDescent="0.3">
      <c r="A217" s="26" t="str">
        <f>'БазНорм (обр)'!A209</f>
        <v>Исследование воды после гидропромывки</v>
      </c>
      <c r="B217" s="52">
        <f>'БазНорм (обр)'!C209</f>
        <v>2.1208907741251328E-3</v>
      </c>
      <c r="C217" s="61">
        <f>'БазНорм (обр)'!J209</f>
        <v>1</v>
      </c>
      <c r="D217" s="122">
        <f>'БазНорм (обр)'!K209</f>
        <v>2795.78</v>
      </c>
      <c r="E217" s="125">
        <f>B217*D217</f>
        <v>5.929544008483564</v>
      </c>
      <c r="F217" s="192"/>
    </row>
    <row r="218" spans="1:6" outlineLevel="2" x14ac:dyDescent="0.3">
      <c r="A218" s="26" t="str">
        <f>'БазНорм (обр)'!A210</f>
        <v>Исследование воды</v>
      </c>
      <c r="B218" s="52">
        <f>'БазНорм (обр)'!C210</f>
        <v>2.1208907741251328E-3</v>
      </c>
      <c r="C218" s="61">
        <f>'БазНорм (обр)'!J210</f>
        <v>1</v>
      </c>
      <c r="D218" s="122">
        <f>'БазНорм (обр)'!K210</f>
        <v>2918.92</v>
      </c>
      <c r="E218" s="125">
        <f t="shared" ref="E218:E239" si="5">B218*D218</f>
        <v>6.1907104984093326</v>
      </c>
      <c r="F218" s="192"/>
    </row>
    <row r="219" spans="1:6" ht="104" outlineLevel="2" x14ac:dyDescent="0.3">
      <c r="A219" s="26" t="str">
        <f>'БазНорм (обр)'!A211</f>
        <v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v>
      </c>
      <c r="B219" s="52">
        <f>'БазНорм (обр)'!C211</f>
        <v>0</v>
      </c>
      <c r="C219" s="61">
        <f>'БазНорм (обр)'!J211</f>
        <v>1</v>
      </c>
      <c r="D219" s="122">
        <f>'БазНорм (обр)'!K211</f>
        <v>20639.89</v>
      </c>
      <c r="E219" s="125">
        <f t="shared" si="5"/>
        <v>0</v>
      </c>
      <c r="F219" s="192"/>
    </row>
    <row r="220" spans="1:6" outlineLevel="2" x14ac:dyDescent="0.3">
      <c r="A220" s="26" t="str">
        <f>'БазНорм (обр)'!A212</f>
        <v>Замеры ЭМП</v>
      </c>
      <c r="B220" s="52">
        <f>'БазНорм (обр)'!C212</f>
        <v>0</v>
      </c>
      <c r="C220" s="61">
        <f>'БазНорм (обр)'!J212</f>
        <v>1</v>
      </c>
      <c r="D220" s="122">
        <f>'БазНорм (обр)'!K212</f>
        <v>3080.48</v>
      </c>
      <c r="E220" s="125">
        <f t="shared" si="5"/>
        <v>0</v>
      </c>
      <c r="F220" s="192"/>
    </row>
    <row r="221" spans="1:6" outlineLevel="2" x14ac:dyDescent="0.3">
      <c r="A221" s="26" t="str">
        <f>'БазНорм (обр)'!A213</f>
        <v>Зарядка огнетушителей</v>
      </c>
      <c r="B221" s="52">
        <f>'БазНорм (обр)'!C213</f>
        <v>0</v>
      </c>
      <c r="C221" s="61">
        <f>'БазНорм (обр)'!J213</f>
        <v>1</v>
      </c>
      <c r="D221" s="122">
        <f>'БазНорм (обр)'!K213</f>
        <v>439</v>
      </c>
      <c r="E221" s="125">
        <f t="shared" si="5"/>
        <v>0</v>
      </c>
      <c r="F221" s="192"/>
    </row>
    <row r="222" spans="1:6" ht="26" outlineLevel="2" x14ac:dyDescent="0.3">
      <c r="A222" s="26" t="str">
        <f>'БазНорм (обр)'!A214</f>
        <v>Испытание эл/защитных средств (перчатки)</v>
      </c>
      <c r="B222" s="52">
        <f>'БазНорм (обр)'!C214</f>
        <v>0</v>
      </c>
      <c r="C222" s="61">
        <f>'БазНорм (обр)'!J214</f>
        <v>1</v>
      </c>
      <c r="D222" s="122">
        <f>'БазНорм (обр)'!K214</f>
        <v>268.53333333333336</v>
      </c>
      <c r="E222" s="125">
        <f t="shared" si="5"/>
        <v>0</v>
      </c>
      <c r="F222" s="192"/>
    </row>
    <row r="223" spans="1:6" outlineLevel="2" x14ac:dyDescent="0.3">
      <c r="A223" s="26" t="str">
        <f>'БазНорм (обр)'!A215</f>
        <v>Демеркуризация ламп</v>
      </c>
      <c r="B223" s="52">
        <f>'БазНорм (обр)'!C215</f>
        <v>0</v>
      </c>
      <c r="C223" s="61">
        <f>'БазНорм (обр)'!J215</f>
        <v>1</v>
      </c>
      <c r="D223" s="122">
        <f>'БазНорм (обр)'!K215</f>
        <v>21.433333333333334</v>
      </c>
      <c r="E223" s="125">
        <f t="shared" si="5"/>
        <v>0</v>
      </c>
      <c r="F223" s="192"/>
    </row>
    <row r="224" spans="1:6" outlineLevel="2" x14ac:dyDescent="0.3">
      <c r="A224" s="26" t="str">
        <f>'БазНорм (обр)'!A216</f>
        <v>Испытание пожарных кранов</v>
      </c>
      <c r="B224" s="52">
        <f>'БазНорм (обр)'!C216</f>
        <v>0</v>
      </c>
      <c r="C224" s="61">
        <f>'БазНорм (обр)'!J216</f>
        <v>1</v>
      </c>
      <c r="D224" s="122">
        <f>'БазНорм (обр)'!K216</f>
        <v>910</v>
      </c>
      <c r="E224" s="125">
        <f t="shared" si="5"/>
        <v>0</v>
      </c>
      <c r="F224" s="192"/>
    </row>
    <row r="225" spans="1:6" outlineLevel="2" x14ac:dyDescent="0.3">
      <c r="A225" s="26" t="str">
        <f>'БазНорм (обр)'!A217</f>
        <v>Поверка ростомеры металл.</v>
      </c>
      <c r="B225" s="52">
        <f>'БазНорм (обр)'!C217</f>
        <v>0</v>
      </c>
      <c r="C225" s="61">
        <f>'БазНорм (обр)'!J217</f>
        <v>1</v>
      </c>
      <c r="D225" s="122">
        <f>'БазНорм (обр)'!K217</f>
        <v>164.72666666666666</v>
      </c>
      <c r="E225" s="125">
        <f t="shared" si="5"/>
        <v>0</v>
      </c>
      <c r="F225" s="192"/>
    </row>
    <row r="226" spans="1:6" ht="26" outlineLevel="2" x14ac:dyDescent="0.3">
      <c r="A226" s="26" t="str">
        <f>'БазНорм (обр)'!A218</f>
        <v>Поверка приборов учета тепловой энергии</v>
      </c>
      <c r="B226" s="52">
        <f>'БазНорм (обр)'!C218</f>
        <v>0</v>
      </c>
      <c r="C226" s="61">
        <f>'БазНорм (обр)'!J218</f>
        <v>1</v>
      </c>
      <c r="D226" s="122">
        <f>'БазНорм (обр)'!K218</f>
        <v>5833.34</v>
      </c>
      <c r="E226" s="125">
        <f t="shared" si="5"/>
        <v>0</v>
      </c>
      <c r="F226" s="192"/>
    </row>
    <row r="227" spans="1:6" outlineLevel="2" x14ac:dyDescent="0.3">
      <c r="A227" s="26" t="str">
        <f>'БазНорм (обр)'!A219</f>
        <v>Поверка весы торговые</v>
      </c>
      <c r="B227" s="52">
        <f>'БазНорм (обр)'!C219</f>
        <v>0</v>
      </c>
      <c r="C227" s="61">
        <f>'БазНорм (обр)'!J219</f>
        <v>1</v>
      </c>
      <c r="D227" s="122">
        <f>'БазНорм (обр)'!K219</f>
        <v>805.14</v>
      </c>
      <c r="E227" s="125">
        <f t="shared" si="5"/>
        <v>0</v>
      </c>
      <c r="F227" s="192"/>
    </row>
    <row r="228" spans="1:6" outlineLevel="2" x14ac:dyDescent="0.3">
      <c r="A228" s="26" t="str">
        <f>'БазНорм (обр)'!A220</f>
        <v>Поверка весы медицинские</v>
      </c>
      <c r="B228" s="52">
        <f>'БазНорм (обр)'!C220</f>
        <v>0</v>
      </c>
      <c r="C228" s="61">
        <f>'БазНорм (обр)'!J220</f>
        <v>1</v>
      </c>
      <c r="D228" s="122">
        <f>'БазНорм (обр)'!K220</f>
        <v>754.68999999999994</v>
      </c>
      <c r="E228" s="125">
        <f t="shared" si="5"/>
        <v>0</v>
      </c>
      <c r="F228" s="192"/>
    </row>
    <row r="229" spans="1:6" ht="26" outlineLevel="2" x14ac:dyDescent="0.3">
      <c r="A229" s="26" t="str">
        <f>'БазНорм (обр)'!A221</f>
        <v>Весы настольные циферблатные</v>
      </c>
      <c r="B229" s="52">
        <f>'БазНорм (обр)'!C221</f>
        <v>0</v>
      </c>
      <c r="C229" s="61">
        <f>'БазНорм (обр)'!J221</f>
        <v>1</v>
      </c>
      <c r="D229" s="122">
        <f>'БазНорм (обр)'!K221</f>
        <v>726.59666666666669</v>
      </c>
      <c r="E229" s="125">
        <f t="shared" si="5"/>
        <v>0</v>
      </c>
      <c r="F229" s="192"/>
    </row>
    <row r="230" spans="1:6" ht="26" outlineLevel="2" x14ac:dyDescent="0.3">
      <c r="A230" s="26" t="str">
        <f>'БазНорм (обр)'!A222</f>
        <v>Поверка торговые гири 5 и 6 класса</v>
      </c>
      <c r="B230" s="52">
        <f>'БазНорм (обр)'!C222</f>
        <v>0</v>
      </c>
      <c r="C230" s="61">
        <f>'БазНорм (обр)'!J222</f>
        <v>1</v>
      </c>
      <c r="D230" s="122">
        <f>'БазНорм (обр)'!K222</f>
        <v>213.02</v>
      </c>
      <c r="E230" s="125">
        <f t="shared" si="5"/>
        <v>0</v>
      </c>
      <c r="F230" s="192"/>
    </row>
    <row r="231" spans="1:6" outlineLevel="2" x14ac:dyDescent="0.3">
      <c r="A231" s="26" t="str">
        <f>'БазНорм (обр)'!A223</f>
        <v>Поверка манометры</v>
      </c>
      <c r="B231" s="52">
        <f>'БазНорм (обр)'!C223</f>
        <v>0</v>
      </c>
      <c r="C231" s="61">
        <f>'БазНорм (обр)'!J223</f>
        <v>1</v>
      </c>
      <c r="D231" s="122">
        <f>'БазНорм (обр)'!K223</f>
        <v>224.4</v>
      </c>
      <c r="E231" s="125">
        <f t="shared" si="5"/>
        <v>0</v>
      </c>
      <c r="F231" s="192"/>
    </row>
    <row r="232" spans="1:6" outlineLevel="2" x14ac:dyDescent="0.3">
      <c r="A232" s="26" t="str">
        <f>'БазНорм (обр)'!A224</f>
        <v>ТО медицинской техники</v>
      </c>
      <c r="B232" s="52">
        <f>'БазНорм (обр)'!C224</f>
        <v>0</v>
      </c>
      <c r="C232" s="61">
        <f>'БазНорм (обр)'!J224</f>
        <v>1</v>
      </c>
      <c r="D232" s="122">
        <f>'БазНорм (обр)'!K224</f>
        <v>203.1372549019608</v>
      </c>
      <c r="E232" s="125">
        <f t="shared" si="5"/>
        <v>0</v>
      </c>
      <c r="F232" s="192"/>
    </row>
    <row r="233" spans="1:6" ht="26" outlineLevel="2" x14ac:dyDescent="0.3">
      <c r="A233" s="26" t="str">
        <f>'БазНорм (обр)'!A225</f>
        <v>Поверка Гигрометры психрометрические</v>
      </c>
      <c r="B233" s="52">
        <f>'БазНорм (обр)'!C225</f>
        <v>0</v>
      </c>
      <c r="C233" s="61">
        <f>'БазНорм (обр)'!J225</f>
        <v>1</v>
      </c>
      <c r="D233" s="122">
        <f>'БазНорм (обр)'!K225</f>
        <v>292.6466666666667</v>
      </c>
      <c r="E233" s="125">
        <f t="shared" si="5"/>
        <v>0</v>
      </c>
      <c r="F233" s="192"/>
    </row>
    <row r="234" spans="1:6" outlineLevel="2" x14ac:dyDescent="0.3">
      <c r="A234" s="26" t="str">
        <f>'БазНорм (обр)'!A226</f>
        <v>Поверка тонометры</v>
      </c>
      <c r="B234" s="52">
        <f>'БазНорм (обр)'!C226</f>
        <v>0</v>
      </c>
      <c r="C234" s="61">
        <f>'БазНорм (обр)'!J226</f>
        <v>1</v>
      </c>
      <c r="D234" s="122">
        <f>'БазНорм (обр)'!K226</f>
        <v>452.95666666666665</v>
      </c>
      <c r="E234" s="125">
        <f t="shared" si="5"/>
        <v>0</v>
      </c>
      <c r="F234" s="192"/>
    </row>
    <row r="235" spans="1:6" ht="26" outlineLevel="2" x14ac:dyDescent="0.3">
      <c r="A235" s="26" t="str">
        <f>'БазНорм (обр)'!A227</f>
        <v>Поверка весы электронные напольные</v>
      </c>
      <c r="B235" s="52">
        <f>'БазНорм (обр)'!C227</f>
        <v>0</v>
      </c>
      <c r="C235" s="61">
        <f>'БазНорм (обр)'!J227</f>
        <v>1</v>
      </c>
      <c r="D235" s="122">
        <f>'БазНорм (обр)'!K227</f>
        <v>1856.5366666666669</v>
      </c>
      <c r="E235" s="125">
        <f t="shared" si="5"/>
        <v>0</v>
      </c>
      <c r="F235" s="192"/>
    </row>
    <row r="236" spans="1:6" outlineLevel="2" x14ac:dyDescent="0.3">
      <c r="A236" s="26" t="str">
        <f>'БазНорм (обр)'!A228</f>
        <v>Поверка весы напольные</v>
      </c>
      <c r="B236" s="52">
        <f>'БазНорм (обр)'!C228</f>
        <v>0</v>
      </c>
      <c r="C236" s="61">
        <f>'БазНорм (обр)'!J228</f>
        <v>1</v>
      </c>
      <c r="D236" s="122">
        <f>'БазНорм (обр)'!K228</f>
        <v>869.09666666666669</v>
      </c>
      <c r="E236" s="125">
        <f t="shared" si="5"/>
        <v>0</v>
      </c>
      <c r="F236" s="192"/>
    </row>
    <row r="237" spans="1:6" ht="26" outlineLevel="2" x14ac:dyDescent="0.3">
      <c r="A237" s="26" t="str">
        <f>'БазНорм (обр)'!A229</f>
        <v>Поверка секундомеры механические</v>
      </c>
      <c r="B237" s="52">
        <f>'БазНорм (обр)'!C229</f>
        <v>0</v>
      </c>
      <c r="C237" s="61">
        <f>'БазНорм (обр)'!J229</f>
        <v>1</v>
      </c>
      <c r="D237" s="122">
        <f>'БазНорм (обр)'!K229</f>
        <v>288.40000000000003</v>
      </c>
      <c r="E237" s="125">
        <f t="shared" si="5"/>
        <v>0</v>
      </c>
      <c r="F237" s="192"/>
    </row>
    <row r="238" spans="1:6" ht="26" outlineLevel="2" x14ac:dyDescent="0.3">
      <c r="A238" s="26" t="str">
        <f>'БазНорм (обр)'!A230</f>
        <v>Поверка динамометры кистевые</v>
      </c>
      <c r="B238" s="52">
        <f>'БазНорм (обр)'!C230</f>
        <v>0</v>
      </c>
      <c r="C238" s="61">
        <f>'БазНорм (обр)'!J230</f>
        <v>1</v>
      </c>
      <c r="D238" s="122">
        <f>'БазНорм (обр)'!K230</f>
        <v>548.16</v>
      </c>
      <c r="E238" s="125">
        <f t="shared" si="5"/>
        <v>0</v>
      </c>
      <c r="F238" s="192"/>
    </row>
    <row r="239" spans="1:6" outlineLevel="2" x14ac:dyDescent="0.3">
      <c r="A239" s="26" t="str">
        <f>'БазНорм (обр)'!A231</f>
        <v>Курсы по теплоустановкам</v>
      </c>
      <c r="B239" s="52">
        <f>'БазНорм (обр)'!C231</f>
        <v>4.2417815482502655E-3</v>
      </c>
      <c r="C239" s="61">
        <f>'БазНорм (обр)'!J231</f>
        <v>1</v>
      </c>
      <c r="D239" s="122">
        <f>'БазНорм (обр)'!K231</f>
        <v>4466.666666666667</v>
      </c>
      <c r="E239" s="125">
        <f t="shared" si="5"/>
        <v>18.946624248851187</v>
      </c>
      <c r="F239" s="192"/>
    </row>
    <row r="240" spans="1:6" s="60" customFormat="1" outlineLevel="2" x14ac:dyDescent="0.3">
      <c r="A240" s="33" t="s">
        <v>64</v>
      </c>
      <c r="B240" s="51" t="s">
        <v>3</v>
      </c>
      <c r="C240" s="126" t="s">
        <v>3</v>
      </c>
      <c r="D240" s="127" t="s">
        <v>3</v>
      </c>
      <c r="E240" s="127">
        <f>SUM(E241:E258)</f>
        <v>48.875433015199718</v>
      </c>
      <c r="F240" s="192"/>
    </row>
    <row r="241" spans="1:6" outlineLevel="3" x14ac:dyDescent="0.3">
      <c r="A241" s="26" t="str">
        <f>'БазНорм (обр)'!A233</f>
        <v>Доска разделочная</v>
      </c>
      <c r="B241" s="52">
        <f>'БазНорм (обр)'!C233</f>
        <v>0</v>
      </c>
      <c r="C241" s="61">
        <f>'БазНорм (обр)'!J233</f>
        <v>1</v>
      </c>
      <c r="D241" s="122">
        <f>'БазНорм (обр)'!K233</f>
        <v>378</v>
      </c>
      <c r="E241" s="125">
        <f>B241/C241*D241</f>
        <v>0</v>
      </c>
      <c r="F241" s="192"/>
    </row>
    <row r="242" spans="1:6" outlineLevel="3" x14ac:dyDescent="0.3">
      <c r="A242" s="26" t="str">
        <f>'БазНорм (обр)'!A234</f>
        <v xml:space="preserve">Блюдце </v>
      </c>
      <c r="B242" s="52">
        <f>'БазНорм (обр)'!C234</f>
        <v>0</v>
      </c>
      <c r="C242" s="61">
        <f>'БазНорм (обр)'!J234</f>
        <v>1</v>
      </c>
      <c r="D242" s="122">
        <f>'БазНорм (обр)'!K234</f>
        <v>80</v>
      </c>
      <c r="E242" s="125">
        <f>B242/C242*D242</f>
        <v>0</v>
      </c>
      <c r="F242" s="192"/>
    </row>
    <row r="243" spans="1:6" outlineLevel="3" x14ac:dyDescent="0.3">
      <c r="A243" s="26" t="str">
        <f>'БазНорм (обр)'!A235</f>
        <v>Тарелка маленькая</v>
      </c>
      <c r="B243" s="52">
        <f>'БазНорм (обр)'!C235</f>
        <v>0</v>
      </c>
      <c r="C243" s="61">
        <f>'БазНорм (обр)'!J235</f>
        <v>1</v>
      </c>
      <c r="D243" s="122">
        <f>'БазНорм (обр)'!K235</f>
        <v>100</v>
      </c>
      <c r="E243" s="125">
        <f t="shared" ref="E243:E262" si="6">B243/C243*D243</f>
        <v>0</v>
      </c>
      <c r="F243" s="192"/>
    </row>
    <row r="244" spans="1:6" outlineLevel="3" x14ac:dyDescent="0.3">
      <c r="A244" s="26" t="str">
        <f>'БазНорм (обр)'!A236</f>
        <v>Тарелка мелкая</v>
      </c>
      <c r="B244" s="52">
        <f>'БазНорм (обр)'!C236</f>
        <v>0.53022269353128315</v>
      </c>
      <c r="C244" s="61">
        <f>'БазНорм (обр)'!J236</f>
        <v>1</v>
      </c>
      <c r="D244" s="122">
        <f>'БазНорм (обр)'!K236</f>
        <v>27.416666666666668</v>
      </c>
      <c r="E244" s="125">
        <f t="shared" si="6"/>
        <v>14.536938847649347</v>
      </c>
      <c r="F244" s="192"/>
    </row>
    <row r="245" spans="1:6" outlineLevel="3" x14ac:dyDescent="0.3">
      <c r="A245" s="26" t="str">
        <f>'БазНорм (обр)'!A237</f>
        <v>Тарелка глубокая</v>
      </c>
      <c r="B245" s="52">
        <f>'БазНорм (обр)'!C237</f>
        <v>0.33934252386002123</v>
      </c>
      <c r="C245" s="61">
        <f>'БазНорм (обр)'!J237</f>
        <v>1</v>
      </c>
      <c r="D245" s="122">
        <f>'БазНорм (обр)'!K237</f>
        <v>34.39</v>
      </c>
      <c r="E245" s="125">
        <f t="shared" si="6"/>
        <v>11.66998939554613</v>
      </c>
      <c r="F245" s="192"/>
    </row>
    <row r="246" spans="1:6" outlineLevel="3" x14ac:dyDescent="0.3">
      <c r="A246" s="26" t="str">
        <f>'БазНорм (обр)'!A238</f>
        <v>Ложка столовая</v>
      </c>
      <c r="B246" s="52">
        <f>'БазНорм (обр)'!C238</f>
        <v>0.21633085896076351</v>
      </c>
      <c r="C246" s="61">
        <f>'БазНорм (обр)'!J238</f>
        <v>1</v>
      </c>
      <c r="D246" s="122">
        <f>'БазНорм (обр)'!K238</f>
        <v>14.466666666666667</v>
      </c>
      <c r="E246" s="125">
        <f t="shared" si="6"/>
        <v>3.1295864262990456</v>
      </c>
      <c r="F246" s="192"/>
    </row>
    <row r="247" spans="1:6" outlineLevel="3" x14ac:dyDescent="0.3">
      <c r="A247" s="26" t="str">
        <f>'БазНорм (обр)'!A239</f>
        <v>Вилка столовая</v>
      </c>
      <c r="B247" s="52">
        <f>'БазНорм (обр)'!C239</f>
        <v>0.21633085896076351</v>
      </c>
      <c r="C247" s="61">
        <f>'БазНорм (обр)'!J239</f>
        <v>1</v>
      </c>
      <c r="D247" s="122">
        <f>'БазНорм (обр)'!K239</f>
        <v>14.466666666666667</v>
      </c>
      <c r="E247" s="125">
        <f t="shared" si="6"/>
        <v>3.1295864262990456</v>
      </c>
      <c r="F247" s="192"/>
    </row>
    <row r="248" spans="1:6" outlineLevel="3" x14ac:dyDescent="0.3">
      <c r="A248" s="26" t="str">
        <f>'БазНорм (обр)'!A240</f>
        <v>Таз 12 л.</v>
      </c>
      <c r="B248" s="52">
        <f>'БазНорм (обр)'!C240</f>
        <v>0</v>
      </c>
      <c r="C248" s="61">
        <f>'БазНорм (обр)'!J240</f>
        <v>1</v>
      </c>
      <c r="D248" s="122">
        <f>'БазНорм (обр)'!K240</f>
        <v>1158</v>
      </c>
      <c r="E248" s="125">
        <f t="shared" si="6"/>
        <v>0</v>
      </c>
      <c r="F248" s="192"/>
    </row>
    <row r="249" spans="1:6" outlineLevel="3" x14ac:dyDescent="0.3">
      <c r="A249" s="26" t="str">
        <f>'БазНорм (обр)'!A241</f>
        <v>Таз 5 л</v>
      </c>
      <c r="B249" s="52">
        <f>'БазНорм (обр)'!C241</f>
        <v>0</v>
      </c>
      <c r="C249" s="61">
        <f>'БазНорм (обр)'!J241</f>
        <v>1</v>
      </c>
      <c r="D249" s="122">
        <f>'БазНорм (обр)'!K241</f>
        <v>90.1</v>
      </c>
      <c r="E249" s="125">
        <f t="shared" si="6"/>
        <v>0</v>
      </c>
      <c r="F249" s="192"/>
    </row>
    <row r="250" spans="1:6" outlineLevel="3" x14ac:dyDescent="0.3">
      <c r="A250" s="26" t="str">
        <f>'БазНорм (обр)'!A242</f>
        <v>Противень</v>
      </c>
      <c r="B250" s="52">
        <f>'БазНорм (обр)'!C242</f>
        <v>0</v>
      </c>
      <c r="C250" s="61">
        <f>'БазНорм (обр)'!J242</f>
        <v>1</v>
      </c>
      <c r="D250" s="122">
        <f>'БазНорм (обр)'!K242</f>
        <v>676</v>
      </c>
      <c r="E250" s="125">
        <f t="shared" si="6"/>
        <v>0</v>
      </c>
      <c r="F250" s="192"/>
    </row>
    <row r="251" spans="1:6" outlineLevel="3" x14ac:dyDescent="0.3">
      <c r="A251" s="26" t="str">
        <f>'БазНорм (обр)'!A243</f>
        <v>Лоток для мяса</v>
      </c>
      <c r="B251" s="52">
        <f>'БазНорм (обр)'!C243</f>
        <v>0</v>
      </c>
      <c r="C251" s="61">
        <f>'БазНорм (обр)'!J243</f>
        <v>1</v>
      </c>
      <c r="D251" s="122">
        <f>'БазНорм (обр)'!K243</f>
        <v>1885.5</v>
      </c>
      <c r="E251" s="125">
        <f t="shared" si="6"/>
        <v>0</v>
      </c>
      <c r="F251" s="192"/>
    </row>
    <row r="252" spans="1:6" outlineLevel="3" x14ac:dyDescent="0.3">
      <c r="A252" s="26" t="str">
        <f>'БазНорм (обр)'!A244</f>
        <v>Лоток глубокий</v>
      </c>
      <c r="B252" s="52">
        <f>'БазНорм (обр)'!C244</f>
        <v>0</v>
      </c>
      <c r="C252" s="61">
        <f>'БазНорм (обр)'!J244</f>
        <v>1</v>
      </c>
      <c r="D252" s="122">
        <f>'БазНорм (обр)'!K244</f>
        <v>862</v>
      </c>
      <c r="E252" s="125">
        <f t="shared" si="6"/>
        <v>0</v>
      </c>
      <c r="F252" s="192"/>
    </row>
    <row r="253" spans="1:6" outlineLevel="3" x14ac:dyDescent="0.3">
      <c r="A253" s="26" t="str">
        <f>'БазНорм (обр)'!A245</f>
        <v>Кастрюля 15 л.</v>
      </c>
      <c r="B253" s="52">
        <f>'БазНорм (обр)'!C245</f>
        <v>0</v>
      </c>
      <c r="C253" s="61">
        <f>'БазНорм (обр)'!J245</f>
        <v>1</v>
      </c>
      <c r="D253" s="122">
        <f>'БазНорм (обр)'!K245</f>
        <v>2631</v>
      </c>
      <c r="E253" s="125">
        <f t="shared" si="6"/>
        <v>0</v>
      </c>
      <c r="F253" s="192"/>
    </row>
    <row r="254" spans="1:6" outlineLevel="3" x14ac:dyDescent="0.3">
      <c r="A254" s="26" t="str">
        <f>'БазНорм (обр)'!A246</f>
        <v>Кастрюля 20 л.</v>
      </c>
      <c r="B254" s="52">
        <f>'БазНорм (обр)'!C246</f>
        <v>0</v>
      </c>
      <c r="C254" s="61">
        <f>'БазНорм (обр)'!J246</f>
        <v>1</v>
      </c>
      <c r="D254" s="122">
        <f>'БазНорм (обр)'!K246</f>
        <v>1430.1</v>
      </c>
      <c r="E254" s="125">
        <f t="shared" si="6"/>
        <v>0</v>
      </c>
      <c r="F254" s="192"/>
    </row>
    <row r="255" spans="1:6" outlineLevel="3" x14ac:dyDescent="0.3">
      <c r="A255" s="26" t="str">
        <f>'БазНорм (обр)'!A247</f>
        <v>Корзина для стаканов и чашек</v>
      </c>
      <c r="B255" s="52">
        <f>'БазНорм (обр)'!C247</f>
        <v>0</v>
      </c>
      <c r="C255" s="61">
        <f>'БазНорм (обр)'!J247</f>
        <v>1</v>
      </c>
      <c r="D255" s="122">
        <f>'БазНорм (обр)'!K247</f>
        <v>2178</v>
      </c>
      <c r="E255" s="125">
        <f t="shared" si="6"/>
        <v>0</v>
      </c>
      <c r="F255" s="192"/>
    </row>
    <row r="256" spans="1:6" outlineLevel="3" x14ac:dyDescent="0.3">
      <c r="A256" s="26" t="str">
        <f>'БазНорм (обр)'!A248</f>
        <v>Стакан граненый</v>
      </c>
      <c r="B256" s="52">
        <f>'БазНорм (обр)'!C248</f>
        <v>0.22905620360551432</v>
      </c>
      <c r="C256" s="61">
        <f>'БазНорм (обр)'!J248</f>
        <v>1</v>
      </c>
      <c r="D256" s="122">
        <f>'БазНорм (обр)'!K248</f>
        <v>18</v>
      </c>
      <c r="E256" s="125">
        <f t="shared" si="6"/>
        <v>4.1230116648992574</v>
      </c>
      <c r="F256" s="192"/>
    </row>
    <row r="257" spans="1:6" outlineLevel="3" x14ac:dyDescent="0.3">
      <c r="A257" s="26" t="str">
        <f>'БазНорм (обр)'!A249</f>
        <v>Сито</v>
      </c>
      <c r="B257" s="52">
        <f>'БазНорм (обр)'!C249</f>
        <v>0</v>
      </c>
      <c r="C257" s="61">
        <f>'БазНорм (обр)'!J249</f>
        <v>1</v>
      </c>
      <c r="D257" s="122">
        <f>'БазНорм (обр)'!K249</f>
        <v>1642</v>
      </c>
      <c r="E257" s="125">
        <f t="shared" si="6"/>
        <v>0</v>
      </c>
      <c r="F257" s="192"/>
    </row>
    <row r="258" spans="1:6" outlineLevel="3" x14ac:dyDescent="0.3">
      <c r="A258" s="26" t="str">
        <f>'БазНорм (обр)'!A250</f>
        <v>Нож повара</v>
      </c>
      <c r="B258" s="52">
        <f>'БазНорм (обр)'!C250</f>
        <v>6.3626723223753979E-3</v>
      </c>
      <c r="C258" s="61">
        <f>'БазНорм (обр)'!J250</f>
        <v>1</v>
      </c>
      <c r="D258" s="122">
        <f>'БазНорм (обр)'!K250</f>
        <v>1931</v>
      </c>
      <c r="E258" s="125">
        <f t="shared" si="6"/>
        <v>12.286320254506894</v>
      </c>
      <c r="F258" s="192"/>
    </row>
    <row r="259" spans="1:6" s="60" customFormat="1" outlineLevel="2" x14ac:dyDescent="0.3">
      <c r="A259" s="33" t="s">
        <v>480</v>
      </c>
      <c r="B259" s="51" t="s">
        <v>3</v>
      </c>
      <c r="C259" s="126" t="s">
        <v>3</v>
      </c>
      <c r="D259" s="127" t="s">
        <v>3</v>
      </c>
      <c r="E259" s="127">
        <f>SUM(E260:E262)</f>
        <v>0</v>
      </c>
      <c r="F259" s="192"/>
    </row>
    <row r="260" spans="1:6" outlineLevel="3" x14ac:dyDescent="0.3">
      <c r="A260" s="26" t="str">
        <f>'БазНорм (обр)'!A252</f>
        <v>Посудомоечная машина</v>
      </c>
      <c r="B260" s="52">
        <f>'БазНорм (обр)'!C252</f>
        <v>0</v>
      </c>
      <c r="C260" s="61">
        <f>'БазНорм (обр)'!J252</f>
        <v>5</v>
      </c>
      <c r="D260" s="122">
        <f>'БазНорм (обр)'!K252</f>
        <v>130726.66666666667</v>
      </c>
      <c r="E260" s="125">
        <f t="shared" si="6"/>
        <v>0</v>
      </c>
      <c r="F260" s="192"/>
    </row>
    <row r="261" spans="1:6" ht="26" outlineLevel="3" x14ac:dyDescent="0.3">
      <c r="A261" s="26" t="str">
        <f>'БазНорм (обр)'!A253</f>
        <v>Холодильная камера 2х дверная Полюс-R 1400"</v>
      </c>
      <c r="B261" s="52">
        <f>'БазНорм (обр)'!C253</f>
        <v>0</v>
      </c>
      <c r="C261" s="61">
        <f>'БазНорм (обр)'!J253</f>
        <v>5</v>
      </c>
      <c r="D261" s="122">
        <f>'БазНорм (обр)'!K253</f>
        <v>104000</v>
      </c>
      <c r="E261" s="125">
        <f t="shared" si="6"/>
        <v>0</v>
      </c>
      <c r="F261" s="192"/>
    </row>
    <row r="262" spans="1:6" ht="26" outlineLevel="3" x14ac:dyDescent="0.3">
      <c r="A262" s="26" t="str">
        <f>'БазНорм (обр)'!A254</f>
        <v>Холодильная камера 1 дверная, "Полюс-R700"</v>
      </c>
      <c r="B262" s="52">
        <f>'БазНорм (обр)'!C254</f>
        <v>0</v>
      </c>
      <c r="C262" s="61">
        <f>'БазНорм (обр)'!J254</f>
        <v>5</v>
      </c>
      <c r="D262" s="122">
        <f>'БазНорм (обр)'!K254</f>
        <v>64500</v>
      </c>
      <c r="E262" s="125">
        <f t="shared" si="6"/>
        <v>0</v>
      </c>
      <c r="F262" s="192"/>
    </row>
    <row r="263" spans="1:6" s="60" customFormat="1" ht="26" outlineLevel="2" x14ac:dyDescent="0.3">
      <c r="A263" s="33" t="s">
        <v>68</v>
      </c>
      <c r="B263" s="51" t="s">
        <v>3</v>
      </c>
      <c r="C263" s="126" t="s">
        <v>3</v>
      </c>
      <c r="D263" s="127" t="s">
        <v>3</v>
      </c>
      <c r="E263" s="127">
        <f>SUM(E264:E292)</f>
        <v>206.5933221570271</v>
      </c>
      <c r="F263" s="192"/>
    </row>
    <row r="264" spans="1:6" outlineLevel="3" x14ac:dyDescent="0.3">
      <c r="A264" s="26" t="str">
        <f>'БазНорм (обр)'!A256</f>
        <v>Мыло хозяйственное</v>
      </c>
      <c r="B264" s="52">
        <f>'БазНорм (обр)'!C256</f>
        <v>0.41911148365465217</v>
      </c>
      <c r="C264" s="61">
        <f>'БазНорм (обр)'!J256</f>
        <v>1</v>
      </c>
      <c r="D264" s="122">
        <f>'БазНорм (обр)'!K256</f>
        <v>17.466666666666665</v>
      </c>
      <c r="E264" s="125">
        <f t="shared" ref="E264:E292" si="7">B264*D264</f>
        <v>7.3204805811679243</v>
      </c>
      <c r="F264" s="192"/>
    </row>
    <row r="265" spans="1:6" outlineLevel="3" x14ac:dyDescent="0.3">
      <c r="A265" s="26" t="str">
        <f>'БазНорм (обр)'!A257</f>
        <v>Мыло детское</v>
      </c>
      <c r="B265" s="52">
        <f>'БазНорм (обр)'!C257</f>
        <v>0.41911148365465217</v>
      </c>
      <c r="C265" s="61">
        <f>'БазНорм (обр)'!J257</f>
        <v>1</v>
      </c>
      <c r="D265" s="122">
        <f>'БазНорм (обр)'!K257</f>
        <v>12.933333333333332</v>
      </c>
      <c r="E265" s="125">
        <f t="shared" si="7"/>
        <v>5.4205085219335007</v>
      </c>
      <c r="F265" s="192"/>
    </row>
    <row r="266" spans="1:6" outlineLevel="3" x14ac:dyDescent="0.3">
      <c r="A266" s="26" t="str">
        <f>'БазНорм (обр)'!A258</f>
        <v>Порошок стиральный 0,4 кг.</v>
      </c>
      <c r="B266" s="52">
        <f>'БазНорм (обр)'!C258</f>
        <v>0.15088013411567477</v>
      </c>
      <c r="C266" s="61">
        <f>'БазНорм (обр)'!J258</f>
        <v>1</v>
      </c>
      <c r="D266" s="122">
        <f>'БазНорм (обр)'!K258</f>
        <v>36.5</v>
      </c>
      <c r="E266" s="125">
        <f t="shared" si="7"/>
        <v>5.5071248952221294</v>
      </c>
      <c r="F266" s="192"/>
    </row>
    <row r="267" spans="1:6" outlineLevel="3" x14ac:dyDescent="0.3">
      <c r="A267" s="26" t="str">
        <f>'БазНорм (обр)'!A259</f>
        <v>Порошок стиральный 1,8 кг.</v>
      </c>
      <c r="B267" s="52">
        <f>'БазНорм (обр)'!C259</f>
        <v>0</v>
      </c>
      <c r="C267" s="61">
        <f>'БазНорм (обр)'!J259</f>
        <v>1</v>
      </c>
      <c r="D267" s="122">
        <f>'БазНорм (обр)'!K259</f>
        <v>143.66666666666666</v>
      </c>
      <c r="E267" s="125">
        <f t="shared" si="7"/>
        <v>0</v>
      </c>
      <c r="F267" s="192"/>
    </row>
    <row r="268" spans="1:6" outlineLevel="3" x14ac:dyDescent="0.3">
      <c r="A268" s="26" t="str">
        <f>'БазНорм (обр)'!A260</f>
        <v>Сода кальценированная 0,4 кг</v>
      </c>
      <c r="B268" s="52">
        <f>'БазНорм (обр)'!C260</f>
        <v>0.25146689019279128</v>
      </c>
      <c r="C268" s="61">
        <f>'БазНорм (обр)'!J260</f>
        <v>1</v>
      </c>
      <c r="D268" s="122">
        <f>'БазНорм (обр)'!K260</f>
        <v>19.166666666666668</v>
      </c>
      <c r="E268" s="125">
        <f t="shared" si="7"/>
        <v>4.8197820620284997</v>
      </c>
      <c r="F268" s="192"/>
    </row>
    <row r="269" spans="1:6" outlineLevel="3" x14ac:dyDescent="0.3">
      <c r="A269" s="26" t="str">
        <f>'БазНорм (обр)'!A261</f>
        <v>Паста чистящая</v>
      </c>
      <c r="B269" s="52">
        <f>'БазНорм (обр)'!C261</f>
        <v>0.16764459346186086</v>
      </c>
      <c r="C269" s="61">
        <f>'БазНорм (обр)'!J261</f>
        <v>1</v>
      </c>
      <c r="D269" s="122">
        <f>'БазНорм (обр)'!K261</f>
        <v>20.099999999999998</v>
      </c>
      <c r="E269" s="125">
        <f t="shared" si="7"/>
        <v>3.3696563285834031</v>
      </c>
      <c r="F269" s="192"/>
    </row>
    <row r="270" spans="1:6" ht="26" outlineLevel="3" x14ac:dyDescent="0.3">
      <c r="A270" s="26" t="str">
        <f>'БазНорм (обр)'!A262</f>
        <v>Средство для мытья плит 0,75 л.</v>
      </c>
      <c r="B270" s="52">
        <f>'БазНорм (обр)'!C262</f>
        <v>0</v>
      </c>
      <c r="C270" s="61">
        <f>'БазНорм (обр)'!J262</f>
        <v>1</v>
      </c>
      <c r="D270" s="122">
        <f>'БазНорм (обр)'!K262</f>
        <v>39.166666666666664</v>
      </c>
      <c r="E270" s="125">
        <f t="shared" si="7"/>
        <v>0</v>
      </c>
      <c r="F270" s="192"/>
    </row>
    <row r="271" spans="1:6" outlineLevel="3" x14ac:dyDescent="0.3">
      <c r="A271" s="26" t="str">
        <f>'БазНорм (обр)'!A263</f>
        <v xml:space="preserve">Средсто для мытья посуды </v>
      </c>
      <c r="B271" s="52">
        <f>'БазНорм (обр)'!C263</f>
        <v>0</v>
      </c>
      <c r="C271" s="61">
        <f>'БазНорм (обр)'!J263</f>
        <v>1</v>
      </c>
      <c r="D271" s="122">
        <f>'БазНорм (обр)'!K263</f>
        <v>101.66666666666667</v>
      </c>
      <c r="E271" s="125">
        <f t="shared" si="7"/>
        <v>0</v>
      </c>
      <c r="F271" s="192"/>
    </row>
    <row r="272" spans="1:6" ht="26" outlineLevel="3" x14ac:dyDescent="0.3">
      <c r="A272" s="26" t="str">
        <f>'БазНорм (обр)'!A264</f>
        <v>Чистящий порошок Пемолюкс 0,45 кг</v>
      </c>
      <c r="B272" s="52">
        <f>'БазНорм (обр)'!C264</f>
        <v>0.16764459346186086</v>
      </c>
      <c r="C272" s="61">
        <f>'БазНорм (обр)'!J264</f>
        <v>1</v>
      </c>
      <c r="D272" s="122">
        <f>'БазНорм (обр)'!K264</f>
        <v>32.666666666666664</v>
      </c>
      <c r="E272" s="125">
        <f t="shared" si="7"/>
        <v>5.4763900530874547</v>
      </c>
      <c r="F272" s="192"/>
    </row>
    <row r="273" spans="1:6" ht="26" outlineLevel="3" x14ac:dyDescent="0.3">
      <c r="A273" s="26" t="str">
        <f>'БазНорм (обр)'!A265</f>
        <v>Моющее средство для посудомоечной машины 2,5 кг.</v>
      </c>
      <c r="B273" s="52">
        <f>'БазНорм (обр)'!C265</f>
        <v>0</v>
      </c>
      <c r="C273" s="61">
        <f>'БазНорм (обр)'!J265</f>
        <v>1</v>
      </c>
      <c r="D273" s="122">
        <f>'БазНорм (обр)'!K265</f>
        <v>415</v>
      </c>
      <c r="E273" s="125">
        <f t="shared" si="7"/>
        <v>0</v>
      </c>
      <c r="F273" s="192"/>
    </row>
    <row r="274" spans="1:6" ht="26" outlineLevel="3" x14ac:dyDescent="0.3">
      <c r="A274" s="26" t="str">
        <f>'БазНорм (обр)'!A266</f>
        <v>Чистящий псредство Доместос 1 л.</v>
      </c>
      <c r="B274" s="52">
        <f>'БазНорм (обр)'!C266</f>
        <v>0</v>
      </c>
      <c r="C274" s="61">
        <f>'БазНорм (обр)'!J266</f>
        <v>1</v>
      </c>
      <c r="D274" s="122">
        <f>'БазНорм (обр)'!K266</f>
        <v>110.33333333333333</v>
      </c>
      <c r="E274" s="125">
        <f t="shared" si="7"/>
        <v>0</v>
      </c>
      <c r="F274" s="192"/>
    </row>
    <row r="275" spans="1:6" outlineLevel="3" x14ac:dyDescent="0.3">
      <c r="A275" s="26" t="str">
        <f>'БазНорм (обр)'!A267</f>
        <v>Чистящее средство 0,6 л.</v>
      </c>
      <c r="B275" s="52">
        <f>'БазНорм (обр)'!C267</f>
        <v>0</v>
      </c>
      <c r="C275" s="61">
        <f>'БазНорм (обр)'!J267</f>
        <v>1</v>
      </c>
      <c r="D275" s="122">
        <f>'БазНорм (обр)'!K267</f>
        <v>58.333333333333336</v>
      </c>
      <c r="E275" s="125">
        <f t="shared" si="7"/>
        <v>0</v>
      </c>
      <c r="F275" s="192"/>
    </row>
    <row r="276" spans="1:6" ht="26" outlineLevel="3" x14ac:dyDescent="0.3">
      <c r="A276" s="26" t="str">
        <f>'БазНорм (обр)'!A268</f>
        <v>Средство для мытья стекол 0,5 л.</v>
      </c>
      <c r="B276" s="52">
        <f>'БазНорм (обр)'!C268</f>
        <v>0</v>
      </c>
      <c r="C276" s="61">
        <f>'БазНорм (обр)'!J268</f>
        <v>1</v>
      </c>
      <c r="D276" s="122">
        <f>'БазНорм (обр)'!K268</f>
        <v>105.33333333333333</v>
      </c>
      <c r="E276" s="125">
        <f t="shared" si="7"/>
        <v>0</v>
      </c>
      <c r="F276" s="192"/>
    </row>
    <row r="277" spans="1:6" ht="26" outlineLevel="3" x14ac:dyDescent="0.3">
      <c r="A277" s="26" t="str">
        <f>'БазНорм (обр)'!A269</f>
        <v>Кондиционер для белья Ленор 1 л.</v>
      </c>
      <c r="B277" s="52">
        <f>'БазНорм (обр)'!C269</f>
        <v>0</v>
      </c>
      <c r="C277" s="61">
        <f>'БазНорм (обр)'!J269</f>
        <v>1</v>
      </c>
      <c r="D277" s="122">
        <f>'БазНорм (обр)'!K269</f>
        <v>120.66666666666667</v>
      </c>
      <c r="E277" s="125">
        <f t="shared" si="7"/>
        <v>0</v>
      </c>
      <c r="F277" s="192"/>
    </row>
    <row r="278" spans="1:6" outlineLevel="3" x14ac:dyDescent="0.3">
      <c r="A278" s="26" t="str">
        <f>'БазНорм (обр)'!A270</f>
        <v>Отбеливатель 1 л.</v>
      </c>
      <c r="B278" s="52">
        <f>'БазНорм (обр)'!C270</f>
        <v>0</v>
      </c>
      <c r="C278" s="61">
        <f>'БазНорм (обр)'!J270</f>
        <v>1</v>
      </c>
      <c r="D278" s="122">
        <f>'БазНорм (обр)'!K270</f>
        <v>61.933333333333337</v>
      </c>
      <c r="E278" s="125">
        <f t="shared" si="7"/>
        <v>0</v>
      </c>
      <c r="F278" s="192"/>
    </row>
    <row r="279" spans="1:6" outlineLevel="3" x14ac:dyDescent="0.3">
      <c r="A279" s="26" t="str">
        <f>'БазНорм (обр)'!A271</f>
        <v>Чистящее средсво для ванн 1 л.</v>
      </c>
      <c r="B279" s="52">
        <f>'БазНорм (обр)'!C271</f>
        <v>0</v>
      </c>
      <c r="C279" s="61">
        <f>'БазНорм (обр)'!J271</f>
        <v>1</v>
      </c>
      <c r="D279" s="122">
        <f>'БазНорм (обр)'!K271</f>
        <v>136.46666666666667</v>
      </c>
      <c r="E279" s="125">
        <f t="shared" si="7"/>
        <v>0</v>
      </c>
      <c r="F279" s="192"/>
    </row>
    <row r="280" spans="1:6" outlineLevel="3" x14ac:dyDescent="0.3">
      <c r="A280" s="26" t="str">
        <f>'БазНорм (обр)'!A272</f>
        <v>Жидкое мыло детское</v>
      </c>
      <c r="B280" s="52">
        <f>'БазНорм (обр)'!C272</f>
        <v>6.286672254819782E-2</v>
      </c>
      <c r="C280" s="61">
        <f>'БазНорм (обр)'!J272</f>
        <v>1</v>
      </c>
      <c r="D280" s="122">
        <f>'БазНорм (обр)'!K272</f>
        <v>56.233333333333327</v>
      </c>
      <c r="E280" s="125">
        <f t="shared" si="7"/>
        <v>3.5352053646269903</v>
      </c>
      <c r="F280" s="192"/>
    </row>
    <row r="281" spans="1:6" outlineLevel="3" x14ac:dyDescent="0.3">
      <c r="A281" s="26" t="str">
        <f>'БазНорм (обр)'!A273</f>
        <v>Жидкое мыло детское 5 л.</v>
      </c>
      <c r="B281" s="52">
        <f>'БазНорм (обр)'!C273</f>
        <v>0</v>
      </c>
      <c r="C281" s="61">
        <f>'БазНорм (обр)'!J273</f>
        <v>1</v>
      </c>
      <c r="D281" s="122">
        <f>'БазНорм (обр)'!K273</f>
        <v>331.66666666666669</v>
      </c>
      <c r="E281" s="125">
        <f t="shared" si="7"/>
        <v>0</v>
      </c>
      <c r="F281" s="192"/>
    </row>
    <row r="282" spans="1:6" outlineLevel="3" x14ac:dyDescent="0.3">
      <c r="A282" s="26" t="str">
        <f>'БазНорм (обр)'!A274</f>
        <v>Освежитель воздуха</v>
      </c>
      <c r="B282" s="52">
        <f>'БазНорм (обр)'!C274</f>
        <v>0</v>
      </c>
      <c r="C282" s="61">
        <f>'БазНорм (обр)'!J274</f>
        <v>1</v>
      </c>
      <c r="D282" s="122">
        <f>'БазНорм (обр)'!K274</f>
        <v>52.333333333333336</v>
      </c>
      <c r="E282" s="125">
        <f t="shared" si="7"/>
        <v>0</v>
      </c>
      <c r="F282" s="192"/>
    </row>
    <row r="283" spans="1:6" outlineLevel="3" x14ac:dyDescent="0.3">
      <c r="A283" s="26" t="str">
        <f>'БазНорм (обр)'!A275</f>
        <v>Ди-хлор 300 шт.</v>
      </c>
      <c r="B283" s="52">
        <f>'БазНорм (обр)'!C275</f>
        <v>3.7720033528918694E-2</v>
      </c>
      <c r="C283" s="61">
        <f>'БазНорм (обр)'!J275</f>
        <v>1</v>
      </c>
      <c r="D283" s="122">
        <f>'БазНорм (обр)'!K275</f>
        <v>533.33333333333337</v>
      </c>
      <c r="E283" s="125">
        <f t="shared" si="7"/>
        <v>20.117351215423305</v>
      </c>
      <c r="F283" s="192"/>
    </row>
    <row r="284" spans="1:6" outlineLevel="3" x14ac:dyDescent="0.3">
      <c r="A284" s="26" t="str">
        <f>'БазНорм (обр)'!A276</f>
        <v>Хлорамин</v>
      </c>
      <c r="B284" s="52">
        <f>'БазНорм (обр)'!C276</f>
        <v>0</v>
      </c>
      <c r="C284" s="61">
        <f>'БазНорм (обр)'!J276</f>
        <v>1</v>
      </c>
      <c r="D284" s="122">
        <f>'БазНорм (обр)'!K276</f>
        <v>165.66666666666666</v>
      </c>
      <c r="E284" s="125">
        <f t="shared" si="7"/>
        <v>0</v>
      </c>
      <c r="F284" s="192"/>
    </row>
    <row r="285" spans="1:6" outlineLevel="3" x14ac:dyDescent="0.3">
      <c r="A285" s="26" t="str">
        <f>'БазНорм (обр)'!A277</f>
        <v>Средство для мытья окон</v>
      </c>
      <c r="B285" s="52">
        <f>'БазНорм (обр)'!C277</f>
        <v>3.143336127409891E-2</v>
      </c>
      <c r="C285" s="61">
        <f>'БазНорм (обр)'!J277</f>
        <v>1</v>
      </c>
      <c r="D285" s="122">
        <f>'БазНорм (обр)'!K277</f>
        <v>56</v>
      </c>
      <c r="E285" s="125">
        <f t="shared" si="7"/>
        <v>1.760268231349539</v>
      </c>
      <c r="F285" s="192"/>
    </row>
    <row r="286" spans="1:6" outlineLevel="3" x14ac:dyDescent="0.3">
      <c r="A286" s="26" t="str">
        <f>'БазНорм (обр)'!A278</f>
        <v>Оптимакс 1 л.</v>
      </c>
      <c r="B286" s="52">
        <f>'БазНорм (обр)'!C278</f>
        <v>6.286672254819782E-2</v>
      </c>
      <c r="C286" s="61">
        <f>'БазНорм (обр)'!J278</f>
        <v>1</v>
      </c>
      <c r="D286" s="122">
        <f>'БазНорм (обр)'!K278</f>
        <v>333.33333333333331</v>
      </c>
      <c r="E286" s="125">
        <f t="shared" si="7"/>
        <v>20.955574182732605</v>
      </c>
      <c r="F286" s="192"/>
    </row>
    <row r="287" spans="1:6" outlineLevel="3" x14ac:dyDescent="0.3">
      <c r="A287" s="26" t="str">
        <f>'БазНорм (обр)'!A279</f>
        <v>Жавель солид</v>
      </c>
      <c r="B287" s="52">
        <f>'БазНорм (обр)'!C279</f>
        <v>0</v>
      </c>
      <c r="C287" s="61">
        <f>'БазНорм (обр)'!J279</f>
        <v>1</v>
      </c>
      <c r="D287" s="122">
        <f>'БазНорм (обр)'!K279</f>
        <v>760</v>
      </c>
      <c r="E287" s="125">
        <f t="shared" si="7"/>
        <v>0</v>
      </c>
      <c r="F287" s="192"/>
    </row>
    <row r="288" spans="1:6" outlineLevel="3" x14ac:dyDescent="0.3">
      <c r="A288" s="26" t="str">
        <f>'БазНорм (обр)'!A280</f>
        <v>Химический индикатор 50 шт.</v>
      </c>
      <c r="B288" s="52">
        <f>'БазНорм (обр)'!C280</f>
        <v>0</v>
      </c>
      <c r="C288" s="61">
        <f>'БазНорм (обр)'!J280</f>
        <v>1</v>
      </c>
      <c r="D288" s="122">
        <f>'БазНорм (обр)'!K280</f>
        <v>610</v>
      </c>
      <c r="E288" s="125">
        <f t="shared" si="7"/>
        <v>0</v>
      </c>
      <c r="F288" s="192"/>
    </row>
    <row r="289" spans="1:6" outlineLevel="3" x14ac:dyDescent="0.3">
      <c r="A289" s="26" t="str">
        <f>'БазНорм (обр)'!A281</f>
        <v>Средство САНФОР 750 мл</v>
      </c>
      <c r="B289" s="52">
        <f>'БазНорм (обр)'!C281</f>
        <v>6.286672254819782E-2</v>
      </c>
      <c r="C289" s="61">
        <f>'БазНорм (обр)'!J281</f>
        <v>1</v>
      </c>
      <c r="D289" s="122">
        <f>'БазНорм (обр)'!K281</f>
        <v>131.66666666666666</v>
      </c>
      <c r="E289" s="125">
        <f t="shared" si="7"/>
        <v>8.2774518021793799</v>
      </c>
      <c r="F289" s="192"/>
    </row>
    <row r="290" spans="1:6" ht="26" outlineLevel="3" x14ac:dyDescent="0.3">
      <c r="A290" s="26" t="str">
        <f>'БазНорм (обр)'!A282</f>
        <v>Средство для чистки туалетов (САНОКС)</v>
      </c>
      <c r="B290" s="52">
        <f>'БазНорм (обр)'!C282</f>
        <v>0</v>
      </c>
      <c r="C290" s="61">
        <f>'БазНорм (обр)'!J282</f>
        <v>1</v>
      </c>
      <c r="D290" s="122">
        <f>'БазНорм (обр)'!K282</f>
        <v>64.84</v>
      </c>
      <c r="E290" s="125">
        <f t="shared" si="7"/>
        <v>0</v>
      </c>
      <c r="F290" s="192"/>
    </row>
    <row r="291" spans="1:6" ht="26" outlineLevel="3" x14ac:dyDescent="0.3">
      <c r="A291" s="26" t="str">
        <f>'БазНорм (обр)'!A283</f>
        <v>Средство дизенфицирующее Дихлор(300 таблеток)</v>
      </c>
      <c r="B291" s="52">
        <f>'БазНорм (обр)'!C283</f>
        <v>3.143336127409891E-2</v>
      </c>
      <c r="C291" s="61">
        <f>'БазНорм (обр)'!J283</f>
        <v>1</v>
      </c>
      <c r="D291" s="122">
        <f>'БазНорм (обр)'!K283</f>
        <v>792</v>
      </c>
      <c r="E291" s="125">
        <f t="shared" si="7"/>
        <v>24.895222129086338</v>
      </c>
      <c r="F291" s="192"/>
    </row>
    <row r="292" spans="1:6" outlineLevel="3" x14ac:dyDescent="0.3">
      <c r="A292" s="26" t="str">
        <f>'БазНорм (обр)'!A284</f>
        <v>Средство для мытья пола 5 л</v>
      </c>
      <c r="B292" s="52">
        <f>'БазНорм (обр)'!C284</f>
        <v>6.286672254819782E-2</v>
      </c>
      <c r="C292" s="61">
        <f>'БазНорм (обр)'!J284</f>
        <v>1</v>
      </c>
      <c r="D292" s="122">
        <f>'БазНорм (обр)'!K284</f>
        <v>1513.3333333333333</v>
      </c>
      <c r="E292" s="125">
        <f t="shared" si="7"/>
        <v>95.138306789606034</v>
      </c>
      <c r="F292" s="192"/>
    </row>
    <row r="293" spans="1:6" s="60" customFormat="1" outlineLevel="2" x14ac:dyDescent="0.3">
      <c r="A293" s="33" t="s">
        <v>31</v>
      </c>
      <c r="B293" s="51" t="s">
        <v>3</v>
      </c>
      <c r="C293" s="126" t="s">
        <v>3</v>
      </c>
      <c r="D293" s="127" t="s">
        <v>3</v>
      </c>
      <c r="E293" s="127">
        <f>SUM(E294:E296)</f>
        <v>0</v>
      </c>
      <c r="F293" s="192"/>
    </row>
    <row r="294" spans="1:6" ht="26" outlineLevel="3" x14ac:dyDescent="0.3">
      <c r="A294" s="26" t="str">
        <f>'БазНорм (обр)'!A286</f>
        <v>Спец одежда. Костюм мужской</v>
      </c>
      <c r="B294" s="52">
        <f>'БазНорм (обр)'!C286</f>
        <v>0</v>
      </c>
      <c r="C294" s="61">
        <f>'БазНорм (обр)'!J286</f>
        <v>1</v>
      </c>
      <c r="D294" s="122">
        <f>'БазНорм (обр)'!K286</f>
        <v>3978.3333333333335</v>
      </c>
      <c r="E294" s="125">
        <f>B294/C294*D294</f>
        <v>0</v>
      </c>
      <c r="F294" s="192"/>
    </row>
    <row r="295" spans="1:6" outlineLevel="3" x14ac:dyDescent="0.3">
      <c r="A295" s="26" t="str">
        <f>'БазНорм (обр)'!A287</f>
        <v>Спец одежда. Халат женскй</v>
      </c>
      <c r="B295" s="52">
        <f>'БазНорм (обр)'!C287</f>
        <v>0</v>
      </c>
      <c r="C295" s="61">
        <f>'БазНорм (обр)'!J287</f>
        <v>1</v>
      </c>
      <c r="D295" s="122">
        <f>'БазНорм (обр)'!K287</f>
        <v>870</v>
      </c>
      <c r="E295" s="125">
        <f>B295/C295*D295</f>
        <v>0</v>
      </c>
      <c r="F295" s="192"/>
    </row>
    <row r="296" spans="1:6" outlineLevel="3" x14ac:dyDescent="0.3">
      <c r="A296" s="26" t="str">
        <f>'БазНорм (обр)'!A288</f>
        <v>Халат капроновый рабочий</v>
      </c>
      <c r="B296" s="52">
        <f>'БазНорм (обр)'!C288</f>
        <v>0</v>
      </c>
      <c r="C296" s="61">
        <f>'БазНорм (обр)'!J288</f>
        <v>1</v>
      </c>
      <c r="D296" s="122">
        <f>'БазНорм (обр)'!K288</f>
        <v>791.33333333333337</v>
      </c>
      <c r="E296" s="125">
        <f>B296/C296*D296</f>
        <v>0</v>
      </c>
      <c r="F296" s="192"/>
    </row>
    <row r="297" spans="1:6" ht="52" outlineLevel="2" x14ac:dyDescent="0.3">
      <c r="A297" s="33" t="s">
        <v>479</v>
      </c>
      <c r="B297" s="51" t="s">
        <v>3</v>
      </c>
      <c r="C297" s="126" t="s">
        <v>3</v>
      </c>
      <c r="D297" s="127" t="s">
        <v>3</v>
      </c>
      <c r="E297" s="127">
        <f>SUM(E298:E341)</f>
        <v>0</v>
      </c>
      <c r="F297" s="192"/>
    </row>
    <row r="298" spans="1:6" ht="26" outlineLevel="3" x14ac:dyDescent="0.3">
      <c r="A298" s="26" t="str">
        <f>'БазНорм (обр)'!A290</f>
        <v>Ножовка по металлу 300мм(5 см,полотен)</v>
      </c>
      <c r="B298" s="52">
        <f>'БазНорм (обр)'!C290</f>
        <v>0</v>
      </c>
      <c r="C298" s="61">
        <f>'БазНорм (обр)'!J290</f>
        <v>1</v>
      </c>
      <c r="D298" s="122">
        <f>'БазНорм (обр)'!K290</f>
        <v>283.33333333333331</v>
      </c>
      <c r="E298" s="125">
        <f t="shared" ref="E298:E307" si="8">B298/C298*D298</f>
        <v>0</v>
      </c>
      <c r="F298" s="192"/>
    </row>
    <row r="299" spans="1:6" outlineLevel="3" x14ac:dyDescent="0.3">
      <c r="A299" s="26" t="str">
        <f>'БазНорм (обр)'!A291</f>
        <v>Ножовка по дереву 350мм</v>
      </c>
      <c r="B299" s="52">
        <f>'БазНорм (обр)'!C291</f>
        <v>0</v>
      </c>
      <c r="C299" s="61">
        <f>'БазНорм (обр)'!J291</f>
        <v>1</v>
      </c>
      <c r="D299" s="122">
        <f>'БазНорм (обр)'!K291</f>
        <v>483.34</v>
      </c>
      <c r="E299" s="125">
        <f t="shared" si="8"/>
        <v>0</v>
      </c>
      <c r="F299" s="192"/>
    </row>
    <row r="300" spans="1:6" outlineLevel="3" x14ac:dyDescent="0.3">
      <c r="A300" s="26" t="str">
        <f>'БазНорм (обр)'!A292</f>
        <v>Стамеска  16мм</v>
      </c>
      <c r="B300" s="52">
        <f>'БазНорм (обр)'!C292</f>
        <v>0</v>
      </c>
      <c r="C300" s="61">
        <f>'БазНорм (обр)'!J292</f>
        <v>1</v>
      </c>
      <c r="D300" s="122">
        <f>'БазНорм (обр)'!K292</f>
        <v>233.33333333333334</v>
      </c>
      <c r="E300" s="125">
        <f t="shared" si="8"/>
        <v>0</v>
      </c>
      <c r="F300" s="192"/>
    </row>
    <row r="301" spans="1:6" outlineLevel="3" x14ac:dyDescent="0.3">
      <c r="A301" s="26" t="str">
        <f>'БазНорм (обр)'!A293</f>
        <v>Молоток</v>
      </c>
      <c r="B301" s="52">
        <f>'БазНорм (обр)'!C293</f>
        <v>0</v>
      </c>
      <c r="C301" s="61">
        <f>'БазНорм (обр)'!J293</f>
        <v>1</v>
      </c>
      <c r="D301" s="122">
        <f>'БазНорм (обр)'!K293</f>
        <v>230</v>
      </c>
      <c r="E301" s="125">
        <f t="shared" si="8"/>
        <v>0</v>
      </c>
      <c r="F301" s="192"/>
    </row>
    <row r="302" spans="1:6" outlineLevel="3" x14ac:dyDescent="0.3">
      <c r="A302" s="26" t="str">
        <f>'БазНорм (обр)'!A294</f>
        <v>Набор напильников</v>
      </c>
      <c r="B302" s="52">
        <f>'БазНорм (обр)'!C294</f>
        <v>0</v>
      </c>
      <c r="C302" s="61">
        <f>'БазНорм (обр)'!J294</f>
        <v>1</v>
      </c>
      <c r="D302" s="122">
        <f>'БазНорм (обр)'!K294</f>
        <v>1846.6666666666667</v>
      </c>
      <c r="E302" s="125">
        <f t="shared" si="8"/>
        <v>0</v>
      </c>
      <c r="F302" s="192"/>
    </row>
    <row r="303" spans="1:6" outlineLevel="3" x14ac:dyDescent="0.3">
      <c r="A303" s="26" t="str">
        <f>'БазНорм (обр)'!A295</f>
        <v>Ведро пластик 10л</v>
      </c>
      <c r="B303" s="52">
        <f>'БазНорм (обр)'!C295</f>
        <v>0</v>
      </c>
      <c r="C303" s="61">
        <f>'БазНорм (обр)'!J295</f>
        <v>1</v>
      </c>
      <c r="D303" s="122">
        <f>'БазНорм (обр)'!K295</f>
        <v>153.66666666666666</v>
      </c>
      <c r="E303" s="125">
        <f t="shared" si="8"/>
        <v>0</v>
      </c>
      <c r="F303" s="192"/>
    </row>
    <row r="304" spans="1:6" outlineLevel="3" x14ac:dyDescent="0.3">
      <c r="A304" s="26" t="str">
        <f>'БазНорм (обр)'!A296</f>
        <v>Ведро оцинкованное 15л</v>
      </c>
      <c r="B304" s="52">
        <f>'БазНорм (обр)'!C296</f>
        <v>0</v>
      </c>
      <c r="C304" s="61">
        <f>'БазНорм (обр)'!J296</f>
        <v>1</v>
      </c>
      <c r="D304" s="122">
        <f>'БазНорм (обр)'!K296</f>
        <v>232</v>
      </c>
      <c r="E304" s="125">
        <f t="shared" si="8"/>
        <v>0</v>
      </c>
      <c r="F304" s="192"/>
    </row>
    <row r="305" spans="1:6" outlineLevel="3" x14ac:dyDescent="0.3">
      <c r="A305" s="26" t="str">
        <f>'БазНорм (обр)'!A297</f>
        <v>Ерш унитазный</v>
      </c>
      <c r="B305" s="52">
        <f>'БазНорм (обр)'!C297</f>
        <v>0</v>
      </c>
      <c r="C305" s="61">
        <f>'БазНорм (обр)'!J297</f>
        <v>1</v>
      </c>
      <c r="D305" s="122">
        <f>'БазНорм (обр)'!K297</f>
        <v>57.666666666666664</v>
      </c>
      <c r="E305" s="125">
        <f t="shared" si="8"/>
        <v>0</v>
      </c>
      <c r="F305" s="192"/>
    </row>
    <row r="306" spans="1:6" outlineLevel="3" x14ac:dyDescent="0.3">
      <c r="A306" s="26" t="str">
        <f>'БазНорм (обр)'!A298</f>
        <v xml:space="preserve">Замок врезной </v>
      </c>
      <c r="B306" s="52">
        <f>'БазНорм (обр)'!C298</f>
        <v>0</v>
      </c>
      <c r="C306" s="61">
        <f>'БазНорм (обр)'!J298</f>
        <v>1</v>
      </c>
      <c r="D306" s="122">
        <f>'БазНорм (обр)'!K298</f>
        <v>239.26666666666665</v>
      </c>
      <c r="E306" s="125">
        <f t="shared" si="8"/>
        <v>0</v>
      </c>
      <c r="F306" s="192"/>
    </row>
    <row r="307" spans="1:6" outlineLevel="3" x14ac:dyDescent="0.3">
      <c r="A307" s="26" t="str">
        <f>'БазНорм (обр)'!A299</f>
        <v>Замок навесной</v>
      </c>
      <c r="B307" s="52">
        <f>'БазНорм (обр)'!C299</f>
        <v>0</v>
      </c>
      <c r="C307" s="61">
        <f>'БазНорм (обр)'!J299</f>
        <v>1</v>
      </c>
      <c r="D307" s="122">
        <f>'БазНорм (обр)'!K299</f>
        <v>455</v>
      </c>
      <c r="E307" s="125">
        <f t="shared" si="8"/>
        <v>0</v>
      </c>
      <c r="F307" s="192"/>
    </row>
    <row r="308" spans="1:6" outlineLevel="3" x14ac:dyDescent="0.3">
      <c r="A308" s="26" t="str">
        <f>'БазНорм (обр)'!A300</f>
        <v>Изолента</v>
      </c>
      <c r="B308" s="52">
        <f>'БазНорм (обр)'!C300</f>
        <v>0</v>
      </c>
      <c r="C308" s="61">
        <f>'БазНорм (обр)'!J300</f>
        <v>1</v>
      </c>
      <c r="D308" s="122">
        <f>'БазНорм (обр)'!K300</f>
        <v>49.333333333333336</v>
      </c>
      <c r="E308" s="125">
        <f>B308*D308</f>
        <v>0</v>
      </c>
      <c r="F308" s="192"/>
    </row>
    <row r="309" spans="1:6" outlineLevel="3" x14ac:dyDescent="0.3">
      <c r="A309" s="26" t="str">
        <f>'БазНорм (обр)'!A301</f>
        <v>Лопата снеговая с черенком</v>
      </c>
      <c r="B309" s="52">
        <f>'БазНорм (обр)'!C301</f>
        <v>0</v>
      </c>
      <c r="C309" s="61">
        <f>'БазНорм (обр)'!J301</f>
        <v>1</v>
      </c>
      <c r="D309" s="122">
        <f>'БазНорм (обр)'!K301</f>
        <v>504.33333333333331</v>
      </c>
      <c r="E309" s="125">
        <f>B309/C309*D309</f>
        <v>0</v>
      </c>
      <c r="F309" s="192"/>
    </row>
    <row r="310" spans="1:6" outlineLevel="3" x14ac:dyDescent="0.3">
      <c r="A310" s="26" t="str">
        <f>'БазНорм (обр)'!A302</f>
        <v>Лопата совковая с черенком</v>
      </c>
      <c r="B310" s="52">
        <f>'БазНорм (обр)'!C302</f>
        <v>0</v>
      </c>
      <c r="C310" s="61">
        <f>'БазНорм (обр)'!J302</f>
        <v>1</v>
      </c>
      <c r="D310" s="122">
        <f>'БазНорм (обр)'!K302</f>
        <v>212.66666666666666</v>
      </c>
      <c r="E310" s="125">
        <f>B310/C310*D310</f>
        <v>0</v>
      </c>
      <c r="F310" s="192"/>
    </row>
    <row r="311" spans="1:6" outlineLevel="3" x14ac:dyDescent="0.3">
      <c r="A311" s="26" t="str">
        <f>'БазНорм (обр)'!A303</f>
        <v>Лопата штыковая с черенком</v>
      </c>
      <c r="B311" s="52">
        <f>'БазНорм (обр)'!C303</f>
        <v>0</v>
      </c>
      <c r="C311" s="61">
        <f>'БазНорм (обр)'!J303</f>
        <v>1</v>
      </c>
      <c r="D311" s="122">
        <f>'БазНорм (обр)'!K303</f>
        <v>532.33333333333337</v>
      </c>
      <c r="E311" s="125">
        <f>B311/C311*D311</f>
        <v>0</v>
      </c>
      <c r="F311" s="192"/>
    </row>
    <row r="312" spans="1:6" outlineLevel="3" x14ac:dyDescent="0.3">
      <c r="A312" s="26" t="str">
        <f>'БазНорм (обр)'!A304</f>
        <v>Мешок п/п зеленый</v>
      </c>
      <c r="B312" s="52">
        <f>'БазНорм (обр)'!C304</f>
        <v>0</v>
      </c>
      <c r="C312" s="61">
        <f>'БазНорм (обр)'!J304</f>
        <v>1</v>
      </c>
      <c r="D312" s="122">
        <f>'БазНорм (обр)'!K304</f>
        <v>28.710000000000004</v>
      </c>
      <c r="E312" s="125">
        <f>B312*D312</f>
        <v>0</v>
      </c>
      <c r="F312" s="192"/>
    </row>
    <row r="313" spans="1:6" outlineLevel="3" x14ac:dyDescent="0.3">
      <c r="A313" s="26" t="str">
        <f>'БазНорм (обр)'!A305</f>
        <v>Насадка на швабру</v>
      </c>
      <c r="B313" s="52">
        <f>'БазНорм (обр)'!C305</f>
        <v>0</v>
      </c>
      <c r="C313" s="61">
        <f>'БазНорм (обр)'!J305</f>
        <v>1</v>
      </c>
      <c r="D313" s="122">
        <f>'БазНорм (обр)'!K305</f>
        <v>159.5</v>
      </c>
      <c r="E313" s="125">
        <f>B313*D313</f>
        <v>0</v>
      </c>
      <c r="F313" s="192"/>
    </row>
    <row r="314" spans="1:6" outlineLevel="3" x14ac:dyDescent="0.3">
      <c r="A314" s="26" t="str">
        <f>'БазНорм (обр)'!A306</f>
        <v>Швабра для пола</v>
      </c>
      <c r="B314" s="52">
        <f>'БазНорм (обр)'!C306</f>
        <v>0</v>
      </c>
      <c r="C314" s="61">
        <f>'БазНорм (обр)'!J306</f>
        <v>1</v>
      </c>
      <c r="D314" s="122">
        <f>'БазНорм (обр)'!K306</f>
        <v>307.39999999999998</v>
      </c>
      <c r="E314" s="125">
        <f>B314/C314*D314</f>
        <v>0</v>
      </c>
      <c r="F314" s="192"/>
    </row>
    <row r="315" spans="1:6" outlineLevel="3" x14ac:dyDescent="0.3">
      <c r="A315" s="26" t="str">
        <f>'БазНорм (обр)'!A307</f>
        <v>Веник пластик</v>
      </c>
      <c r="B315" s="52">
        <f>'БазНорм (обр)'!C307</f>
        <v>0</v>
      </c>
      <c r="C315" s="61">
        <f>'БазНорм (обр)'!J307</f>
        <v>1</v>
      </c>
      <c r="D315" s="122">
        <f>'БазНорм (обр)'!K307</f>
        <v>177.43333333333331</v>
      </c>
      <c r="E315" s="125">
        <f>B315/C315*D315</f>
        <v>0</v>
      </c>
      <c r="F315" s="192"/>
    </row>
    <row r="316" spans="1:6" ht="26" outlineLevel="3" x14ac:dyDescent="0.3">
      <c r="A316" s="26" t="str">
        <f>'БазНорм (обр)'!A308</f>
        <v>Пакеты для мусора 120 л черные</v>
      </c>
      <c r="B316" s="52">
        <f>'БазНорм (обр)'!C308</f>
        <v>0</v>
      </c>
      <c r="C316" s="61">
        <f>'БазНорм (обр)'!J308</f>
        <v>1</v>
      </c>
      <c r="D316" s="122">
        <f>'БазНорм (обр)'!K308</f>
        <v>18</v>
      </c>
      <c r="E316" s="125">
        <f t="shared" ref="E316:E323" si="9">B316*D316</f>
        <v>0</v>
      </c>
      <c r="F316" s="192"/>
    </row>
    <row r="317" spans="1:6" outlineLevel="3" x14ac:dyDescent="0.3">
      <c r="A317" s="26" t="str">
        <f>'БазНорм (обр)'!A309</f>
        <v>Пакеты для мусора 30л.*50 шт.</v>
      </c>
      <c r="B317" s="52">
        <f>'БазНорм (обр)'!C309</f>
        <v>0</v>
      </c>
      <c r="C317" s="61">
        <f>'БазНорм (обр)'!J309</f>
        <v>1</v>
      </c>
      <c r="D317" s="122">
        <f>'БазНорм (обр)'!K309</f>
        <v>63.6</v>
      </c>
      <c r="E317" s="125">
        <f t="shared" si="9"/>
        <v>0</v>
      </c>
      <c r="F317" s="192"/>
    </row>
    <row r="318" spans="1:6" ht="26" outlineLevel="3" x14ac:dyDescent="0.3">
      <c r="A318" s="26" t="str">
        <f>'БазНорм (обр)'!A310</f>
        <v>Пакеты для мусора 120 л. *10 шт.</v>
      </c>
      <c r="B318" s="52">
        <f>'БазНорм (обр)'!C310</f>
        <v>0</v>
      </c>
      <c r="C318" s="61">
        <f>'БазНорм (обр)'!J310</f>
        <v>1</v>
      </c>
      <c r="D318" s="122">
        <f>'БазНорм (обр)'!K310</f>
        <v>85.066666666666663</v>
      </c>
      <c r="E318" s="125">
        <f t="shared" si="9"/>
        <v>0</v>
      </c>
      <c r="F318" s="192"/>
    </row>
    <row r="319" spans="1:6" outlineLevel="3" x14ac:dyDescent="0.3">
      <c r="A319" s="26" t="str">
        <f>'БазНорм (обр)'!A311</f>
        <v>Перчатки латексные</v>
      </c>
      <c r="B319" s="52">
        <f>'БазНорм (обр)'!C311</f>
        <v>0</v>
      </c>
      <c r="C319" s="61">
        <f>'БазНорм (обр)'!J311</f>
        <v>1</v>
      </c>
      <c r="D319" s="122">
        <f>'БазНорм (обр)'!K311</f>
        <v>60.666666666666664</v>
      </c>
      <c r="E319" s="125">
        <f t="shared" si="9"/>
        <v>0</v>
      </c>
      <c r="F319" s="192"/>
    </row>
    <row r="320" spans="1:6" outlineLevel="3" x14ac:dyDescent="0.3">
      <c r="A320" s="26" t="str">
        <f>'БазНорм (обр)'!A312</f>
        <v>Перчатки резиновые НЭП</v>
      </c>
      <c r="B320" s="52">
        <f>'БазНорм (обр)'!C312</f>
        <v>0</v>
      </c>
      <c r="C320" s="61">
        <f>'БазНорм (обр)'!J312</f>
        <v>1</v>
      </c>
      <c r="D320" s="122">
        <f>'БазНорм (обр)'!K312</f>
        <v>63.6</v>
      </c>
      <c r="E320" s="125">
        <f t="shared" si="9"/>
        <v>0</v>
      </c>
      <c r="F320" s="192"/>
    </row>
    <row r="321" spans="1:6" outlineLevel="3" x14ac:dyDescent="0.3">
      <c r="A321" s="26" t="str">
        <f>'БазНорм (обр)'!A313</f>
        <v>Перчатки ХБ ПВХ</v>
      </c>
      <c r="B321" s="52">
        <f>'БазНорм (обр)'!C313</f>
        <v>0</v>
      </c>
      <c r="C321" s="61">
        <f>'БазНорм (обр)'!J313</f>
        <v>1</v>
      </c>
      <c r="D321" s="122">
        <f>'БазНорм (обр)'!K313</f>
        <v>30.599999999999998</v>
      </c>
      <c r="E321" s="125">
        <f t="shared" si="9"/>
        <v>0</v>
      </c>
      <c r="F321" s="192"/>
    </row>
    <row r="322" spans="1:6" outlineLevel="3" x14ac:dyDescent="0.3">
      <c r="A322" s="26" t="str">
        <f>'БазНорм (обр)'!A314</f>
        <v>Полотно вафельное</v>
      </c>
      <c r="B322" s="52">
        <f>'БазНорм (обр)'!C314</f>
        <v>0</v>
      </c>
      <c r="C322" s="61">
        <f>'БазНорм (обр)'!J314</f>
        <v>1</v>
      </c>
      <c r="D322" s="122">
        <f>'БазНорм (обр)'!K314</f>
        <v>110.66666666666667</v>
      </c>
      <c r="E322" s="125">
        <f t="shared" si="9"/>
        <v>0</v>
      </c>
      <c r="F322" s="192"/>
    </row>
    <row r="323" spans="1:6" outlineLevel="3" x14ac:dyDescent="0.3">
      <c r="A323" s="26" t="str">
        <f>'БазНорм (обр)'!A315</f>
        <v>Полотенечная ткань</v>
      </c>
      <c r="B323" s="52">
        <f>'БазНорм (обр)'!C315</f>
        <v>0</v>
      </c>
      <c r="C323" s="61">
        <f>'БазНорм (обр)'!J315</f>
        <v>1</v>
      </c>
      <c r="D323" s="122">
        <f>'БазНорм (обр)'!K315</f>
        <v>74.2</v>
      </c>
      <c r="E323" s="125">
        <f t="shared" si="9"/>
        <v>0</v>
      </c>
      <c r="F323" s="192"/>
    </row>
    <row r="324" spans="1:6" outlineLevel="3" x14ac:dyDescent="0.3">
      <c r="A324" s="26" t="str">
        <f>'БазНорм (обр)'!A316</f>
        <v>Полотно для мытья пола</v>
      </c>
      <c r="B324" s="52">
        <f>'БазНорм (обр)'!C316</f>
        <v>0</v>
      </c>
      <c r="C324" s="61">
        <f>'БазНорм (обр)'!J316</f>
        <v>1</v>
      </c>
      <c r="D324" s="122">
        <f>'БазНорм (обр)'!K316</f>
        <v>126.33333333333333</v>
      </c>
      <c r="E324" s="125">
        <f t="shared" ref="E324:E334" si="10">B324/C324*D324</f>
        <v>0</v>
      </c>
      <c r="F324" s="192"/>
    </row>
    <row r="325" spans="1:6" outlineLevel="3" x14ac:dyDescent="0.3">
      <c r="A325" s="26" t="str">
        <f>'БазНорм (обр)'!A317</f>
        <v>Швабра отжим. губ с ведром</v>
      </c>
      <c r="B325" s="52">
        <f>'БазНорм (обр)'!C317</f>
        <v>0</v>
      </c>
      <c r="C325" s="61">
        <f>'БазНорм (обр)'!J317</f>
        <v>1</v>
      </c>
      <c r="D325" s="122">
        <f>'БазНорм (обр)'!K317</f>
        <v>850.66666666666663</v>
      </c>
      <c r="E325" s="125">
        <f t="shared" si="10"/>
        <v>0</v>
      </c>
      <c r="F325" s="192"/>
    </row>
    <row r="326" spans="1:6" outlineLevel="3" x14ac:dyDescent="0.3">
      <c r="A326" s="26" t="str">
        <f>'БазНорм (обр)'!A318</f>
        <v>Перфоратор аккумуляторный</v>
      </c>
      <c r="B326" s="52">
        <f>'БазНорм (обр)'!C318</f>
        <v>0</v>
      </c>
      <c r="C326" s="61">
        <f>'БазНорм (обр)'!J318</f>
        <v>5</v>
      </c>
      <c r="D326" s="122">
        <f>'БазНорм (обр)'!K318</f>
        <v>10852</v>
      </c>
      <c r="E326" s="125">
        <f t="shared" si="10"/>
        <v>0</v>
      </c>
      <c r="F326" s="192"/>
    </row>
    <row r="327" spans="1:6" outlineLevel="3" x14ac:dyDescent="0.3">
      <c r="A327" s="26" t="str">
        <f>'БазНорм (обр)'!A319</f>
        <v>Бензиновый триммер</v>
      </c>
      <c r="B327" s="52">
        <f>'БазНорм (обр)'!C319</f>
        <v>0</v>
      </c>
      <c r="C327" s="61">
        <f>'БазНорм (обр)'!J319</f>
        <v>5</v>
      </c>
      <c r="D327" s="122">
        <f>'БазНорм (обр)'!K319</f>
        <v>7200</v>
      </c>
      <c r="E327" s="125">
        <f t="shared" si="10"/>
        <v>0</v>
      </c>
      <c r="F327" s="192"/>
    </row>
    <row r="328" spans="1:6" outlineLevel="3" x14ac:dyDescent="0.3">
      <c r="A328" s="26" t="str">
        <f>'БазНорм (обр)'!A320</f>
        <v xml:space="preserve">Рубанок HAMMER </v>
      </c>
      <c r="B328" s="52">
        <f>'БазНорм (обр)'!C320</f>
        <v>0</v>
      </c>
      <c r="C328" s="61">
        <f>'БазНорм (обр)'!J320</f>
        <v>5</v>
      </c>
      <c r="D328" s="122">
        <f>'БазНорм (обр)'!K320</f>
        <v>12600</v>
      </c>
      <c r="E328" s="125">
        <f t="shared" si="10"/>
        <v>0</v>
      </c>
      <c r="F328" s="192"/>
    </row>
    <row r="329" spans="1:6" outlineLevel="3" x14ac:dyDescent="0.3">
      <c r="A329" s="26" t="str">
        <f>'БазНорм (обр)'!A321</f>
        <v>Пила циркулярная HAMMER</v>
      </c>
      <c r="B329" s="52">
        <f>'БазНорм (обр)'!C321</f>
        <v>0</v>
      </c>
      <c r="C329" s="61">
        <f>'БазНорм (обр)'!J321</f>
        <v>5</v>
      </c>
      <c r="D329" s="122">
        <f>'БазНорм (обр)'!K321</f>
        <v>9483.3333333333339</v>
      </c>
      <c r="E329" s="125">
        <f t="shared" si="10"/>
        <v>0</v>
      </c>
      <c r="F329" s="192"/>
    </row>
    <row r="330" spans="1:6" outlineLevel="3" x14ac:dyDescent="0.3">
      <c r="A330" s="26" t="str">
        <f>'БазНорм (обр)'!A322</f>
        <v>Точило HAMMER</v>
      </c>
      <c r="B330" s="52">
        <f>'БазНорм (обр)'!C322</f>
        <v>0</v>
      </c>
      <c r="C330" s="61">
        <f>'БазНорм (обр)'!J322</f>
        <v>5</v>
      </c>
      <c r="D330" s="122">
        <f>'БазНорм (обр)'!K322</f>
        <v>6900</v>
      </c>
      <c r="E330" s="125">
        <f t="shared" si="10"/>
        <v>0</v>
      </c>
      <c r="F330" s="192"/>
    </row>
    <row r="331" spans="1:6" ht="26" outlineLevel="3" x14ac:dyDescent="0.3">
      <c r="A331" s="26" t="str">
        <f>'БазНорм (обр)'!A323</f>
        <v>Набор сверл по металлу от 1 до 10(19шт)</v>
      </c>
      <c r="B331" s="52">
        <f>'БазНорм (обр)'!C323</f>
        <v>0</v>
      </c>
      <c r="C331" s="61">
        <f>'БазНорм (обр)'!J323</f>
        <v>1</v>
      </c>
      <c r="D331" s="122">
        <f>'БазНорм (обр)'!K323</f>
        <v>843.33333333333337</v>
      </c>
      <c r="E331" s="125">
        <f t="shared" si="10"/>
        <v>0</v>
      </c>
      <c r="F331" s="192"/>
    </row>
    <row r="332" spans="1:6" ht="26" outlineLevel="3" x14ac:dyDescent="0.3">
      <c r="A332" s="26" t="str">
        <f>'БазНорм (обр)'!A324</f>
        <v>Тряпкодержатель с салфеткой для пола усиленный</v>
      </c>
      <c r="B332" s="52">
        <f>'БазНорм (обр)'!C324</f>
        <v>0</v>
      </c>
      <c r="C332" s="61">
        <f>'БазНорм (обр)'!J324</f>
        <v>1</v>
      </c>
      <c r="D332" s="122">
        <f>'БазНорм (обр)'!K324</f>
        <v>689.67</v>
      </c>
      <c r="E332" s="125">
        <f t="shared" si="10"/>
        <v>0</v>
      </c>
      <c r="F332" s="192"/>
    </row>
    <row r="333" spans="1:6" outlineLevel="3" x14ac:dyDescent="0.3">
      <c r="A333" s="26" t="str">
        <f>'БазНорм (обр)'!A325</f>
        <v>Замки навесные маленькие</v>
      </c>
      <c r="B333" s="52">
        <f>'БазНорм (обр)'!C325</f>
        <v>0</v>
      </c>
      <c r="C333" s="61">
        <f>'БазНорм (обр)'!J325</f>
        <v>1</v>
      </c>
      <c r="D333" s="122">
        <f>'БазНорм (обр)'!K325</f>
        <v>242.66666666666666</v>
      </c>
      <c r="E333" s="125">
        <f t="shared" si="10"/>
        <v>0</v>
      </c>
      <c r="F333" s="192"/>
    </row>
    <row r="334" spans="1:6" outlineLevel="3" x14ac:dyDescent="0.3">
      <c r="A334" s="26" t="str">
        <f>'БазНорм (обр)'!A326</f>
        <v>Замки навесные большие</v>
      </c>
      <c r="B334" s="52">
        <f>'БазНорм (обр)'!C326</f>
        <v>0</v>
      </c>
      <c r="C334" s="61">
        <f>'БазНорм (обр)'!J326</f>
        <v>1</v>
      </c>
      <c r="D334" s="122">
        <f>'БазНорм (обр)'!K326</f>
        <v>483.66666666666669</v>
      </c>
      <c r="E334" s="125">
        <f t="shared" si="10"/>
        <v>0</v>
      </c>
      <c r="F334" s="192"/>
    </row>
    <row r="335" spans="1:6" outlineLevel="3" x14ac:dyDescent="0.3">
      <c r="A335" s="26" t="str">
        <f>'БазНорм (обр)'!A327</f>
        <v>Знаки вспомогательные</v>
      </c>
      <c r="B335" s="52">
        <f>'БазНорм (обр)'!C327</f>
        <v>0</v>
      </c>
      <c r="C335" s="61">
        <f>'БазНорм (обр)'!J327</f>
        <v>1</v>
      </c>
      <c r="D335" s="122">
        <f>'БазНорм (обр)'!K327</f>
        <v>42.300000000000004</v>
      </c>
      <c r="E335" s="125">
        <f t="shared" ref="E335:E341" si="11">B335*D335</f>
        <v>0</v>
      </c>
      <c r="F335" s="192"/>
    </row>
    <row r="336" spans="1:6" outlineLevel="3" x14ac:dyDescent="0.3">
      <c r="A336" s="26" t="str">
        <f>'БазНорм (обр)'!A328</f>
        <v>Знаки эвакуационные</v>
      </c>
      <c r="B336" s="52">
        <f>'БазНорм (обр)'!C328</f>
        <v>0</v>
      </c>
      <c r="C336" s="61">
        <f>'БазНорм (обр)'!J328</f>
        <v>1</v>
      </c>
      <c r="D336" s="122">
        <f>'БазНорм (обр)'!K328</f>
        <v>101.33333333333333</v>
      </c>
      <c r="E336" s="125">
        <f t="shared" si="11"/>
        <v>0</v>
      </c>
      <c r="F336" s="192"/>
    </row>
    <row r="337" spans="1:6" outlineLevel="3" x14ac:dyDescent="0.3">
      <c r="A337" s="26" t="str">
        <f>'БазНорм (обр)'!A329</f>
        <v>Бумага туалетная</v>
      </c>
      <c r="B337" s="52">
        <f>'БазНорм (обр)'!C329</f>
        <v>0</v>
      </c>
      <c r="C337" s="61">
        <f>'БазНорм (обр)'!J329</f>
        <v>1</v>
      </c>
      <c r="D337" s="122">
        <f>'БазНорм (обр)'!K329</f>
        <v>8.73</v>
      </c>
      <c r="E337" s="125">
        <f t="shared" si="11"/>
        <v>0</v>
      </c>
      <c r="F337" s="192"/>
    </row>
    <row r="338" spans="1:6" outlineLevel="3" x14ac:dyDescent="0.3">
      <c r="A338" s="26" t="str">
        <f>'БазНорм (обр)'!A330</f>
        <v>Бумажные полотенца 2 шт.</v>
      </c>
      <c r="B338" s="52">
        <f>'БазНорм (обр)'!C330</f>
        <v>0</v>
      </c>
      <c r="C338" s="61">
        <f>'БазНорм (обр)'!J330</f>
        <v>1</v>
      </c>
      <c r="D338" s="122">
        <f>'БазНорм (обр)'!K330</f>
        <v>50.82</v>
      </c>
      <c r="E338" s="125">
        <f t="shared" si="11"/>
        <v>0</v>
      </c>
      <c r="F338" s="192"/>
    </row>
    <row r="339" spans="1:6" outlineLevel="3" x14ac:dyDescent="0.3">
      <c r="A339" s="26" t="str">
        <f>'БазНорм (обр)'!A331</f>
        <v>Салфетки</v>
      </c>
      <c r="B339" s="52">
        <f>'БазНорм (обр)'!C331</f>
        <v>0</v>
      </c>
      <c r="C339" s="61">
        <f>'БазНорм (обр)'!J331</f>
        <v>1</v>
      </c>
      <c r="D339" s="122">
        <f>'БазНорм (обр)'!K331</f>
        <v>20.37</v>
      </c>
      <c r="E339" s="125">
        <f t="shared" si="11"/>
        <v>0</v>
      </c>
      <c r="F339" s="192"/>
    </row>
    <row r="340" spans="1:6" outlineLevel="3" x14ac:dyDescent="0.3">
      <c r="A340" s="26" t="str">
        <f>'БазНорм (обр)'!A332</f>
        <v>Салфетки из микрофибры</v>
      </c>
      <c r="B340" s="52">
        <f>'БазНорм (обр)'!C332</f>
        <v>0</v>
      </c>
      <c r="C340" s="61">
        <f>'БазНорм (обр)'!J332</f>
        <v>1</v>
      </c>
      <c r="D340" s="122">
        <f>'БазНорм (обр)'!K332</f>
        <v>92.34</v>
      </c>
      <c r="E340" s="125">
        <f t="shared" si="11"/>
        <v>0</v>
      </c>
      <c r="F340" s="192"/>
    </row>
    <row r="341" spans="1:6" outlineLevel="3" x14ac:dyDescent="0.3">
      <c r="A341" s="26" t="str">
        <f>'БазНорм (обр)'!A333</f>
        <v>Платочки бумажные</v>
      </c>
      <c r="B341" s="52">
        <f>'БазНорм (обр)'!C333</f>
        <v>0</v>
      </c>
      <c r="C341" s="61">
        <f>'БазНорм (обр)'!J333</f>
        <v>1</v>
      </c>
      <c r="D341" s="122">
        <f>'БазНорм (обр)'!K333</f>
        <v>5.3</v>
      </c>
      <c r="E341" s="125">
        <f t="shared" si="11"/>
        <v>0</v>
      </c>
      <c r="F341" s="193"/>
    </row>
    <row r="342" spans="1:6" x14ac:dyDescent="0.3">
      <c r="A342" s="194" t="s">
        <v>101</v>
      </c>
      <c r="B342" s="194"/>
      <c r="C342" s="194"/>
      <c r="D342" s="194"/>
      <c r="E342" s="73">
        <f>E11+E162</f>
        <v>9939.2645635508125</v>
      </c>
      <c r="F342" s="57"/>
    </row>
  </sheetData>
  <mergeCells count="18">
    <mergeCell ref="A342:D342"/>
    <mergeCell ref="A163:D163"/>
    <mergeCell ref="A172:D172"/>
    <mergeCell ref="A202:D202"/>
    <mergeCell ref="A204:D204"/>
    <mergeCell ref="A208:D208"/>
    <mergeCell ref="A216:D216"/>
    <mergeCell ref="A212:D212"/>
    <mergeCell ref="A4:F4"/>
    <mergeCell ref="A5:F5"/>
    <mergeCell ref="A9:F9"/>
    <mergeCell ref="A10:F10"/>
    <mergeCell ref="A11:D11"/>
    <mergeCell ref="F11:F341"/>
    <mergeCell ref="A12:D12"/>
    <mergeCell ref="A15:D15"/>
    <mergeCell ref="A87:D87"/>
    <mergeCell ref="A162:D162"/>
  </mergeCells>
  <phoneticPr fontId="20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  <rowBreaks count="4" manualBreakCount="4">
    <brk id="196" max="5" man="1"/>
    <brk id="218" max="5" man="1"/>
    <brk id="244" max="5" man="1"/>
    <brk id="275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352"/>
  <sheetViews>
    <sheetView view="pageBreakPreview" zoomScale="85" zoomScaleNormal="100" zoomScaleSheetLayoutView="85" workbookViewId="0">
      <selection activeCell="D2" sqref="D2"/>
    </sheetView>
  </sheetViews>
  <sheetFormatPr defaultColWidth="8.81640625" defaultRowHeight="13" outlineLevelRow="3" x14ac:dyDescent="0.3"/>
  <cols>
    <col min="1" max="1" width="30.7265625" style="53" customWidth="1"/>
    <col min="2" max="2" width="28.81640625" style="53" customWidth="1"/>
    <col min="3" max="4" width="30.7265625" style="53" customWidth="1"/>
    <col min="5" max="16384" width="8.81640625" style="53"/>
  </cols>
  <sheetData>
    <row r="1" spans="1:4" ht="14.5" customHeight="1" x14ac:dyDescent="0.3">
      <c r="D1" s="157" t="s">
        <v>558</v>
      </c>
    </row>
    <row r="2" spans="1:4" ht="54" customHeight="1" x14ac:dyDescent="0.3">
      <c r="D2" s="158" t="s">
        <v>557</v>
      </c>
    </row>
    <row r="4" spans="1:4" x14ac:dyDescent="0.3">
      <c r="A4" s="182" t="s">
        <v>69</v>
      </c>
      <c r="B4" s="182"/>
      <c r="C4" s="182"/>
      <c r="D4" s="182"/>
    </row>
    <row r="5" spans="1:4" x14ac:dyDescent="0.3">
      <c r="A5" s="182" t="s">
        <v>70</v>
      </c>
      <c r="B5" s="182"/>
      <c r="C5" s="182"/>
      <c r="D5" s="182"/>
    </row>
    <row r="6" spans="1:4" x14ac:dyDescent="0.3">
      <c r="A6" s="182" t="s">
        <v>71</v>
      </c>
      <c r="B6" s="182"/>
      <c r="C6" s="182"/>
      <c r="D6" s="182"/>
    </row>
    <row r="7" spans="1:4" x14ac:dyDescent="0.3">
      <c r="A7" s="182" t="s">
        <v>72</v>
      </c>
      <c r="B7" s="182"/>
      <c r="C7" s="182"/>
      <c r="D7" s="182"/>
    </row>
    <row r="8" spans="1:4" x14ac:dyDescent="0.3">
      <c r="A8" s="8"/>
    </row>
    <row r="9" spans="1:4" ht="16.5" customHeight="1" x14ac:dyDescent="0.3">
      <c r="A9" s="56" t="s">
        <v>73</v>
      </c>
      <c r="B9" s="56" t="s">
        <v>74</v>
      </c>
      <c r="C9" s="56" t="s">
        <v>75</v>
      </c>
      <c r="D9" s="56" t="s">
        <v>76</v>
      </c>
    </row>
    <row r="10" spans="1:4" x14ac:dyDescent="0.3">
      <c r="A10" s="56">
        <v>1</v>
      </c>
      <c r="B10" s="56">
        <v>2</v>
      </c>
      <c r="C10" s="56">
        <v>3</v>
      </c>
      <c r="D10" s="56">
        <v>4</v>
      </c>
    </row>
    <row r="11" spans="1:4" x14ac:dyDescent="0.3">
      <c r="A11" s="184" t="s">
        <v>77</v>
      </c>
      <c r="B11" s="184"/>
      <c r="C11" s="184"/>
      <c r="D11" s="184"/>
    </row>
    <row r="12" spans="1:4" x14ac:dyDescent="0.3">
      <c r="A12" s="185" t="s">
        <v>495</v>
      </c>
      <c r="B12" s="185"/>
      <c r="C12" s="185"/>
      <c r="D12" s="185"/>
    </row>
    <row r="13" spans="1:4" x14ac:dyDescent="0.3">
      <c r="A13" s="184" t="s">
        <v>78</v>
      </c>
      <c r="B13" s="184"/>
      <c r="C13" s="184"/>
      <c r="D13" s="184"/>
    </row>
    <row r="14" spans="1:4" ht="40.5" customHeight="1" x14ac:dyDescent="0.3">
      <c r="A14" s="195" t="s">
        <v>542</v>
      </c>
      <c r="B14" s="186"/>
      <c r="C14" s="186"/>
      <c r="D14" s="186"/>
    </row>
    <row r="15" spans="1:4" x14ac:dyDescent="0.3">
      <c r="A15" s="183" t="s">
        <v>79</v>
      </c>
      <c r="B15" s="183"/>
      <c r="C15" s="183"/>
      <c r="D15" s="183"/>
    </row>
    <row r="16" spans="1:4" ht="12.75" customHeight="1" outlineLevel="1" x14ac:dyDescent="0.3">
      <c r="A16" s="183" t="s">
        <v>80</v>
      </c>
      <c r="B16" s="183"/>
      <c r="C16" s="183"/>
      <c r="D16" s="183"/>
    </row>
    <row r="17" spans="1:4" ht="12.75" customHeight="1" outlineLevel="2" x14ac:dyDescent="0.3">
      <c r="A17" s="57" t="s">
        <v>510</v>
      </c>
      <c r="B17" s="57" t="s">
        <v>513</v>
      </c>
      <c r="C17" s="64">
        <f>57.33/943</f>
        <v>6.0795334040296925E-2</v>
      </c>
      <c r="D17" s="57"/>
    </row>
    <row r="18" spans="1:4" ht="12.75" customHeight="1" outlineLevel="2" x14ac:dyDescent="0.3">
      <c r="A18" s="57"/>
      <c r="B18" s="57"/>
      <c r="C18" s="57"/>
      <c r="D18" s="57"/>
    </row>
    <row r="19" spans="1:4" ht="12.75" customHeight="1" outlineLevel="1" x14ac:dyDescent="0.3">
      <c r="A19" s="183" t="s">
        <v>81</v>
      </c>
      <c r="B19" s="183"/>
      <c r="C19" s="183"/>
      <c r="D19" s="183"/>
    </row>
    <row r="20" spans="1:4" s="60" customFormat="1" ht="12.75" customHeight="1" outlineLevel="2" x14ac:dyDescent="0.3">
      <c r="A20" s="33" t="s">
        <v>56</v>
      </c>
      <c r="B20" s="34" t="s">
        <v>3</v>
      </c>
      <c r="C20" s="34" t="s">
        <v>3</v>
      </c>
      <c r="D20" s="180" t="s">
        <v>135</v>
      </c>
    </row>
    <row r="21" spans="1:4" ht="25.5" customHeight="1" outlineLevel="3" x14ac:dyDescent="0.3">
      <c r="A21" s="26" t="str">
        <f>'БазНорм (обр)'!A9</f>
        <v xml:space="preserve">Журнал: Воспитание школьников и духовно-нравственное воспитание </v>
      </c>
      <c r="B21" s="27" t="str">
        <f>'БазНорм (обр)'!B9</f>
        <v>комп.</v>
      </c>
      <c r="C21" s="52">
        <f>'БазНорм (обр)'!C9</f>
        <v>2.4006721882126993E-3</v>
      </c>
      <c r="D21" s="181"/>
    </row>
    <row r="22" spans="1:4" ht="25.5" customHeight="1" outlineLevel="3" x14ac:dyDescent="0.3">
      <c r="A22" s="26" t="str">
        <f>'БазНорм (обр)'!A10</f>
        <v>Инновационные проекты и программы в оьразовании</v>
      </c>
      <c r="B22" s="27" t="str">
        <f>'БазНорм (обр)'!B10</f>
        <v>комп.</v>
      </c>
      <c r="C22" s="52">
        <f>'БазНорм (обр)'!C10</f>
        <v>2.4006721882126993E-3</v>
      </c>
      <c r="D22" s="181"/>
    </row>
    <row r="23" spans="1:4" ht="25.5" customHeight="1" outlineLevel="3" x14ac:dyDescent="0.3">
      <c r="A23" s="26" t="str">
        <f>'БазНорм (обр)'!A11</f>
        <v>Журнал: Льготный комплект "Эксперт"</v>
      </c>
      <c r="B23" s="27" t="str">
        <f>'БазНорм (обр)'!B11</f>
        <v>комп.</v>
      </c>
      <c r="C23" s="52">
        <f>'БазНорм (обр)'!C11</f>
        <v>2.4006721882126993E-3</v>
      </c>
      <c r="D23" s="181"/>
    </row>
    <row r="24" spans="1:4" ht="12.75" customHeight="1" outlineLevel="3" x14ac:dyDescent="0.3">
      <c r="A24" s="26" t="str">
        <f>'БазНорм (обр)'!A12</f>
        <v>Журнал: Профильная школа</v>
      </c>
      <c r="B24" s="27" t="str">
        <f>'БазНорм (обр)'!B12</f>
        <v>комп.</v>
      </c>
      <c r="C24" s="52">
        <f>'БазНорм (обр)'!C12</f>
        <v>2.4006721882126993E-3</v>
      </c>
      <c r="D24" s="181"/>
    </row>
    <row r="25" spans="1:4" ht="25.5" customHeight="1" outlineLevel="3" x14ac:dyDescent="0.3">
      <c r="A25" s="26" t="str">
        <f>'БазНорм (обр)'!A13</f>
        <v xml:space="preserve">Журнал: Путешествие на зеленый свет </v>
      </c>
      <c r="B25" s="27" t="str">
        <f>'БазНорм (обр)'!B13</f>
        <v>комп.</v>
      </c>
      <c r="C25" s="52">
        <f>'БазНорм (обр)'!C13</f>
        <v>1.2003360941063496E-3</v>
      </c>
      <c r="D25" s="181"/>
    </row>
    <row r="26" spans="1:4" ht="51" customHeight="1" outlineLevel="3" x14ac:dyDescent="0.3">
      <c r="A26" s="26" t="str">
        <f>'БазНорм (обр)'!A14</f>
        <v>Журнал: Школа управления образовательным учреждением. опыт. практика. лучшие рещения (+CD)</v>
      </c>
      <c r="B26" s="27" t="str">
        <f>'БазНорм (обр)'!B14</f>
        <v>комп.</v>
      </c>
      <c r="C26" s="52">
        <f>'БазНорм (обр)'!C14</f>
        <v>2.4006721882126993E-3</v>
      </c>
      <c r="D26" s="181"/>
    </row>
    <row r="27" spans="1:4" ht="12.75" customHeight="1" outlineLevel="3" x14ac:dyDescent="0.3">
      <c r="A27" s="26" t="str">
        <f>'БазНорм (обр)'!A15</f>
        <v>Журнал: Вестник образования</v>
      </c>
      <c r="B27" s="27" t="str">
        <f>'БазНорм (обр)'!B15</f>
        <v>комп.</v>
      </c>
      <c r="C27" s="52">
        <f>'БазНорм (обр)'!C15</f>
        <v>1.2003360941063496E-3</v>
      </c>
      <c r="D27" s="181"/>
    </row>
    <row r="28" spans="1:4" ht="12.75" customHeight="1" outlineLevel="3" x14ac:dyDescent="0.3">
      <c r="A28" s="26" t="str">
        <f>'БазНорм (обр)'!A16</f>
        <v>Учительская газета</v>
      </c>
      <c r="B28" s="27" t="str">
        <f>'БазНорм (обр)'!B16</f>
        <v>комп.</v>
      </c>
      <c r="C28" s="52">
        <f>'БазНорм (обр)'!C16</f>
        <v>1.2003360941063496E-3</v>
      </c>
      <c r="D28" s="181"/>
    </row>
    <row r="29" spans="1:4" ht="25.5" customHeight="1" outlineLevel="3" x14ac:dyDescent="0.3">
      <c r="A29" s="26" t="str">
        <f>'БазНорм (обр)'!A17</f>
        <v>Журнал: Управление современной школой. завуч.</v>
      </c>
      <c r="B29" s="27" t="str">
        <f>'БазНорм (обр)'!B17</f>
        <v>комп.</v>
      </c>
      <c r="C29" s="52">
        <f>'БазНорм (обр)'!C17</f>
        <v>1.2003360941063496E-3</v>
      </c>
      <c r="D29" s="181"/>
    </row>
    <row r="30" spans="1:4" ht="38.25" customHeight="1" outlineLevel="3" x14ac:dyDescent="0.3">
      <c r="A30" s="26" t="str">
        <f>'БазНорм (обр)'!A18</f>
        <v>Журнал: Управление образовательным учреждением в вопросах и ответах</v>
      </c>
      <c r="B30" s="27" t="str">
        <f>'БазНорм (обр)'!B18</f>
        <v>комп.</v>
      </c>
      <c r="C30" s="52">
        <f>'БазНорм (обр)'!C18</f>
        <v>1.2003360941063496E-3</v>
      </c>
      <c r="D30" s="181"/>
    </row>
    <row r="31" spans="1:4" ht="12.75" customHeight="1" outlineLevel="3" x14ac:dyDescent="0.3">
      <c r="A31" s="26" t="str">
        <f>'БазНорм (обр)'!A19</f>
        <v>Журнал: Лучик</v>
      </c>
      <c r="B31" s="27" t="str">
        <f>'БазНорм (обр)'!B19</f>
        <v>комп.</v>
      </c>
      <c r="C31" s="52">
        <f>'БазНорм (обр)'!C19</f>
        <v>1.2003360941063496E-3</v>
      </c>
      <c r="D31" s="181"/>
    </row>
    <row r="32" spans="1:4" ht="12.75" customHeight="1" outlineLevel="3" x14ac:dyDescent="0.3">
      <c r="A32" s="26" t="str">
        <f>'БазНорм (обр)'!A20</f>
        <v>Журнал: Дефектология</v>
      </c>
      <c r="B32" s="27" t="str">
        <f>'БазНорм (обр)'!B20</f>
        <v>комп.</v>
      </c>
      <c r="C32" s="52">
        <f>'БазНорм (обр)'!C20</f>
        <v>0</v>
      </c>
      <c r="D32" s="181"/>
    </row>
    <row r="33" spans="1:4" ht="12.75" customHeight="1" outlineLevel="3" x14ac:dyDescent="0.3">
      <c r="A33" s="26" t="str">
        <f>'БазНорм (обр)'!A21</f>
        <v>Журнал: Лена рукоделия</v>
      </c>
      <c r="B33" s="27" t="str">
        <f>'БазНорм (обр)'!B21</f>
        <v>комп.</v>
      </c>
      <c r="C33" s="52">
        <f>'БазНорм (обр)'!C21</f>
        <v>0</v>
      </c>
      <c r="D33" s="181"/>
    </row>
    <row r="34" spans="1:4" ht="25.5" customHeight="1" outlineLevel="3" x14ac:dyDescent="0.3">
      <c r="A34" s="26" t="str">
        <f>'БазНорм (обр)'!A22</f>
        <v>Нормативные документы образовательного учреждения</v>
      </c>
      <c r="B34" s="27" t="str">
        <f>'БазНорм (обр)'!B22</f>
        <v>комп.</v>
      </c>
      <c r="C34" s="52">
        <f>'БазНорм (обр)'!C22</f>
        <v>1.2003360941063496E-3</v>
      </c>
      <c r="D34" s="181"/>
    </row>
    <row r="35" spans="1:4" ht="12.75" customHeight="1" outlineLevel="3" x14ac:dyDescent="0.3">
      <c r="A35" s="26" t="str">
        <f>'БазНорм (обр)'!A23</f>
        <v>Журнал: Практика работы в школе</v>
      </c>
      <c r="B35" s="27" t="str">
        <f>'БазНорм (обр)'!B23</f>
        <v>комп.</v>
      </c>
      <c r="C35" s="52">
        <f>'БазНорм (обр)'!C23</f>
        <v>0</v>
      </c>
      <c r="D35" s="181"/>
    </row>
    <row r="36" spans="1:4" ht="25.5" customHeight="1" outlineLevel="3" x14ac:dyDescent="0.3">
      <c r="A36" s="26" t="str">
        <f>'БазНорм (обр)'!A24</f>
        <v>Журнал: Профессиональная библиотека</v>
      </c>
      <c r="B36" s="27" t="str">
        <f>'БазНорм (обр)'!B24</f>
        <v>комп.</v>
      </c>
      <c r="C36" s="52">
        <f>'БазНорм (обр)'!C24</f>
        <v>0</v>
      </c>
      <c r="D36" s="181"/>
    </row>
    <row r="37" spans="1:4" ht="12.75" customHeight="1" outlineLevel="3" x14ac:dyDescent="0.3">
      <c r="A37" s="26" t="str">
        <f>'БазНорм (обр)'!A25</f>
        <v>Справочник руководителя</v>
      </c>
      <c r="B37" s="27" t="str">
        <f>'БазНорм (обр)'!B25</f>
        <v>комп.</v>
      </c>
      <c r="C37" s="52">
        <f>'БазНорм (обр)'!C25</f>
        <v>1.2003360941063496E-3</v>
      </c>
      <c r="D37" s="181"/>
    </row>
    <row r="38" spans="1:4" ht="25.5" customHeight="1" outlineLevel="3" x14ac:dyDescent="0.3">
      <c r="A38" s="26" t="str">
        <f>'БазНорм (обр)'!A26</f>
        <v>Юридический журнал директора школы</v>
      </c>
      <c r="B38" s="27" t="str">
        <f>'БазНорм (обр)'!B26</f>
        <v>комп.</v>
      </c>
      <c r="C38" s="52">
        <f>'БазНорм (обр)'!C26</f>
        <v>1.2003360941063496E-3</v>
      </c>
      <c r="D38" s="181"/>
    </row>
    <row r="39" spans="1:4" ht="12.75" customHeight="1" outlineLevel="3" x14ac:dyDescent="0.3">
      <c r="A39" s="26" t="str">
        <f>'БазНорм (обр)'!A27</f>
        <v xml:space="preserve">Детская энциклопедия </v>
      </c>
      <c r="B39" s="27" t="str">
        <f>'БазНорм (обр)'!B27</f>
        <v>комп.</v>
      </c>
      <c r="C39" s="52">
        <f>'БазНорм (обр)'!C27</f>
        <v>0</v>
      </c>
      <c r="D39" s="181"/>
    </row>
    <row r="40" spans="1:4" ht="12.75" customHeight="1" outlineLevel="3" x14ac:dyDescent="0.3">
      <c r="A40" s="26" t="str">
        <f>'БазНорм (обр)'!A28</f>
        <v>Журнал: Добрая дорога детства</v>
      </c>
      <c r="B40" s="27" t="str">
        <f>'БазНорм (обр)'!B28</f>
        <v>комп.</v>
      </c>
      <c r="C40" s="52">
        <f>'БазНорм (обр)'!C28</f>
        <v>0</v>
      </c>
      <c r="D40" s="181"/>
    </row>
    <row r="41" spans="1:4" ht="25.5" customHeight="1" outlineLevel="3" x14ac:dyDescent="0.3">
      <c r="A41" s="26" t="str">
        <f>'БазНорм (обр)'!A29</f>
        <v>Справочник классного руководителя</v>
      </c>
      <c r="B41" s="27" t="str">
        <f>'БазНорм (обр)'!B29</f>
        <v>комп.</v>
      </c>
      <c r="C41" s="52">
        <f>'БазНорм (обр)'!C29</f>
        <v>0</v>
      </c>
      <c r="D41" s="181"/>
    </row>
    <row r="42" spans="1:4" ht="25.5" customHeight="1" outlineLevel="3" x14ac:dyDescent="0.3">
      <c r="A42" s="26" t="str">
        <f>'БазНорм (обр)'!A30</f>
        <v>Справочник заместителя директора школы</v>
      </c>
      <c r="B42" s="27" t="str">
        <f>'БазНорм (обр)'!B30</f>
        <v>комп.</v>
      </c>
      <c r="C42" s="52">
        <f>'БазНорм (обр)'!C30</f>
        <v>1.2003360941063496E-3</v>
      </c>
      <c r="D42" s="181"/>
    </row>
    <row r="43" spans="1:4" ht="12.75" customHeight="1" outlineLevel="3" x14ac:dyDescent="0.3">
      <c r="A43" s="26" t="str">
        <f>'БазНорм (обр)'!A31</f>
        <v>Журнал: Школьный психолог</v>
      </c>
      <c r="B43" s="27" t="str">
        <f>'БазНорм (обр)'!B31</f>
        <v>комп.</v>
      </c>
      <c r="C43" s="52">
        <f>'БазНорм (обр)'!C31</f>
        <v>0</v>
      </c>
      <c r="D43" s="181"/>
    </row>
    <row r="44" spans="1:4" ht="12.75" customHeight="1" outlineLevel="3" x14ac:dyDescent="0.3">
      <c r="A44" s="26" t="str">
        <f>'БазНорм (обр)'!A32</f>
        <v>Журнал: Последний звонок</v>
      </c>
      <c r="B44" s="27" t="str">
        <f>'БазНорм (обр)'!B32</f>
        <v>комп.</v>
      </c>
      <c r="C44" s="52">
        <f>'БазНорм (обр)'!C32</f>
        <v>0</v>
      </c>
      <c r="D44" s="181"/>
    </row>
    <row r="45" spans="1:4" ht="12.75" customHeight="1" outlineLevel="3" x14ac:dyDescent="0.3">
      <c r="A45" s="26" t="str">
        <f>'БазНорм (обр)'!A33</f>
        <v>Журнал: Шишкин лес</v>
      </c>
      <c r="B45" s="27" t="str">
        <f>'БазНорм (обр)'!B33</f>
        <v>комп.</v>
      </c>
      <c r="C45" s="52">
        <f>'БазНорм (обр)'!C33</f>
        <v>0</v>
      </c>
      <c r="D45" s="181"/>
    </row>
    <row r="46" spans="1:4" ht="12.75" customHeight="1" outlineLevel="3" x14ac:dyDescent="0.3">
      <c r="A46" s="26" t="str">
        <f>'БазНорм (обр)'!A34</f>
        <v>Журнал: ГЕОленок</v>
      </c>
      <c r="B46" s="27" t="str">
        <f>'БазНорм (обр)'!B34</f>
        <v>комп.</v>
      </c>
      <c r="C46" s="52">
        <f>'БазНорм (обр)'!C34</f>
        <v>0</v>
      </c>
      <c r="D46" s="181"/>
    </row>
    <row r="47" spans="1:4" ht="12.75" customHeight="1" outlineLevel="3" x14ac:dyDescent="0.3">
      <c r="A47" s="26" t="str">
        <f>'БазНорм (обр)'!A35</f>
        <v>Журнал: Добрята</v>
      </c>
      <c r="B47" s="27" t="str">
        <f>'БазНорм (обр)'!B35</f>
        <v>комп.</v>
      </c>
      <c r="C47" s="52">
        <f>'БазНорм (обр)'!C35</f>
        <v>0</v>
      </c>
      <c r="D47" s="181"/>
    </row>
    <row r="48" spans="1:4" ht="12.75" customHeight="1" outlineLevel="3" x14ac:dyDescent="0.3">
      <c r="A48" s="26" t="str">
        <f>'БазНорм (обр)'!A36</f>
        <v>Журнал: Бумеранг</v>
      </c>
      <c r="B48" s="27" t="str">
        <f>'БазНорм (обр)'!B36</f>
        <v>комп.</v>
      </c>
      <c r="C48" s="52">
        <f>'БазНорм (обр)'!C36</f>
        <v>0</v>
      </c>
      <c r="D48" s="181"/>
    </row>
    <row r="49" spans="1:4" ht="12.75" customHeight="1" outlineLevel="3" x14ac:dyDescent="0.3">
      <c r="A49" s="26" t="str">
        <f>'БазНорм (обр)'!A37</f>
        <v>Журнал :Веселые животные</v>
      </c>
      <c r="B49" s="27" t="str">
        <f>'БазНорм (обр)'!B37</f>
        <v>комп.</v>
      </c>
      <c r="C49" s="52">
        <f>'БазНорм (обр)'!C37</f>
        <v>0</v>
      </c>
      <c r="D49" s="181"/>
    </row>
    <row r="50" spans="1:4" ht="12.75" customHeight="1" outlineLevel="3" x14ac:dyDescent="0.3">
      <c r="A50" s="26" t="str">
        <f>'БазНорм (обр)'!A38</f>
        <v>Журнал: Весёлый затейник</v>
      </c>
      <c r="B50" s="27" t="str">
        <f>'БазНорм (обр)'!B38</f>
        <v>комп.</v>
      </c>
      <c r="C50" s="52">
        <f>'БазНорм (обр)'!C38</f>
        <v>0</v>
      </c>
      <c r="D50" s="181"/>
    </row>
    <row r="51" spans="1:4" ht="12.75" customHeight="1" outlineLevel="3" x14ac:dyDescent="0.3">
      <c r="A51" s="26" t="str">
        <f>'БазНорм (обр)'!A39</f>
        <v>Журнал: Все звёзды</v>
      </c>
      <c r="B51" s="27" t="str">
        <f>'БазНорм (обр)'!B39</f>
        <v>комп.</v>
      </c>
      <c r="C51" s="52">
        <f>'БазНорм (обр)'!C39</f>
        <v>0</v>
      </c>
      <c r="D51" s="181"/>
    </row>
    <row r="52" spans="1:4" ht="25.5" customHeight="1" outlineLevel="3" x14ac:dyDescent="0.3">
      <c r="A52" s="26" t="str">
        <f>'БазНорм (обр)'!A40</f>
        <v>Журнал: Девчонки-мальчишки. Школа ремесел</v>
      </c>
      <c r="B52" s="27" t="str">
        <f>'БазНорм (обр)'!B40</f>
        <v>комп.</v>
      </c>
      <c r="C52" s="52">
        <f>'БазНорм (обр)'!C40</f>
        <v>0</v>
      </c>
      <c r="D52" s="181"/>
    </row>
    <row r="53" spans="1:4" ht="25.5" customHeight="1" outlineLevel="3" x14ac:dyDescent="0.3">
      <c r="A53" s="26" t="str">
        <f>'БазНорм (обр)'!A41</f>
        <v>Журнал: Управление современной школой</v>
      </c>
      <c r="B53" s="27" t="str">
        <f>'БазНорм (обр)'!B41</f>
        <v>комп.</v>
      </c>
      <c r="C53" s="52">
        <f>'БазНорм (обр)'!C41</f>
        <v>0</v>
      </c>
      <c r="D53" s="181"/>
    </row>
    <row r="54" spans="1:4" ht="12.75" customHeight="1" outlineLevel="3" x14ac:dyDescent="0.3">
      <c r="A54" s="26" t="str">
        <f>'БазНорм (обр)'!A42</f>
        <v>Журнал : Клёпа</v>
      </c>
      <c r="B54" s="27" t="str">
        <f>'БазНорм (обр)'!B42</f>
        <v>комп.</v>
      </c>
      <c r="C54" s="52">
        <f>'БазНорм (обр)'!C42</f>
        <v>0</v>
      </c>
      <c r="D54" s="181"/>
    </row>
    <row r="55" spans="1:4" ht="12.75" customHeight="1" outlineLevel="3" x14ac:dyDescent="0.3">
      <c r="A55" s="26" t="str">
        <f>'БазНорм (обр)'!A43</f>
        <v>Журнал: Компьютер MOUSE</v>
      </c>
      <c r="B55" s="27" t="str">
        <f>'БазНорм (обр)'!B43</f>
        <v>комп.</v>
      </c>
      <c r="C55" s="52">
        <f>'БазНорм (обр)'!C43</f>
        <v>0</v>
      </c>
      <c r="D55" s="181"/>
    </row>
    <row r="56" spans="1:4" ht="12.75" customHeight="1" outlineLevel="3" x14ac:dyDescent="0.3">
      <c r="A56" s="26" t="str">
        <f>'БазНорм (обр)'!A44</f>
        <v>Журнал: Спасайкин</v>
      </c>
      <c r="B56" s="27" t="str">
        <f>'БазНорм (обр)'!B44</f>
        <v>комп.</v>
      </c>
      <c r="C56" s="52">
        <f>'БазНорм (обр)'!C44</f>
        <v>1.2003360941063496E-3</v>
      </c>
      <c r="D56" s="181"/>
    </row>
    <row r="57" spans="1:4" ht="12.75" customHeight="1" outlineLevel="3" x14ac:dyDescent="0.3">
      <c r="A57" s="26" t="str">
        <f>'БазНорм (обр)'!A45</f>
        <v>Журнал: Мир техники для детей</v>
      </c>
      <c r="B57" s="27" t="str">
        <f>'БазНорм (обр)'!B45</f>
        <v>комп.</v>
      </c>
      <c r="C57" s="52">
        <f>'БазНорм (обр)'!C45</f>
        <v>0</v>
      </c>
      <c r="D57" s="181"/>
    </row>
    <row r="58" spans="1:4" ht="12.75" customHeight="1" outlineLevel="3" x14ac:dyDescent="0.3">
      <c r="A58" s="26" t="str">
        <f>'БазНорм (обр)'!A46</f>
        <v>Журнал: Читайка</v>
      </c>
      <c r="B58" s="27" t="str">
        <f>'БазНорм (обр)'!B46</f>
        <v>комп.</v>
      </c>
      <c r="C58" s="52">
        <f>'БазНорм (обр)'!C46</f>
        <v>0</v>
      </c>
      <c r="D58" s="181"/>
    </row>
    <row r="59" spans="1:4" ht="25.5" customHeight="1" outlineLevel="3" x14ac:dyDescent="0.3">
      <c r="A59" s="26" t="str">
        <f>'БазНорм (обр)'!A47</f>
        <v>Журнал: Чудеса и приключения-детям-ЧИП</v>
      </c>
      <c r="B59" s="27" t="str">
        <f>'БазНорм (обр)'!B47</f>
        <v>комп.</v>
      </c>
      <c r="C59" s="52">
        <f>'БазНорм (обр)'!C47</f>
        <v>0</v>
      </c>
      <c r="D59" s="181"/>
    </row>
    <row r="60" spans="1:4" ht="12.75" customHeight="1" outlineLevel="3" x14ac:dyDescent="0.3">
      <c r="A60" s="26" t="str">
        <f>'БазНорм (обр)'!A48</f>
        <v>Журнал: Юный краевед</v>
      </c>
      <c r="B60" s="27" t="str">
        <f>'БазНорм (обр)'!B48</f>
        <v>комп.</v>
      </c>
      <c r="C60" s="52">
        <f>'БазНорм (обр)'!C48</f>
        <v>0</v>
      </c>
      <c r="D60" s="181"/>
    </row>
    <row r="61" spans="1:4" ht="12.75" customHeight="1" outlineLevel="3" x14ac:dyDescent="0.3">
      <c r="A61" s="26" t="str">
        <f>'БазНорм (обр)'!A49</f>
        <v>Журнал: Игровая библиотека</v>
      </c>
      <c r="B61" s="27" t="str">
        <f>'БазНорм (обр)'!B49</f>
        <v>комп.</v>
      </c>
      <c r="C61" s="52">
        <f>'БазНорм (обр)'!C49</f>
        <v>0</v>
      </c>
      <c r="D61" s="181"/>
    </row>
    <row r="62" spans="1:4" ht="12.75" customHeight="1" outlineLevel="3" x14ac:dyDescent="0.3">
      <c r="A62" s="26" t="str">
        <f>'БазНорм (обр)'!A50</f>
        <v>Журнал: Школа и производство</v>
      </c>
      <c r="B62" s="27" t="str">
        <f>'БазНорм (обр)'!B50</f>
        <v>комп.</v>
      </c>
      <c r="C62" s="52">
        <f>'БазНорм (обр)'!C50</f>
        <v>0</v>
      </c>
      <c r="D62" s="181"/>
    </row>
    <row r="63" spans="1:4" ht="12.75" customHeight="1" outlineLevel="3" x14ac:dyDescent="0.3">
      <c r="A63" s="26" t="str">
        <f>'БазНорм (обр)'!A51</f>
        <v>Журнал: Веселый урок</v>
      </c>
      <c r="B63" s="27" t="str">
        <f>'БазНорм (обр)'!B51</f>
        <v>комп.</v>
      </c>
      <c r="C63" s="52">
        <f>'БазНорм (обр)'!C51</f>
        <v>0</v>
      </c>
      <c r="D63" s="181"/>
    </row>
    <row r="64" spans="1:4" ht="12.75" customHeight="1" outlineLevel="3" x14ac:dyDescent="0.3">
      <c r="A64" s="26" t="str">
        <f>'БазНорм (обр)'!A52</f>
        <v>Журнал: ОБЖ</v>
      </c>
      <c r="B64" s="27" t="str">
        <f>'БазНорм (обр)'!B52</f>
        <v>комп.</v>
      </c>
      <c r="C64" s="52">
        <f>'БазНорм (обр)'!C52</f>
        <v>0</v>
      </c>
      <c r="D64" s="181"/>
    </row>
    <row r="65" spans="1:4" ht="12.75" customHeight="1" outlineLevel="3" x14ac:dyDescent="0.3">
      <c r="A65" s="26" t="str">
        <f>'БазНорм (обр)'!A53</f>
        <v>Журнал: Мурзилка</v>
      </c>
      <c r="B65" s="27" t="str">
        <f>'БазНорм (обр)'!B53</f>
        <v>комп.</v>
      </c>
      <c r="C65" s="52">
        <f>'БазНорм (обр)'!C53</f>
        <v>0</v>
      </c>
      <c r="D65" s="181"/>
    </row>
    <row r="66" spans="1:4" ht="12.75" customHeight="1" outlineLevel="3" x14ac:dyDescent="0.3">
      <c r="A66" s="26" t="str">
        <f>'БазНорм (обр)'!A54</f>
        <v>Журнал: Юный эрудит</v>
      </c>
      <c r="B66" s="27" t="str">
        <f>'БазНорм (обр)'!B54</f>
        <v>комп.</v>
      </c>
      <c r="C66" s="52">
        <f>'БазНорм (обр)'!C54</f>
        <v>0</v>
      </c>
      <c r="D66" s="181"/>
    </row>
    <row r="67" spans="1:4" ht="12.75" customHeight="1" outlineLevel="3" x14ac:dyDescent="0.3">
      <c r="A67" s="26" t="str">
        <f>'БазНорм (обр)'!A55</f>
        <v>Журнал: Педсовет</v>
      </c>
      <c r="B67" s="27" t="str">
        <f>'БазНорм (обр)'!B55</f>
        <v>комп.</v>
      </c>
      <c r="C67" s="52">
        <f>'БазНорм (обр)'!C55</f>
        <v>0</v>
      </c>
      <c r="D67" s="181"/>
    </row>
    <row r="68" spans="1:4" ht="12.75" customHeight="1" outlineLevel="3" x14ac:dyDescent="0.3">
      <c r="A68" s="26" t="str">
        <f>'БазНорм (обр)'!A56</f>
        <v>Журнал: Методист</v>
      </c>
      <c r="B68" s="27" t="str">
        <f>'БазНорм (обр)'!B56</f>
        <v>комп.</v>
      </c>
      <c r="C68" s="52">
        <f>'БазНорм (обр)'!C56</f>
        <v>0</v>
      </c>
      <c r="D68" s="181"/>
    </row>
    <row r="69" spans="1:4" ht="12.75" customHeight="1" outlineLevel="3" x14ac:dyDescent="0.3">
      <c r="A69" s="26" t="str">
        <f>'БазНорм (обр)'!A57</f>
        <v>Журнал: Огонек</v>
      </c>
      <c r="B69" s="27" t="str">
        <f>'БазНорм (обр)'!B57</f>
        <v>комп.</v>
      </c>
      <c r="C69" s="52">
        <f>'БазНорм (обр)'!C57</f>
        <v>0</v>
      </c>
      <c r="D69" s="181"/>
    </row>
    <row r="70" spans="1:4" ht="12.75" customHeight="1" outlineLevel="3" x14ac:dyDescent="0.3">
      <c r="A70" s="26" t="str">
        <f>'БазНорм (обр)'!A58</f>
        <v>Журнал: Отчего и почему</v>
      </c>
      <c r="B70" s="27" t="str">
        <f>'БазНорм (обр)'!B58</f>
        <v>комп.</v>
      </c>
      <c r="C70" s="52">
        <f>'БазНорм (обр)'!C58</f>
        <v>0</v>
      </c>
      <c r="D70" s="181"/>
    </row>
    <row r="71" spans="1:4" s="60" customFormat="1" ht="12.75" customHeight="1" outlineLevel="2" x14ac:dyDescent="0.3">
      <c r="A71" s="33" t="s">
        <v>478</v>
      </c>
      <c r="B71" s="34" t="s">
        <v>3</v>
      </c>
      <c r="C71" s="51" t="s">
        <v>3</v>
      </c>
      <c r="D71" s="181"/>
    </row>
    <row r="72" spans="1:4" ht="12.75" customHeight="1" outlineLevel="3" x14ac:dyDescent="0.3">
      <c r="A72" s="26" t="str">
        <f>'БазНорм (обр)'!A60</f>
        <v>Шкаф для документов</v>
      </c>
      <c r="B72" s="27" t="str">
        <f>'БазНорм (обр)'!B60</f>
        <v>шт.</v>
      </c>
      <c r="C72" s="52">
        <f>'БазНорм (обр)'!C60</f>
        <v>0</v>
      </c>
      <c r="D72" s="181"/>
    </row>
    <row r="73" spans="1:4" ht="12.75" customHeight="1" outlineLevel="3" x14ac:dyDescent="0.3">
      <c r="A73" s="26" t="str">
        <f>'БазНорм (обр)'!A61</f>
        <v>Шкаф книжный</v>
      </c>
      <c r="B73" s="27" t="str">
        <f>'БазНорм (обр)'!B61</f>
        <v>шт.</v>
      </c>
      <c r="C73" s="52">
        <f>'БазНорм (обр)'!C61</f>
        <v>0</v>
      </c>
      <c r="D73" s="181"/>
    </row>
    <row r="74" spans="1:4" ht="12.75" customHeight="1" outlineLevel="3" x14ac:dyDescent="0.3">
      <c r="A74" s="26" t="str">
        <f>'БазНорм (обр)'!A62</f>
        <v>Шкаф под ключи</v>
      </c>
      <c r="B74" s="27" t="str">
        <f>'БазНорм (обр)'!B62</f>
        <v>шт.</v>
      </c>
      <c r="C74" s="52">
        <f>'БазНорм (обр)'!C62</f>
        <v>0</v>
      </c>
      <c r="D74" s="181"/>
    </row>
    <row r="75" spans="1:4" ht="12.75" customHeight="1" outlineLevel="3" x14ac:dyDescent="0.3">
      <c r="A75" s="26" t="str">
        <f>'БазНорм (обр)'!A63</f>
        <v>Шкаф для одежды</v>
      </c>
      <c r="B75" s="27" t="str">
        <f>'БазНорм (обр)'!B63</f>
        <v>шт.</v>
      </c>
      <c r="C75" s="52">
        <f>'БазНорм (обр)'!C63</f>
        <v>0</v>
      </c>
      <c r="D75" s="181"/>
    </row>
    <row r="76" spans="1:4" ht="12.75" customHeight="1" outlineLevel="3" x14ac:dyDescent="0.3">
      <c r="A76" s="26" t="str">
        <f>'БазНорм (обр)'!A64</f>
        <v>Стеллаж для библиотеки</v>
      </c>
      <c r="B76" s="27" t="str">
        <f>'БазНорм (обр)'!B64</f>
        <v>шт.</v>
      </c>
      <c r="C76" s="52">
        <f>'БазНорм (обр)'!C64</f>
        <v>0</v>
      </c>
      <c r="D76" s="181"/>
    </row>
    <row r="77" spans="1:4" ht="12.75" customHeight="1" outlineLevel="3" x14ac:dyDescent="0.3">
      <c r="A77" s="26" t="str">
        <f>'БазНорм (обр)'!A65</f>
        <v>Стеллаж библиотечный 2х сторон</v>
      </c>
      <c r="B77" s="27" t="str">
        <f>'БазНорм (обр)'!B65</f>
        <v>шт.</v>
      </c>
      <c r="C77" s="52">
        <f>'БазНорм (обр)'!C65</f>
        <v>0</v>
      </c>
      <c r="D77" s="181"/>
    </row>
    <row r="78" spans="1:4" ht="25.5" customHeight="1" outlineLevel="3" x14ac:dyDescent="0.3">
      <c r="A78" s="26" t="str">
        <f>'БазНорм (обр)'!A66</f>
        <v>Стеллаж библиотечный односторонний</v>
      </c>
      <c r="B78" s="27" t="str">
        <f>'БазНорм (обр)'!B66</f>
        <v>шт.</v>
      </c>
      <c r="C78" s="52">
        <f>'БазНорм (обр)'!C66</f>
        <v>0</v>
      </c>
      <c r="D78" s="181"/>
    </row>
    <row r="79" spans="1:4" ht="12.75" customHeight="1" outlineLevel="3" x14ac:dyDescent="0.3">
      <c r="A79" s="26" t="str">
        <f>'БазНорм (обр)'!A67</f>
        <v>Полка для раз. досок</v>
      </c>
      <c r="B79" s="27" t="str">
        <f>'БазНорм (обр)'!B67</f>
        <v>шт.</v>
      </c>
      <c r="C79" s="52">
        <f>'БазНорм (обр)'!C67</f>
        <v>0</v>
      </c>
      <c r="D79" s="181"/>
    </row>
    <row r="80" spans="1:4" ht="12.75" customHeight="1" outlineLevel="3" x14ac:dyDescent="0.3">
      <c r="A80" s="26" t="str">
        <f>'БазНорм (обр)'!A68</f>
        <v>Доска аудиторная</v>
      </c>
      <c r="B80" s="27" t="str">
        <f>'БазНорм (обр)'!B68</f>
        <v>шт.</v>
      </c>
      <c r="C80" s="52">
        <f>'БазНорм (обр)'!C68</f>
        <v>0</v>
      </c>
      <c r="D80" s="181"/>
    </row>
    <row r="81" spans="1:4" ht="12.75" customHeight="1" outlineLevel="3" x14ac:dyDescent="0.3">
      <c r="A81" s="26" t="str">
        <f>'БазНорм (обр)'!A69</f>
        <v>Доска пробковая</v>
      </c>
      <c r="B81" s="27" t="str">
        <f>'БазНорм (обр)'!B69</f>
        <v>шт.</v>
      </c>
      <c r="C81" s="52">
        <f>'БазНорм (обр)'!C69</f>
        <v>0</v>
      </c>
      <c r="D81" s="181"/>
    </row>
    <row r="82" spans="1:4" ht="12.75" customHeight="1" outlineLevel="3" x14ac:dyDescent="0.3">
      <c r="A82" s="26" t="str">
        <f>'БазНорм (обр)'!A70</f>
        <v>Стол эргономичный</v>
      </c>
      <c r="B82" s="27" t="str">
        <f>'БазНорм (обр)'!B70</f>
        <v>шт.</v>
      </c>
      <c r="C82" s="52">
        <f>'БазНорм (обр)'!C70</f>
        <v>0</v>
      </c>
      <c r="D82" s="181"/>
    </row>
    <row r="83" spans="1:4" ht="12.75" customHeight="1" outlineLevel="3" x14ac:dyDescent="0.3">
      <c r="A83" s="26" t="str">
        <f>'БазНорм (обр)'!A71</f>
        <v>Стол ученический</v>
      </c>
      <c r="B83" s="27" t="str">
        <f>'БазНорм (обр)'!B71</f>
        <v>шт.</v>
      </c>
      <c r="C83" s="52">
        <f>'БазНорм (обр)'!C71</f>
        <v>0</v>
      </c>
      <c r="D83" s="181"/>
    </row>
    <row r="84" spans="1:4" ht="12.75" customHeight="1" outlineLevel="3" x14ac:dyDescent="0.3">
      <c r="A84" s="26" t="str">
        <f>'БазНорм (обр)'!A72</f>
        <v>Стул офисный</v>
      </c>
      <c r="B84" s="27" t="str">
        <f>'БазНорм (обр)'!B72</f>
        <v>шт.</v>
      </c>
      <c r="C84" s="52">
        <f>'БазНорм (обр)'!C72</f>
        <v>0</v>
      </c>
      <c r="D84" s="181"/>
    </row>
    <row r="85" spans="1:4" ht="12.75" customHeight="1" outlineLevel="3" x14ac:dyDescent="0.3">
      <c r="A85" s="26" t="str">
        <f>'БазНорм (обр)'!A73</f>
        <v>Стул ученический</v>
      </c>
      <c r="B85" s="27" t="str">
        <f>'БазНорм (обр)'!B73</f>
        <v>шт.</v>
      </c>
      <c r="C85" s="52">
        <f>'БазНорм (обр)'!C73</f>
        <v>0</v>
      </c>
      <c r="D85" s="181"/>
    </row>
    <row r="86" spans="1:4" ht="12.75" customHeight="1" outlineLevel="3" x14ac:dyDescent="0.3">
      <c r="A86" s="26" t="str">
        <f>'БазНорм (обр)'!A74</f>
        <v>Тумба подкатная</v>
      </c>
      <c r="B86" s="27" t="str">
        <f>'БазНорм (обр)'!B74</f>
        <v>шт.</v>
      </c>
      <c r="C86" s="52">
        <f>'БазНорм (обр)'!C74</f>
        <v>0</v>
      </c>
      <c r="D86" s="181"/>
    </row>
    <row r="87" spans="1:4" ht="12.75" customHeight="1" outlineLevel="3" x14ac:dyDescent="0.3">
      <c r="A87" s="26" t="str">
        <f>'БазНорм (обр)'!A75</f>
        <v>Скамейка 3- местная</v>
      </c>
      <c r="B87" s="27" t="str">
        <f>'БазНорм (обр)'!B75</f>
        <v>шт.</v>
      </c>
      <c r="C87" s="52">
        <f>'БазНорм (обр)'!C75</f>
        <v>0</v>
      </c>
      <c r="D87" s="181"/>
    </row>
    <row r="88" spans="1:4" ht="25.5" customHeight="1" outlineLevel="3" x14ac:dyDescent="0.3">
      <c r="A88" s="26" t="str">
        <f>'БазНорм (обр)'!A76</f>
        <v>Скамья для раздевалок одностопрнняя</v>
      </c>
      <c r="B88" s="27" t="str">
        <f>'БазНорм (обр)'!B76</f>
        <v>шт.</v>
      </c>
      <c r="C88" s="52">
        <f>'БазНорм (обр)'!C76</f>
        <v>0</v>
      </c>
      <c r="D88" s="181"/>
    </row>
    <row r="89" spans="1:4" ht="12.75" customHeight="1" outlineLevel="2" x14ac:dyDescent="0.3">
      <c r="A89" s="26" t="str">
        <f>'БазНорм (обр)'!A77</f>
        <v>Грамоты</v>
      </c>
      <c r="B89" s="27" t="str">
        <f>'БазНорм (обр)'!B77</f>
        <v>шт.</v>
      </c>
      <c r="C89" s="52">
        <f>'БазНорм (обр)'!C77</f>
        <v>1.3323730644580483</v>
      </c>
      <c r="D89" s="181"/>
    </row>
    <row r="90" spans="1:4" ht="38.25" customHeight="1" outlineLevel="2" x14ac:dyDescent="0.3">
      <c r="A90" s="26" t="str">
        <f>'БазНорм (обр)'!A78</f>
        <v>Медали "За особые успехи в учении", аттестаты, приложения к аттестату</v>
      </c>
      <c r="B90" s="27" t="str">
        <f>'БазНорм (обр)'!B78</f>
        <v>шт.</v>
      </c>
      <c r="C90" s="52">
        <f>'БазНорм (обр)'!C78</f>
        <v>0.23646621053895089</v>
      </c>
      <c r="D90" s="181"/>
    </row>
    <row r="91" spans="1:4" ht="12.75" customHeight="1" outlineLevel="1" x14ac:dyDescent="0.3">
      <c r="A91" s="183" t="s">
        <v>82</v>
      </c>
      <c r="B91" s="183"/>
      <c r="C91" s="183"/>
      <c r="D91" s="183"/>
    </row>
    <row r="92" spans="1:4" s="60" customFormat="1" ht="12.75" customHeight="1" outlineLevel="2" x14ac:dyDescent="0.3">
      <c r="A92" s="33" t="s">
        <v>475</v>
      </c>
      <c r="B92" s="34" t="s">
        <v>3</v>
      </c>
      <c r="C92" s="59" t="s">
        <v>3</v>
      </c>
      <c r="D92" s="180" t="s">
        <v>135</v>
      </c>
    </row>
    <row r="93" spans="1:4" ht="12.75" customHeight="1" outlineLevel="3" x14ac:dyDescent="0.3">
      <c r="A93" s="26" t="str">
        <f>'БазНорм (обр)'!A81</f>
        <v>Вода питьевая</v>
      </c>
      <c r="B93" s="27" t="str">
        <f>'БазНорм (обр)'!B81</f>
        <v>л.</v>
      </c>
      <c r="C93" s="52">
        <f>'БазНорм (обр)'!C81</f>
        <v>10.568766513697677</v>
      </c>
      <c r="D93" s="181"/>
    </row>
    <row r="94" spans="1:4" ht="25.5" customHeight="1" outlineLevel="3" x14ac:dyDescent="0.3">
      <c r="A94" s="26" t="str">
        <f>'БазНорм (обр)'!A82</f>
        <v>Одноразовые стаканы</v>
      </c>
      <c r="B94" s="27" t="str">
        <f>'БазНорм (обр)'!B82</f>
        <v>шт.</v>
      </c>
      <c r="C94" s="52">
        <f>'БазНорм (обр)'!C82</f>
        <v>52.843832568488388</v>
      </c>
      <c r="D94" s="181"/>
    </row>
    <row r="95" spans="1:4" s="60" customFormat="1" ht="25.5" customHeight="1" outlineLevel="2" x14ac:dyDescent="0.3">
      <c r="A95" s="33" t="s">
        <v>474</v>
      </c>
      <c r="B95" s="34" t="s">
        <v>3</v>
      </c>
      <c r="C95" s="59" t="s">
        <v>3</v>
      </c>
      <c r="D95" s="181"/>
    </row>
    <row r="96" spans="1:4" ht="12.75" customHeight="1" outlineLevel="3" x14ac:dyDescent="0.3">
      <c r="A96" s="26" t="str">
        <f>'БазНорм (обр)'!A84</f>
        <v>Антивирус</v>
      </c>
      <c r="B96" s="27" t="str">
        <f>'БазНорм (обр)'!B84</f>
        <v>усл. ед.</v>
      </c>
      <c r="C96" s="52">
        <f>'БазНорм (обр)'!C84</f>
        <v>0.13906271728549574</v>
      </c>
      <c r="D96" s="181"/>
    </row>
    <row r="97" spans="1:4" ht="12.75" customHeight="1" outlineLevel="3" x14ac:dyDescent="0.3">
      <c r="A97" s="26" t="str">
        <f>'БазНорм (обр)'!A85</f>
        <v>WebFiltre UserGate</v>
      </c>
      <c r="B97" s="27" t="str">
        <f>'БазНорм (обр)'!B85</f>
        <v>усл. ед.</v>
      </c>
      <c r="C97" s="52">
        <f>'БазНорм (обр)'!C85</f>
        <v>0.13906271728549574</v>
      </c>
      <c r="D97" s="181"/>
    </row>
    <row r="98" spans="1:4" ht="25.5" customHeight="1" outlineLevel="3" x14ac:dyDescent="0.3">
      <c r="A98" s="26" t="str">
        <f>'БазНорм (обр)'!A86</f>
        <v>Сопровождение ПО Vipnet Client</v>
      </c>
      <c r="B98" s="27" t="str">
        <f>'БазНорм (обр)'!B86</f>
        <v>усл. ед.</v>
      </c>
      <c r="C98" s="52">
        <f>'БазНорм (обр)'!C86</f>
        <v>1.3906271728549575E-3</v>
      </c>
      <c r="D98" s="181"/>
    </row>
    <row r="99" spans="1:4" s="60" customFormat="1" ht="25.5" customHeight="1" outlineLevel="2" x14ac:dyDescent="0.3">
      <c r="A99" s="33" t="s">
        <v>65</v>
      </c>
      <c r="B99" s="34" t="s">
        <v>3</v>
      </c>
      <c r="C99" s="59" t="s">
        <v>3</v>
      </c>
      <c r="D99" s="181"/>
    </row>
    <row r="100" spans="1:4" ht="25.5" customHeight="1" outlineLevel="3" x14ac:dyDescent="0.3">
      <c r="A100" s="26" t="str">
        <f>'БазНорм (обр)'!A88</f>
        <v>Медицинский осмотр</v>
      </c>
      <c r="B100" s="27" t="str">
        <f>'БазНорм (обр)'!B88</f>
        <v>чел.</v>
      </c>
      <c r="C100" s="52">
        <f>'БазНорм (обр)'!C88</f>
        <v>3.0593797802809065E-2</v>
      </c>
      <c r="D100" s="181"/>
    </row>
    <row r="101" spans="1:4" ht="12.75" customHeight="1" outlineLevel="3" x14ac:dyDescent="0.3">
      <c r="A101" s="26" t="str">
        <f>'БазНорм (обр)'!A89</f>
        <v>Гигиеническая аттестация</v>
      </c>
      <c r="B101" s="27" t="str">
        <f>'БазНорм (обр)'!B89</f>
        <v>чел.</v>
      </c>
      <c r="C101" s="52">
        <f>'БазНорм (обр)'!C89</f>
        <v>0.1015157836184119</v>
      </c>
      <c r="D101" s="181"/>
    </row>
    <row r="102" spans="1:4" ht="12.75" customHeight="1" outlineLevel="3" x14ac:dyDescent="0.3">
      <c r="A102" s="26" t="str">
        <f>'БазНорм (обр)'!A90</f>
        <v>Оценка условий труда</v>
      </c>
      <c r="B102" s="27" t="str">
        <f>'БазНорм (обр)'!B90</f>
        <v>усл. ед.</v>
      </c>
      <c r="C102" s="52">
        <f>'БазНорм (обр)'!C90</f>
        <v>7.7412513255567333E-2</v>
      </c>
      <c r="D102" s="181"/>
    </row>
    <row r="103" spans="1:4" ht="12.75" customHeight="1" outlineLevel="3" x14ac:dyDescent="0.3">
      <c r="A103" s="26" t="str">
        <f>'БазНорм (обр)'!A91</f>
        <v>Аттестация рабочих мест</v>
      </c>
      <c r="B103" s="27" t="str">
        <f>'БазНорм (обр)'!B91</f>
        <v>усл. ед.</v>
      </c>
      <c r="C103" s="52">
        <f>'БазНорм (обр)'!C91</f>
        <v>7.4231177094379638E-2</v>
      </c>
      <c r="D103" s="181"/>
    </row>
    <row r="104" spans="1:4" ht="12.75" customHeight="1" outlineLevel="3" x14ac:dyDescent="0.3">
      <c r="A104" s="26" t="str">
        <f>'БазНорм (обр)'!A92</f>
        <v>Заправка картриджей</v>
      </c>
      <c r="B104" s="27" t="str">
        <f>'БазНорм (обр)'!B92</f>
        <v>усл. ед.</v>
      </c>
      <c r="C104" s="52">
        <f>'БазНорм (обр)'!C92</f>
        <v>0.20859407592824364</v>
      </c>
      <c r="D104" s="181"/>
    </row>
    <row r="105" spans="1:4" ht="12.75" customHeight="1" outlineLevel="3" x14ac:dyDescent="0.3">
      <c r="A105" s="26" t="str">
        <f>'БазНорм (обр)'!A93</f>
        <v>Приобритение картриджей</v>
      </c>
      <c r="B105" s="27" t="str">
        <f>'БазНорм (обр)'!B93</f>
        <v>шт.</v>
      </c>
      <c r="C105" s="52">
        <f>'БазНорм (обр)'!C93</f>
        <v>2.7812543457099152E-2</v>
      </c>
      <c r="D105" s="181"/>
    </row>
    <row r="106" spans="1:4" ht="12.75" customHeight="1" outlineLevel="3" x14ac:dyDescent="0.3">
      <c r="A106" s="26" t="str">
        <f>'БазНорм (обр)'!A94</f>
        <v>Хостинг сайта</v>
      </c>
      <c r="B106" s="27">
        <f>'БазНорм (обр)'!B94</f>
        <v>0</v>
      </c>
      <c r="C106" s="52">
        <f>'БазНорм (обр)'!C94</f>
        <v>1.3906271728549575E-3</v>
      </c>
      <c r="D106" s="181"/>
    </row>
    <row r="107" spans="1:4" s="60" customFormat="1" ht="12.75" customHeight="1" outlineLevel="3" x14ac:dyDescent="0.3">
      <c r="A107" s="33" t="s">
        <v>66</v>
      </c>
      <c r="B107" s="34" t="s">
        <v>3</v>
      </c>
      <c r="C107" s="51" t="s">
        <v>3</v>
      </c>
      <c r="D107" s="181"/>
    </row>
    <row r="108" spans="1:4" ht="12.75" customHeight="1" outlineLevel="3" x14ac:dyDescent="0.3">
      <c r="A108" s="26" t="str">
        <f>'БазНорм (обр)'!A96</f>
        <v>Бумага А4</v>
      </c>
      <c r="B108" s="27" t="str">
        <f>'БазНорм (обр)'!B96</f>
        <v>пач.</v>
      </c>
      <c r="C108" s="52">
        <f>'БазНорм (обр)'!C96</f>
        <v>0.29692470837751855</v>
      </c>
      <c r="D108" s="181"/>
    </row>
    <row r="109" spans="1:4" ht="12.75" customHeight="1" outlineLevel="3" x14ac:dyDescent="0.3">
      <c r="A109" s="26" t="str">
        <f>'БазНорм (обр)'!A97</f>
        <v>Блок для записей</v>
      </c>
      <c r="B109" s="27" t="str">
        <f>'БазНорм (обр)'!B97</f>
        <v>шт.</v>
      </c>
      <c r="C109" s="52">
        <f>'БазНорм (обр)'!C97</f>
        <v>6.0016804705317485E-2</v>
      </c>
      <c r="D109" s="181"/>
    </row>
    <row r="110" spans="1:4" ht="12.75" customHeight="1" outlineLevel="3" x14ac:dyDescent="0.3">
      <c r="A110" s="26" t="str">
        <f>'БазНорм (обр)'!A98</f>
        <v>Блок липкий</v>
      </c>
      <c r="B110" s="27" t="str">
        <f>'БазНорм (обр)'!B98</f>
        <v>шт.</v>
      </c>
      <c r="C110" s="52">
        <f>'БазНорм (обр)'!C98</f>
        <v>6.0016804705317485E-2</v>
      </c>
      <c r="D110" s="181"/>
    </row>
    <row r="111" spans="1:4" ht="12.75" customHeight="1" outlineLevel="3" x14ac:dyDescent="0.3">
      <c r="A111" s="26" t="str">
        <f>'БазНорм (обр)'!A99</f>
        <v>Мел школьный</v>
      </c>
      <c r="B111" s="27" t="str">
        <f>'БазНорм (обр)'!B99</f>
        <v>упак.</v>
      </c>
      <c r="C111" s="52">
        <f>'БазНорм (обр)'!C99</f>
        <v>2.4006721882126995E-2</v>
      </c>
      <c r="D111" s="181"/>
    </row>
    <row r="112" spans="1:4" ht="12.75" customHeight="1" outlineLevel="3" x14ac:dyDescent="0.3">
      <c r="A112" s="26" t="str">
        <f>'БазНорм (обр)'!A100</f>
        <v>Ластик (резинка)</v>
      </c>
      <c r="B112" s="27" t="str">
        <f>'БазНорм (обр)'!B100</f>
        <v>шт.</v>
      </c>
      <c r="C112" s="52">
        <f>'БазНорм (обр)'!C100</f>
        <v>3.0008402352658742E-2</v>
      </c>
      <c r="D112" s="181"/>
    </row>
    <row r="113" spans="1:4" ht="12.75" customHeight="1" outlineLevel="3" x14ac:dyDescent="0.3">
      <c r="A113" s="26" t="str">
        <f>'БазНорм (обр)'!A101</f>
        <v>Карандаш ч/гр</v>
      </c>
      <c r="B113" s="27" t="str">
        <f>'БазНорм (обр)'!B101</f>
        <v>шт.</v>
      </c>
      <c r="C113" s="52">
        <f>'БазНорм (обр)'!C101</f>
        <v>8.402352658744448E-3</v>
      </c>
      <c r="D113" s="181"/>
    </row>
    <row r="114" spans="1:4" ht="12.75" customHeight="1" outlineLevel="3" x14ac:dyDescent="0.3">
      <c r="A114" s="26" t="str">
        <f>'БазНорм (обр)'!A102</f>
        <v>Ручка гелевая черная</v>
      </c>
      <c r="B114" s="27" t="str">
        <f>'БазНорм (обр)'!B102</f>
        <v>шт.</v>
      </c>
      <c r="C114" s="52">
        <f>'БазНорм (обр)'!C102</f>
        <v>0.14404033129276198</v>
      </c>
      <c r="D114" s="181"/>
    </row>
    <row r="115" spans="1:4" ht="12.75" customHeight="1" outlineLevel="3" x14ac:dyDescent="0.3">
      <c r="A115" s="26" t="str">
        <f>'БазНорм (обр)'!A103</f>
        <v>Ручка шариковая</v>
      </c>
      <c r="B115" s="27" t="str">
        <f>'БазНорм (обр)'!B103</f>
        <v>шт.</v>
      </c>
      <c r="C115" s="52">
        <f>'БазНорм (обр)'!C103</f>
        <v>6.0016804705317485E-2</v>
      </c>
      <c r="D115" s="181"/>
    </row>
    <row r="116" spans="1:4" ht="12.75" customHeight="1" outlineLevel="3" x14ac:dyDescent="0.3">
      <c r="A116" s="26" t="str">
        <f>'БазНорм (обр)'!A104</f>
        <v>Текстовый маркер</v>
      </c>
      <c r="B116" s="27" t="str">
        <f>'БазНорм (обр)'!B104</f>
        <v>шт.</v>
      </c>
      <c r="C116" s="52">
        <f>'БазНорм (обр)'!C104</f>
        <v>5.4015124234785737E-2</v>
      </c>
      <c r="D116" s="181"/>
    </row>
    <row r="117" spans="1:4" ht="12.75" customHeight="1" outlineLevel="3" x14ac:dyDescent="0.3">
      <c r="A117" s="26" t="str">
        <f>'БазНорм (обр)'!A105</f>
        <v>Маркеры для доски</v>
      </c>
      <c r="B117" s="27" t="str">
        <f>'БазНорм (обр)'!B105</f>
        <v>шт.</v>
      </c>
      <c r="C117" s="52">
        <f>'БазНорм (обр)'!C105</f>
        <v>0.27812543457099148</v>
      </c>
      <c r="D117" s="181"/>
    </row>
    <row r="118" spans="1:4" ht="12.75" customHeight="1" outlineLevel="3" x14ac:dyDescent="0.3">
      <c r="A118" s="26" t="str">
        <f>'БазНорм (обр)'!A106</f>
        <v xml:space="preserve">Корректор </v>
      </c>
      <c r="B118" s="27" t="str">
        <f>'БазНорм (обр)'!B106</f>
        <v>шт.</v>
      </c>
      <c r="C118" s="52">
        <f>'БазНорм (обр)'!C106</f>
        <v>2.225003476567932E-2</v>
      </c>
      <c r="D118" s="181"/>
    </row>
    <row r="119" spans="1:4" ht="12.75" customHeight="1" outlineLevel="3" x14ac:dyDescent="0.3">
      <c r="A119" s="26" t="str">
        <f>'БазНорм (обр)'!A107</f>
        <v>Кнопки</v>
      </c>
      <c r="B119" s="27" t="str">
        <f>'БазНорм (обр)'!B107</f>
        <v>упак.</v>
      </c>
      <c r="C119" s="52">
        <f>'БазНорм (обр)'!C107</f>
        <v>1.3906271728549576E-2</v>
      </c>
      <c r="D119" s="181"/>
    </row>
    <row r="120" spans="1:4" ht="12.75" customHeight="1" outlineLevel="3" x14ac:dyDescent="0.3">
      <c r="A120" s="26" t="str">
        <f>'БазНорм (обр)'!A108</f>
        <v>Разделители листов, картонные</v>
      </c>
      <c r="B120" s="27" t="str">
        <f>'БазНорм (обр)'!B108</f>
        <v>упак.</v>
      </c>
      <c r="C120" s="52">
        <f>'БазНорм (обр)'!C108</f>
        <v>6.0016804705317485E-2</v>
      </c>
      <c r="D120" s="181"/>
    </row>
    <row r="121" spans="1:4" ht="12.75" customHeight="1" outlineLevel="3" x14ac:dyDescent="0.3">
      <c r="A121" s="26" t="str">
        <f>'БазНорм (обр)'!A109</f>
        <v>Скоросшиватель пластик 150мкм</v>
      </c>
      <c r="B121" s="27" t="str">
        <f>'БазНорм (обр)'!B109</f>
        <v>шт.</v>
      </c>
      <c r="C121" s="52">
        <f>'БазНорм (обр)'!C109</f>
        <v>0.13906271728549574</v>
      </c>
      <c r="D121" s="181"/>
    </row>
    <row r="122" spans="1:4" ht="12.75" customHeight="1" outlineLevel="3" x14ac:dyDescent="0.3">
      <c r="A122" s="26" t="str">
        <f>'БазНорм (обр)'!A110</f>
        <v>Файл А4 прозрачный</v>
      </c>
      <c r="B122" s="27" t="str">
        <f>'БазНорм (обр)'!B110</f>
        <v>шт.</v>
      </c>
      <c r="C122" s="52">
        <f>'БазНорм (обр)'!C110</f>
        <v>3.5624476110645431</v>
      </c>
      <c r="D122" s="181"/>
    </row>
    <row r="123" spans="1:4" ht="12.75" customHeight="1" outlineLevel="3" x14ac:dyDescent="0.3">
      <c r="A123" s="26" t="str">
        <f>'БазНорм (обр)'!A111</f>
        <v xml:space="preserve">Папки файлы </v>
      </c>
      <c r="B123" s="27" t="str">
        <f>'БазНорм (обр)'!B111</f>
        <v>упак.</v>
      </c>
      <c r="C123" s="52">
        <f>'БазНорм (обр)'!C111</f>
        <v>3.6010082823190494E-2</v>
      </c>
      <c r="D123" s="181"/>
    </row>
    <row r="124" spans="1:4" ht="12.75" customHeight="1" outlineLevel="3" x14ac:dyDescent="0.3">
      <c r="A124" s="26" t="str">
        <f>'БазНорм (обр)'!A112</f>
        <v xml:space="preserve">Клей-карандаш </v>
      </c>
      <c r="B124" s="27" t="str">
        <f>'БазНорм (обр)'!B112</f>
        <v>шт.</v>
      </c>
      <c r="C124" s="52">
        <f>'БазНорм (обр)'!C112</f>
        <v>2.7812543457099152E-2</v>
      </c>
      <c r="D124" s="181"/>
    </row>
    <row r="125" spans="1:4" ht="12.75" customHeight="1" outlineLevel="3" x14ac:dyDescent="0.3">
      <c r="A125" s="26" t="str">
        <f>'БазНорм (обр)'!A113</f>
        <v>Клей ПВА</v>
      </c>
      <c r="B125" s="27" t="str">
        <f>'БазНорм (обр)'!B113</f>
        <v>шт.</v>
      </c>
      <c r="C125" s="52">
        <f>'БазНорм (обр)'!C113</f>
        <v>1.3906271728549576E-2</v>
      </c>
      <c r="D125" s="181"/>
    </row>
    <row r="126" spans="1:4" ht="12.75" customHeight="1" outlineLevel="3" x14ac:dyDescent="0.3">
      <c r="A126" s="26" t="str">
        <f>'БазНорм (обр)'!A114</f>
        <v>Скотч 19*33</v>
      </c>
      <c r="B126" s="27" t="str">
        <f>'БазНорм (обр)'!B114</f>
        <v>шт.</v>
      </c>
      <c r="C126" s="52">
        <f>'БазНорм (обр)'!C114</f>
        <v>2.7242246437552388E-2</v>
      </c>
      <c r="D126" s="181"/>
    </row>
    <row r="127" spans="1:4" ht="12.75" customHeight="1" outlineLevel="3" x14ac:dyDescent="0.3">
      <c r="A127" s="26" t="str">
        <f>'БазНорм (обр)'!A115</f>
        <v>Скотч 50*66</v>
      </c>
      <c r="B127" s="27" t="str">
        <f>'БазНорм (обр)'!B115</f>
        <v>шт.</v>
      </c>
      <c r="C127" s="52">
        <f>'БазНорм (обр)'!C115</f>
        <v>2.9337803855825649E-2</v>
      </c>
      <c r="D127" s="181"/>
    </row>
    <row r="128" spans="1:4" ht="12.75" customHeight="1" outlineLevel="3" x14ac:dyDescent="0.3">
      <c r="A128" s="26" t="str">
        <f>'БазНорм (обр)'!A116</f>
        <v>Скотч 48*100</v>
      </c>
      <c r="B128" s="27" t="str">
        <f>'БазНорм (обр)'!B116</f>
        <v>шт.</v>
      </c>
      <c r="C128" s="52">
        <f>'БазНорм (обр)'!C116</f>
        <v>0</v>
      </c>
      <c r="D128" s="181"/>
    </row>
    <row r="129" spans="1:4" ht="12.75" customHeight="1" outlineLevel="3" x14ac:dyDescent="0.3">
      <c r="A129" s="26" t="str">
        <f>'БазНорм (обр)'!A117</f>
        <v>Клейкая лента 48*100</v>
      </c>
      <c r="B129" s="27" t="str">
        <f>'БазНорм (обр)'!B117</f>
        <v>шт.</v>
      </c>
      <c r="C129" s="52">
        <f>'БазНорм (обр)'!C117</f>
        <v>2.1606049693914296E-2</v>
      </c>
      <c r="D129" s="181"/>
    </row>
    <row r="130" spans="1:4" ht="12.75" customHeight="1" outlineLevel="3" x14ac:dyDescent="0.3">
      <c r="A130" s="26" t="str">
        <f>'БазНорм (обр)'!A118</f>
        <v>Клейкая лента 48*66</v>
      </c>
      <c r="B130" s="27" t="str">
        <f>'БазНорм (обр)'!B118</f>
        <v>шт.</v>
      </c>
      <c r="C130" s="52">
        <f>'БазНорм (обр)'!C118</f>
        <v>0.17382839660686969</v>
      </c>
      <c r="D130" s="181"/>
    </row>
    <row r="131" spans="1:4" ht="12.75" customHeight="1" outlineLevel="3" x14ac:dyDescent="0.3">
      <c r="A131" s="26" t="str">
        <f>'БазНорм (обр)'!A119</f>
        <v>Регистратор 50 мм</v>
      </c>
      <c r="B131" s="27" t="str">
        <f>'БазНорм (обр)'!B119</f>
        <v>шт.</v>
      </c>
      <c r="C131" s="52">
        <f>'БазНорм (обр)'!C119</f>
        <v>3.143336127409891E-2</v>
      </c>
      <c r="D131" s="181"/>
    </row>
    <row r="132" spans="1:4" ht="12.75" customHeight="1" outlineLevel="3" x14ac:dyDescent="0.3">
      <c r="A132" s="26" t="str">
        <f>'БазНорм (обр)'!A120</f>
        <v>Накопитель документов Лоток-коробка 150мм</v>
      </c>
      <c r="B132" s="27" t="str">
        <f>'БазНорм (обр)'!B120</f>
        <v>шт.</v>
      </c>
      <c r="C132" s="52">
        <f>'БазНорм (обр)'!C120</f>
        <v>1.2003360941063497E-2</v>
      </c>
      <c r="D132" s="181"/>
    </row>
    <row r="133" spans="1:4" ht="12.75" customHeight="1" outlineLevel="3" x14ac:dyDescent="0.3">
      <c r="A133" s="26" t="str">
        <f>'БазНорм (обр)'!A121</f>
        <v>Накопитель документов Лоток-коробка 75мм</v>
      </c>
      <c r="B133" s="27" t="str">
        <f>'БазНорм (обр)'!B121</f>
        <v>шт.</v>
      </c>
      <c r="C133" s="52">
        <f>'БазНорм (обр)'!C121</f>
        <v>2.4006721882126995E-2</v>
      </c>
      <c r="D133" s="181"/>
    </row>
    <row r="134" spans="1:4" ht="12.75" customHeight="1" outlineLevel="3" x14ac:dyDescent="0.3">
      <c r="A134" s="26" t="str">
        <f>'БазНорм (обр)'!A122</f>
        <v>Тетрадь 48л.</v>
      </c>
      <c r="B134" s="27" t="str">
        <f>'БазНорм (обр)'!B122</f>
        <v>шт.</v>
      </c>
      <c r="C134" s="52">
        <f>'БазНорм (обр)'!C122</f>
        <v>3.6010082823190494E-3</v>
      </c>
      <c r="D134" s="181"/>
    </row>
    <row r="135" spans="1:4" ht="12.75" customHeight="1" outlineLevel="3" x14ac:dyDescent="0.3">
      <c r="A135" s="26" t="str">
        <f>'БазНорм (обр)'!A123</f>
        <v>Скрепки 28 мм</v>
      </c>
      <c r="B135" s="27" t="str">
        <f>'БазНорм (обр)'!B123</f>
        <v>упак.</v>
      </c>
      <c r="C135" s="52">
        <f>'БазНорм (обр)'!C123</f>
        <v>2.7812543457099152E-2</v>
      </c>
      <c r="D135" s="181"/>
    </row>
    <row r="136" spans="1:4" ht="12.75" customHeight="1" outlineLevel="3" x14ac:dyDescent="0.3">
      <c r="A136" s="26" t="str">
        <f>'БазНорм (обр)'!A124</f>
        <v>Скобы № 10</v>
      </c>
      <c r="B136" s="27" t="str">
        <f>'БазНорм (обр)'!B124</f>
        <v>упак.</v>
      </c>
      <c r="C136" s="52">
        <f>'БазНорм (обр)'!C124</f>
        <v>4.8013443764253989E-2</v>
      </c>
      <c r="D136" s="181"/>
    </row>
    <row r="137" spans="1:4" ht="12.75" customHeight="1" outlineLevel="3" x14ac:dyDescent="0.3">
      <c r="A137" s="26" t="str">
        <f>'БазНорм (обр)'!A125</f>
        <v>Скобы № 24</v>
      </c>
      <c r="B137" s="27" t="str">
        <f>'БазНорм (обр)'!B125</f>
        <v>упак.</v>
      </c>
      <c r="C137" s="52">
        <f>'БазНорм (обр)'!C125</f>
        <v>2.4006721882126995E-2</v>
      </c>
      <c r="D137" s="181"/>
    </row>
    <row r="138" spans="1:4" ht="12.75" customHeight="1" outlineLevel="3" x14ac:dyDescent="0.3">
      <c r="A138" s="26" t="str">
        <f>'БазНорм (обр)'!A126</f>
        <v>Папка с файлами</v>
      </c>
      <c r="B138" s="27" t="str">
        <f>'БазНорм (обр)'!B126</f>
        <v>шт.</v>
      </c>
      <c r="C138" s="52">
        <f>'БазНорм (обр)'!C126</f>
        <v>6.953135864274787E-2</v>
      </c>
      <c r="D138" s="181"/>
    </row>
    <row r="139" spans="1:4" ht="12.75" customHeight="1" outlineLevel="3" x14ac:dyDescent="0.3">
      <c r="A139" s="26" t="str">
        <f>'БазНорм (обр)'!A127</f>
        <v>Папка - регистратор</v>
      </c>
      <c r="B139" s="27" t="str">
        <f>'БазНорм (обр)'!B127</f>
        <v>шт.</v>
      </c>
      <c r="C139" s="52">
        <f>'БазНорм (обр)'!C127</f>
        <v>4.1718815185648725E-2</v>
      </c>
      <c r="D139" s="181"/>
    </row>
    <row r="140" spans="1:4" ht="12.75" customHeight="1" outlineLevel="3" x14ac:dyDescent="0.3">
      <c r="A140" s="26" t="str">
        <f>'БазНорм (обр)'!A128</f>
        <v>Папка - уголок</v>
      </c>
      <c r="B140" s="27" t="str">
        <f>'БазНорм (обр)'!B128</f>
        <v>шт.</v>
      </c>
      <c r="C140" s="52">
        <f>'БазНорм (обр)'!C128</f>
        <v>6.953135864274787E-2</v>
      </c>
      <c r="D140" s="181"/>
    </row>
    <row r="141" spans="1:4" ht="12.75" customHeight="1" outlineLevel="3" x14ac:dyDescent="0.3">
      <c r="A141" s="26" t="str">
        <f>'БазНорм (обр)'!A129</f>
        <v>Папка с завязками карт</v>
      </c>
      <c r="B141" s="27" t="str">
        <f>'БазНорм (обр)'!B129</f>
        <v>упак.</v>
      </c>
      <c r="C141" s="52">
        <f>'БазНорм (обр)'!C129</f>
        <v>0.13906271728549574</v>
      </c>
      <c r="D141" s="181"/>
    </row>
    <row r="142" spans="1:4" ht="12.75" customHeight="1" outlineLevel="3" x14ac:dyDescent="0.3">
      <c r="A142" s="26" t="str">
        <f>'БазНорм (обр)'!A130</f>
        <v>Папка с мет. приж. 0,6 мм</v>
      </c>
      <c r="B142" s="27" t="str">
        <f>'БазНорм (обр)'!B130</f>
        <v>шт.</v>
      </c>
      <c r="C142" s="52">
        <f>'БазНорм (обр)'!C130</f>
        <v>2.4006721882126995E-2</v>
      </c>
      <c r="D142" s="181"/>
    </row>
    <row r="143" spans="1:4" ht="12.75" customHeight="1" outlineLevel="3" x14ac:dyDescent="0.3">
      <c r="A143" s="26" t="str">
        <f>'БазНорм (обр)'!A131</f>
        <v>Папка с мет. приж 0,7мм</v>
      </c>
      <c r="B143" s="27" t="str">
        <f>'БазНорм (обр)'!B131</f>
        <v>шт.</v>
      </c>
      <c r="C143" s="52">
        <f>'БазНорм (обр)'!C131</f>
        <v>1.2003360941063497E-2</v>
      </c>
      <c r="D143" s="181"/>
    </row>
    <row r="144" spans="1:4" ht="12.75" customHeight="1" outlineLevel="3" x14ac:dyDescent="0.3">
      <c r="A144" s="26" t="str">
        <f>'БазНорм (обр)'!A132</f>
        <v>Нож канцелярский</v>
      </c>
      <c r="B144" s="27" t="str">
        <f>'БазНорм (обр)'!B132</f>
        <v>шт.</v>
      </c>
      <c r="C144" s="52">
        <f>'БазНорм (обр)'!C132</f>
        <v>1.3906271728549576E-2</v>
      </c>
      <c r="D144" s="181"/>
    </row>
    <row r="145" spans="1:4" ht="12.75" customHeight="1" outlineLevel="3" x14ac:dyDescent="0.3">
      <c r="A145" s="26" t="str">
        <f>'БазНорм (обр)'!A133</f>
        <v>Ножницы канц.</v>
      </c>
      <c r="B145" s="27" t="str">
        <f>'БазНорм (обр)'!B133</f>
        <v>шт.</v>
      </c>
      <c r="C145" s="52">
        <f>'БазНорм (обр)'!C133</f>
        <v>6.9531358642747881E-3</v>
      </c>
      <c r="D145" s="181"/>
    </row>
    <row r="146" spans="1:4" ht="12.75" customHeight="1" outlineLevel="3" x14ac:dyDescent="0.3">
      <c r="A146" s="26" t="str">
        <f>'БазНорм (обр)'!A134</f>
        <v>Степлер</v>
      </c>
      <c r="B146" s="27" t="str">
        <f>'БазНорм (обр)'!B134</f>
        <v>шт.</v>
      </c>
      <c r="C146" s="52">
        <f>'БазНорм (обр)'!C134</f>
        <v>6.9531358642747881E-3</v>
      </c>
      <c r="D146" s="181"/>
    </row>
    <row r="147" spans="1:4" s="60" customFormat="1" ht="12.75" customHeight="1" outlineLevel="2" x14ac:dyDescent="0.3">
      <c r="A147" s="33" t="s">
        <v>67</v>
      </c>
      <c r="B147" s="34" t="s">
        <v>3</v>
      </c>
      <c r="C147" s="51" t="s">
        <v>3</v>
      </c>
      <c r="D147" s="181"/>
    </row>
    <row r="148" spans="1:4" ht="12.75" customHeight="1" outlineLevel="3" x14ac:dyDescent="0.3">
      <c r="A148" s="26" t="str">
        <f>'БазНорм (обр)'!A136</f>
        <v>Йод р-р 5%-10 мл.</v>
      </c>
      <c r="B148" s="27" t="str">
        <f>'БазНорм (обр)'!B136</f>
        <v>шт.</v>
      </c>
      <c r="C148" s="52">
        <f>'БазНорм (обр)'!C136</f>
        <v>2.4006721882126995E-2</v>
      </c>
      <c r="D148" s="181"/>
    </row>
    <row r="149" spans="1:4" ht="12.75" customHeight="1" outlineLevel="3" x14ac:dyDescent="0.3">
      <c r="A149" s="26" t="str">
        <f>'БазНорм (обр)'!A137</f>
        <v>Перекись водорода 3% 40 мл.</v>
      </c>
      <c r="B149" s="27" t="str">
        <f>'БазНорм (обр)'!B137</f>
        <v>шт.</v>
      </c>
      <c r="C149" s="52">
        <f>'БазНорм (обр)'!C137</f>
        <v>3.6010082823190494E-2</v>
      </c>
      <c r="D149" s="181"/>
    </row>
    <row r="150" spans="1:4" ht="12.75" customHeight="1" outlineLevel="3" x14ac:dyDescent="0.3">
      <c r="A150" s="26" t="str">
        <f>'БазНорм (обр)'!A138</f>
        <v>Аммиака р-р-100 мл</v>
      </c>
      <c r="B150" s="27" t="str">
        <f>'БазНорм (обр)'!B138</f>
        <v>шт.</v>
      </c>
      <c r="C150" s="52">
        <f>'БазНорм (обр)'!C138</f>
        <v>3.6010082823190494E-3</v>
      </c>
      <c r="D150" s="181"/>
    </row>
    <row r="151" spans="1:4" ht="12.75" customHeight="1" outlineLevel="3" x14ac:dyDescent="0.3">
      <c r="A151" s="26" t="str">
        <f>'БазНорм (обр)'!A139</f>
        <v>Уголь активированный 250мг №10</v>
      </c>
      <c r="B151" s="27" t="str">
        <f>'БазНорм (обр)'!B139</f>
        <v>шт.</v>
      </c>
      <c r="C151" s="52">
        <f>'БазНорм (обр)'!C139</f>
        <v>1.2003360941063497E-2</v>
      </c>
      <c r="D151" s="181"/>
    </row>
    <row r="152" spans="1:4" ht="12.75" customHeight="1" outlineLevel="3" x14ac:dyDescent="0.3">
      <c r="A152" s="26" t="str">
        <f>'БазНорм (обр)'!A140</f>
        <v>Бинт стерильный 5*10 см</v>
      </c>
      <c r="B152" s="27" t="str">
        <f>'БазНорм (обр)'!B140</f>
        <v>шт.</v>
      </c>
      <c r="C152" s="52">
        <f>'БазНорм (обр)'!C140</f>
        <v>4.2011763293722242E-2</v>
      </c>
      <c r="D152" s="181"/>
    </row>
    <row r="153" spans="1:4" ht="12.75" customHeight="1" outlineLevel="3" x14ac:dyDescent="0.3">
      <c r="A153" s="26" t="str">
        <f>'БазНорм (обр)'!A141</f>
        <v>Бинт стерильный 7-14 см</v>
      </c>
      <c r="B153" s="27" t="str">
        <f>'БазНорм (обр)'!B141</f>
        <v>шт.</v>
      </c>
      <c r="C153" s="52">
        <f>'БазНорм (обр)'!C141</f>
        <v>4.2011763293722242E-2</v>
      </c>
      <c r="D153" s="181"/>
    </row>
    <row r="154" spans="1:4" ht="12.75" customHeight="1" outlineLevel="3" x14ac:dyDescent="0.3">
      <c r="A154" s="26" t="str">
        <f>'БазНорм (обр)'!A142</f>
        <v>Вата хирург. стерильн. 250г</v>
      </c>
      <c r="B154" s="27" t="str">
        <f>'БазНорм (обр)'!B142</f>
        <v>шт.</v>
      </c>
      <c r="C154" s="52">
        <f>'БазНорм (обр)'!C142</f>
        <v>2.4006721882126993E-3</v>
      </c>
      <c r="D154" s="181"/>
    </row>
    <row r="155" spans="1:4" ht="12.75" customHeight="1" outlineLevel="3" x14ac:dyDescent="0.3">
      <c r="A155" s="26" t="str">
        <f>'БазНорм (обр)'!A143</f>
        <v>Салфетки стрерильные 16*14 №20</v>
      </c>
      <c r="B155" s="27" t="str">
        <f>'БазНорм (обр)'!B143</f>
        <v>шт.</v>
      </c>
      <c r="C155" s="52">
        <f>'БазНорм (обр)'!C143</f>
        <v>2.4006721882126995E-2</v>
      </c>
      <c r="D155" s="181"/>
    </row>
    <row r="156" spans="1:4" ht="12.75" customHeight="1" outlineLevel="3" x14ac:dyDescent="0.3">
      <c r="A156" s="26" t="str">
        <f>'БазНорм (обр)'!A144</f>
        <v>Л/пласт. бактериц. 2,5*7,2 №1</v>
      </c>
      <c r="B156" s="27" t="str">
        <f>'БазНорм (обр)'!B144</f>
        <v>шт.</v>
      </c>
      <c r="C156" s="52">
        <f>'БазНорм (обр)'!C144</f>
        <v>0.24006721882126994</v>
      </c>
      <c r="D156" s="181"/>
    </row>
    <row r="157" spans="1:4" ht="12.75" customHeight="1" outlineLevel="3" x14ac:dyDescent="0.3">
      <c r="A157" s="26" t="str">
        <f>'БазНорм (обр)'!A145</f>
        <v>Л/пласт,3*500</v>
      </c>
      <c r="B157" s="27" t="str">
        <f>'БазНорм (обр)'!B145</f>
        <v>шт.</v>
      </c>
      <c r="C157" s="52">
        <f>'БазНорм (обр)'!C145</f>
        <v>2.4006721882126993E-3</v>
      </c>
      <c r="D157" s="181"/>
    </row>
    <row r="158" spans="1:4" ht="12.75" customHeight="1" outlineLevel="3" x14ac:dyDescent="0.3">
      <c r="A158" s="26" t="str">
        <f>'БазНорм (обр)'!A146</f>
        <v>Маска трехсл.мед.№50</v>
      </c>
      <c r="B158" s="27" t="str">
        <f>'БазНорм (обр)'!B146</f>
        <v>шт.</v>
      </c>
      <c r="C158" s="52">
        <f>'БазНорм (обр)'!C146</f>
        <v>2.4006721882126993E-3</v>
      </c>
      <c r="D158" s="181"/>
    </row>
    <row r="159" spans="1:4" ht="12.75" customHeight="1" outlineLevel="3" x14ac:dyDescent="0.3">
      <c r="A159" s="26" t="str">
        <f>'БазНорм (обр)'!A147</f>
        <v>Губка гемостатическая 5*5</v>
      </c>
      <c r="B159" s="27" t="str">
        <f>'БазНорм (обр)'!B147</f>
        <v>шт.</v>
      </c>
      <c r="C159" s="52">
        <f>'БазНорм (обр)'!C147</f>
        <v>2.4006721882126993E-3</v>
      </c>
      <c r="D159" s="181"/>
    </row>
    <row r="160" spans="1:4" ht="12.75" customHeight="1" outlineLevel="3" x14ac:dyDescent="0.3">
      <c r="A160" s="26" t="str">
        <f>'БазНорм (обр)'!A148</f>
        <v>Левомеколь мазь 40г.</v>
      </c>
      <c r="B160" s="27" t="str">
        <f>'БазНорм (обр)'!B148</f>
        <v>шт.</v>
      </c>
      <c r="C160" s="52">
        <f>'БазНорм (обр)'!C148</f>
        <v>3.6010082823190494E-3</v>
      </c>
      <c r="D160" s="181"/>
    </row>
    <row r="161" spans="1:4" ht="12.75" customHeight="1" outlineLevel="3" x14ac:dyDescent="0.3">
      <c r="A161" s="26" t="str">
        <f>'БазНорм (обр)'!A149</f>
        <v>Напальчник резиновый №5</v>
      </c>
      <c r="B161" s="27" t="str">
        <f>'БазНорм (обр)'!B149</f>
        <v>упак.</v>
      </c>
      <c r="C161" s="52">
        <f>'БазНорм (обр)'!C149</f>
        <v>9.6026887528507972E-3</v>
      </c>
      <c r="D161" s="181"/>
    </row>
    <row r="162" spans="1:4" ht="12.75" customHeight="1" outlineLevel="3" x14ac:dyDescent="0.3">
      <c r="A162" s="26" t="str">
        <f>'БазНорм (обр)'!A150</f>
        <v>Пакет гипотермич. "Снежок"</v>
      </c>
      <c r="B162" s="27" t="str">
        <f>'БазНорм (обр)'!B150</f>
        <v>шт.</v>
      </c>
      <c r="C162" s="52">
        <f>'БазНорм (обр)'!C150</f>
        <v>0.18005041411595246</v>
      </c>
      <c r="D162" s="181"/>
    </row>
    <row r="163" spans="1:4" ht="12.75" customHeight="1" outlineLevel="3" x14ac:dyDescent="0.3">
      <c r="A163" s="26" t="str">
        <f>'БазНорм (обр)'!A151</f>
        <v>Сульфацил-натрия 20%-5мл</v>
      </c>
      <c r="B163" s="27" t="str">
        <f>'БазНорм (обр)'!B151</f>
        <v>шт.</v>
      </c>
      <c r="C163" s="52">
        <f>'БазНорм (обр)'!C151</f>
        <v>4.8013443764253986E-3</v>
      </c>
      <c r="D163" s="181"/>
    </row>
    <row r="164" spans="1:4" ht="12.75" customHeight="1" outlineLevel="3" x14ac:dyDescent="0.3">
      <c r="A164" s="26" t="str">
        <f>'БазНорм (обр)'!A152</f>
        <v>Перчатки латексные хир.стер.</v>
      </c>
      <c r="B164" s="27" t="str">
        <f>'БазНорм (обр)'!B152</f>
        <v>упак.</v>
      </c>
      <c r="C164" s="52">
        <f>'БазНорм (обр)'!C152</f>
        <v>2.4006721882126995E-2</v>
      </c>
      <c r="D164" s="181"/>
    </row>
    <row r="165" spans="1:4" ht="12.75" customHeight="1" outlineLevel="3" x14ac:dyDescent="0.3">
      <c r="A165" s="26" t="str">
        <f>'БазНорм (обр)'!A153</f>
        <v>Бриллиантовый зелен. 1%-10мл</v>
      </c>
      <c r="B165" s="27" t="str">
        <f>'БазНорм (обр)'!B153</f>
        <v>шт.</v>
      </c>
      <c r="C165" s="52">
        <f>'БазНорм (обр)'!C153</f>
        <v>1.2003360941063497E-2</v>
      </c>
      <c r="D165" s="181"/>
    </row>
    <row r="166" spans="1:4" ht="12.75" customHeight="1" x14ac:dyDescent="0.3">
      <c r="A166" s="179" t="s">
        <v>83</v>
      </c>
      <c r="B166" s="179"/>
      <c r="C166" s="179"/>
      <c r="D166" s="179"/>
    </row>
    <row r="167" spans="1:4" outlineLevel="1" x14ac:dyDescent="0.3">
      <c r="A167" s="179" t="s">
        <v>84</v>
      </c>
      <c r="B167" s="179"/>
      <c r="C167" s="179"/>
      <c r="D167" s="179"/>
    </row>
    <row r="168" spans="1:4" outlineLevel="2" x14ac:dyDescent="0.3">
      <c r="A168" s="26" t="str">
        <f>'БазНорм (обр)'!A156</f>
        <v>Теплоэнергия (город)</v>
      </c>
      <c r="B168" s="27" t="str">
        <f>'БазНорм (обр)'!B156</f>
        <v>Гкал</v>
      </c>
      <c r="C168" s="52">
        <f>'БазНорм (обр)'!C156</f>
        <v>1.6197030752916226</v>
      </c>
      <c r="D168" s="180" t="s">
        <v>135</v>
      </c>
    </row>
    <row r="169" spans="1:4" outlineLevel="2" x14ac:dyDescent="0.3">
      <c r="A169" s="26" t="str">
        <f>'БазНорм (обр)'!A157</f>
        <v>Теплоэнергия в горячей воде</v>
      </c>
      <c r="B169" s="27" t="str">
        <f>'БазНорм (обр)'!B157</f>
        <v>Гкал</v>
      </c>
      <c r="C169" s="52">
        <f>'БазНорм (обр)'!C157</f>
        <v>0</v>
      </c>
      <c r="D169" s="181"/>
    </row>
    <row r="170" spans="1:4" outlineLevel="2" x14ac:dyDescent="0.3">
      <c r="A170" s="26" t="str">
        <f>'БазНорм (обр)'!A158</f>
        <v>Теплоноситель</v>
      </c>
      <c r="B170" s="27" t="str">
        <f>'БазНорм (обр)'!B158</f>
        <v>м3</v>
      </c>
      <c r="C170" s="52">
        <f>'БазНорм (обр)'!C158</f>
        <v>3.4638388123011667</v>
      </c>
      <c r="D170" s="181"/>
    </row>
    <row r="171" spans="1:4" outlineLevel="2" x14ac:dyDescent="0.3">
      <c r="A171" s="26" t="str">
        <f>'БазНорм (обр)'!A159</f>
        <v>Электроэнергия (до 150)</v>
      </c>
      <c r="B171" s="27" t="str">
        <f>'БазНорм (обр)'!B159</f>
        <v>Квт*ч</v>
      </c>
      <c r="C171" s="52">
        <f>'БазНорм (обр)'!C159</f>
        <v>113.65853658536585</v>
      </c>
      <c r="D171" s="181"/>
    </row>
    <row r="172" spans="1:4" outlineLevel="2" x14ac:dyDescent="0.3">
      <c r="A172" s="26" t="str">
        <f>'БазНорм (обр)'!A160</f>
        <v>Электроэнергия (от 150 до 670)</v>
      </c>
      <c r="B172" s="27" t="str">
        <f>'БазНорм (обр)'!B160</f>
        <v>Квт*ч</v>
      </c>
      <c r="C172" s="52">
        <f>'БазНорм (обр)'!C160</f>
        <v>57.739130434782609</v>
      </c>
      <c r="D172" s="181"/>
    </row>
    <row r="173" spans="1:4" outlineLevel="2" x14ac:dyDescent="0.3">
      <c r="A173" s="26" t="str">
        <f>'БазНорм (обр)'!A161</f>
        <v>Холодное водоснабжение</v>
      </c>
      <c r="B173" s="27" t="str">
        <f>'БазНорм (обр)'!B161</f>
        <v>м3</v>
      </c>
      <c r="C173" s="52">
        <f>'БазНорм (обр)'!C161</f>
        <v>4.1823966065747618</v>
      </c>
      <c r="D173" s="181"/>
    </row>
    <row r="174" spans="1:4" outlineLevel="2" x14ac:dyDescent="0.3">
      <c r="A174" s="26" t="str">
        <f>'БазНорм (обр)'!A162</f>
        <v>Водоотведение</v>
      </c>
      <c r="B174" s="27" t="str">
        <f>'БазНорм (обр)'!B162</f>
        <v>м3</v>
      </c>
      <c r="C174" s="52">
        <f>'БазНорм (обр)'!C162</f>
        <v>6.7815482502651117</v>
      </c>
      <c r="D174" s="181"/>
    </row>
    <row r="175" spans="1:4" outlineLevel="2" x14ac:dyDescent="0.3">
      <c r="A175" s="26" t="str">
        <f>'БазНорм (обр)'!A163</f>
        <v>Сбросы загрязнений</v>
      </c>
      <c r="B175" s="27" t="str">
        <f>'БазНорм (обр)'!B163</f>
        <v>м3</v>
      </c>
      <c r="C175" s="52">
        <f>'БазНорм (обр)'!C163</f>
        <v>5.7232237539766704</v>
      </c>
      <c r="D175" s="187"/>
    </row>
    <row r="176" spans="1:4" ht="12.75" customHeight="1" outlineLevel="1" x14ac:dyDescent="0.3">
      <c r="A176" s="179" t="s">
        <v>85</v>
      </c>
      <c r="B176" s="179"/>
      <c r="C176" s="179"/>
      <c r="D176" s="179"/>
    </row>
    <row r="177" spans="1:4" ht="13.5" customHeight="1" outlineLevel="2" x14ac:dyDescent="0.3">
      <c r="A177" s="26" t="str">
        <f>'БазНорм (обр)'!A165</f>
        <v>Дератизация</v>
      </c>
      <c r="B177" s="27" t="str">
        <f>'БазНорм (обр)'!B165</f>
        <v>м2</v>
      </c>
      <c r="C177" s="52">
        <f>'БазНорм (обр)'!C165</f>
        <v>0.93864262990455993</v>
      </c>
      <c r="D177" s="180" t="s">
        <v>135</v>
      </c>
    </row>
    <row r="178" spans="1:4" ht="13.5" customHeight="1" outlineLevel="2" x14ac:dyDescent="0.3">
      <c r="A178" s="26" t="str">
        <f>'БазНорм (обр)'!A166</f>
        <v>Дезинсекция</v>
      </c>
      <c r="B178" s="27" t="str">
        <f>'БазНорм (обр)'!B166</f>
        <v>м2</v>
      </c>
      <c r="C178" s="52">
        <f>'БазНорм (обр)'!C166</f>
        <v>0.42417815482502652</v>
      </c>
      <c r="D178" s="181"/>
    </row>
    <row r="179" spans="1:4" ht="13.5" customHeight="1" outlineLevel="2" x14ac:dyDescent="0.3">
      <c r="A179" s="26" t="str">
        <f>'БазНорм (обр)'!A167</f>
        <v>ТО КТС</v>
      </c>
      <c r="B179" s="27" t="str">
        <f>'БазНорм (обр)'!B167</f>
        <v>усл. ед.</v>
      </c>
      <c r="C179" s="52">
        <f>'БазНорм (обр)'!C167</f>
        <v>2.1208907741251328E-3</v>
      </c>
      <c r="D179" s="181"/>
    </row>
    <row r="180" spans="1:4" ht="13.5" customHeight="1" outlineLevel="2" x14ac:dyDescent="0.3">
      <c r="A180" s="26" t="str">
        <f>'БазНорм (обр)'!A168</f>
        <v>Охрана КТС</v>
      </c>
      <c r="B180" s="27" t="str">
        <f>'БазНорм (обр)'!B168</f>
        <v>усл. ед.</v>
      </c>
      <c r="C180" s="52">
        <f>'БазНорм (обр)'!C168</f>
        <v>0</v>
      </c>
      <c r="D180" s="181"/>
    </row>
    <row r="181" spans="1:4" ht="13.5" customHeight="1" outlineLevel="2" x14ac:dyDescent="0.3">
      <c r="A181" s="26" t="str">
        <f>'БазНорм (обр)'!A169</f>
        <v>Охрана КТС</v>
      </c>
      <c r="B181" s="27" t="str">
        <f>'БазНорм (обр)'!B169</f>
        <v>усл. ед.</v>
      </c>
      <c r="C181" s="52">
        <f>'БазНорм (обр)'!C169</f>
        <v>18.579003181336162</v>
      </c>
      <c r="D181" s="181"/>
    </row>
    <row r="182" spans="1:4" ht="13.5" customHeight="1" outlineLevel="2" x14ac:dyDescent="0.3">
      <c r="A182" s="26" t="str">
        <f>'БазНорм (обр)'!A170</f>
        <v>Охрана КТС</v>
      </c>
      <c r="B182" s="27" t="str">
        <f>'БазНорм (обр)'!B170</f>
        <v>усл. ед.</v>
      </c>
      <c r="C182" s="52">
        <f>'БазНорм (обр)'!C170</f>
        <v>0</v>
      </c>
      <c r="D182" s="181"/>
    </row>
    <row r="183" spans="1:4" ht="13.5" customHeight="1" outlineLevel="2" x14ac:dyDescent="0.3">
      <c r="A183" s="26" t="str">
        <f>'БазНорм (обр)'!A171</f>
        <v>Охрана КТС</v>
      </c>
      <c r="B183" s="27" t="str">
        <f>'БазНорм (обр)'!B171</f>
        <v>усл. ед.</v>
      </c>
      <c r="C183" s="52">
        <f>'БазНорм (обр)'!C171</f>
        <v>0</v>
      </c>
      <c r="D183" s="181"/>
    </row>
    <row r="184" spans="1:4" ht="13.5" customHeight="1" outlineLevel="2" x14ac:dyDescent="0.3">
      <c r="A184" s="26" t="str">
        <f>'БазНорм (обр)'!A172</f>
        <v>Охрана КТС</v>
      </c>
      <c r="B184" s="27" t="str">
        <f>'БазНорм (обр)'!B172</f>
        <v>усл. ед.</v>
      </c>
      <c r="C184" s="52">
        <f>'БазНорм (обр)'!C172</f>
        <v>0</v>
      </c>
      <c r="D184" s="181"/>
    </row>
    <row r="185" spans="1:4" ht="13.5" customHeight="1" outlineLevel="2" x14ac:dyDescent="0.3">
      <c r="A185" s="26" t="str">
        <f>'БазНорм (обр)'!A173</f>
        <v>Пожарная охрана</v>
      </c>
      <c r="B185" s="27" t="str">
        <f>'БазНорм (обр)'!B173</f>
        <v>усл. ед.</v>
      </c>
      <c r="C185" s="52">
        <f>'БазНорм (обр)'!C173</f>
        <v>18.579003181336162</v>
      </c>
      <c r="D185" s="181"/>
    </row>
    <row r="186" spans="1:4" ht="13.5" customHeight="1" outlineLevel="2" x14ac:dyDescent="0.3">
      <c r="A186" s="26" t="str">
        <f>'БазНорм (обр)'!A174</f>
        <v>ТО пожарной сигнализации</v>
      </c>
      <c r="B186" s="27" t="str">
        <f>'БазНорм (обр)'!B174</f>
        <v>усл. ед.</v>
      </c>
      <c r="C186" s="52">
        <f>'БазНорм (обр)'!C174</f>
        <v>0</v>
      </c>
      <c r="D186" s="181"/>
    </row>
    <row r="187" spans="1:4" ht="13.5" customHeight="1" outlineLevel="2" x14ac:dyDescent="0.3">
      <c r="A187" s="26" t="str">
        <f>'БазНорм (обр)'!A175</f>
        <v>ТО пожарной сигнализации</v>
      </c>
      <c r="B187" s="27" t="str">
        <f>'БазНорм (обр)'!B175</f>
        <v>усл. ед.</v>
      </c>
      <c r="C187" s="52">
        <f>'БазНорм (обр)'!C175</f>
        <v>0</v>
      </c>
      <c r="D187" s="181"/>
    </row>
    <row r="188" spans="1:4" ht="13.5" customHeight="1" outlineLevel="2" x14ac:dyDescent="0.3">
      <c r="A188" s="26" t="str">
        <f>'БазНорм (обр)'!A176</f>
        <v>ТО пожарной сигнализации</v>
      </c>
      <c r="B188" s="27" t="str">
        <f>'БазНорм (обр)'!B176</f>
        <v>усл. ед.</v>
      </c>
      <c r="C188" s="52">
        <f>'БазНорм (обр)'!C176</f>
        <v>1.0604453870625664E-3</v>
      </c>
      <c r="D188" s="181"/>
    </row>
    <row r="189" spans="1:4" ht="13.5" customHeight="1" outlineLevel="2" x14ac:dyDescent="0.3">
      <c r="A189" s="26" t="str">
        <f>'БазНорм (обр)'!A177</f>
        <v>ТО пожарной сигнализации</v>
      </c>
      <c r="B189" s="27" t="str">
        <f>'БазНорм (обр)'!B177</f>
        <v>усл. ед.</v>
      </c>
      <c r="C189" s="52">
        <f>'БазНорм (обр)'!C177</f>
        <v>0</v>
      </c>
      <c r="D189" s="181"/>
    </row>
    <row r="190" spans="1:4" ht="13.5" customHeight="1" outlineLevel="2" x14ac:dyDescent="0.3">
      <c r="A190" s="26" t="str">
        <f>'БазНорм (обр)'!A178</f>
        <v>ТО пожарной сигнализации</v>
      </c>
      <c r="B190" s="27" t="str">
        <f>'БазНорм (обр)'!B178</f>
        <v>усл. ед.</v>
      </c>
      <c r="C190" s="52">
        <f>'БазНорм (обр)'!C178</f>
        <v>0</v>
      </c>
      <c r="D190" s="181"/>
    </row>
    <row r="191" spans="1:4" ht="13.5" customHeight="1" outlineLevel="2" x14ac:dyDescent="0.3">
      <c r="A191" s="26" t="str">
        <f>'БазНорм (обр)'!A179</f>
        <v>ТО пожарной сигнализации</v>
      </c>
      <c r="B191" s="27" t="str">
        <f>'БазНорм (обр)'!B179</f>
        <v>усл. ед.</v>
      </c>
      <c r="C191" s="52">
        <f>'БазНорм (обр)'!C179</f>
        <v>0</v>
      </c>
      <c r="D191" s="181"/>
    </row>
    <row r="192" spans="1:4" ht="13.5" customHeight="1" outlineLevel="2" x14ac:dyDescent="0.3">
      <c r="A192" s="26" t="str">
        <f>'БазНорм (обр)'!A180</f>
        <v>GSM Контакт</v>
      </c>
      <c r="B192" s="27" t="str">
        <f>'БазНорм (обр)'!B180</f>
        <v>усл. ед.</v>
      </c>
      <c r="C192" s="52">
        <f>'БазНорм (обр)'!C180</f>
        <v>0</v>
      </c>
      <c r="D192" s="181"/>
    </row>
    <row r="193" spans="1:4" ht="13.5" customHeight="1" outlineLevel="2" x14ac:dyDescent="0.3">
      <c r="A193" s="26" t="str">
        <f>'БазНорм (обр)'!A181</f>
        <v>ТО приборов учета тепла</v>
      </c>
      <c r="B193" s="27" t="str">
        <f>'БазНорм (обр)'!B181</f>
        <v>усл. ед.</v>
      </c>
      <c r="C193" s="52">
        <f>'БазНорм (обр)'!C181</f>
        <v>2.1208907741251328E-3</v>
      </c>
      <c r="D193" s="181"/>
    </row>
    <row r="194" spans="1:4" ht="13.5" customHeight="1" outlineLevel="2" x14ac:dyDescent="0.3">
      <c r="A194" s="26" t="str">
        <f>'БазНорм (обр)'!A182</f>
        <v>ТО автоматизированного теплового пункта</v>
      </c>
      <c r="B194" s="27" t="str">
        <f>'БазНорм (обр)'!B182</f>
        <v>усл. ед.</v>
      </c>
      <c r="C194" s="52">
        <f>'БазНорм (обр)'!C182</f>
        <v>2.1208907741251328E-3</v>
      </c>
      <c r="D194" s="181"/>
    </row>
    <row r="195" spans="1:4" ht="13.5" customHeight="1" outlineLevel="2" x14ac:dyDescent="0.3">
      <c r="A195" s="26" t="str">
        <f>'БазНорм (обр)'!A183</f>
        <v>ТО системы видеонаблюдения</v>
      </c>
      <c r="B195" s="27" t="str">
        <f>'БазНорм (обр)'!B183</f>
        <v>усл. ед.</v>
      </c>
      <c r="C195" s="52">
        <f>'БазНорм (обр)'!C183</f>
        <v>1.0604453870625664E-3</v>
      </c>
      <c r="D195" s="181"/>
    </row>
    <row r="196" spans="1:4" ht="13.5" customHeight="1" outlineLevel="2" x14ac:dyDescent="0.3">
      <c r="A196" s="26" t="str">
        <f>'БазНорм (обр)'!A184</f>
        <v>ТО системы видеонаблюдения</v>
      </c>
      <c r="B196" s="27" t="str">
        <f>'БазНорм (обр)'!B184</f>
        <v>усл. ед.</v>
      </c>
      <c r="C196" s="52">
        <f>'БазНорм (обр)'!C184</f>
        <v>0</v>
      </c>
      <c r="D196" s="181"/>
    </row>
    <row r="197" spans="1:4" ht="13.5" customHeight="1" outlineLevel="2" x14ac:dyDescent="0.3">
      <c r="A197" s="26" t="str">
        <f>'БазНорм (обр)'!A185</f>
        <v>ТО системы видеонаблюдения</v>
      </c>
      <c r="B197" s="27" t="str">
        <f>'БазНорм (обр)'!B185</f>
        <v>усл. ед.</v>
      </c>
      <c r="C197" s="52">
        <f>'БазНорм (обр)'!C185</f>
        <v>0</v>
      </c>
      <c r="D197" s="181"/>
    </row>
    <row r="198" spans="1:4" ht="13.5" customHeight="1" outlineLevel="2" x14ac:dyDescent="0.3">
      <c r="A198" s="26" t="str">
        <f>'БазНорм (обр)'!A186</f>
        <v>Вывоз ТБО</v>
      </c>
      <c r="B198" s="27" t="str">
        <f>'БазНорм (обр)'!B186</f>
        <v>м3</v>
      </c>
      <c r="C198" s="52">
        <f>'БазНорм (обр)'!C186</f>
        <v>0.30965005302226933</v>
      </c>
      <c r="D198" s="181"/>
    </row>
    <row r="199" spans="1:4" ht="13.5" customHeight="1" outlineLevel="2" x14ac:dyDescent="0.3">
      <c r="A199" s="26" t="str">
        <f>'БазНорм (обр)'!A187</f>
        <v>Уборка снега</v>
      </c>
      <c r="B199" s="27" t="str">
        <f>'БазНорм (обр)'!B187</f>
        <v>м2</v>
      </c>
      <c r="C199" s="52">
        <f>'БазНорм (обр)'!C187</f>
        <v>0</v>
      </c>
      <c r="D199" s="181"/>
    </row>
    <row r="200" spans="1:4" ht="13.5" customHeight="1" outlineLevel="2" x14ac:dyDescent="0.3">
      <c r="A200" s="26" t="str">
        <f>'БазНорм (обр)'!A188</f>
        <v>Замеры сопротивлений изоляции проводки</v>
      </c>
      <c r="B200" s="27" t="str">
        <f>'БазНорм (обр)'!B188</f>
        <v>усл. ед.</v>
      </c>
      <c r="C200" s="52">
        <f>'БазНорм (обр)'!C188</f>
        <v>2.1208907741251328E-3</v>
      </c>
      <c r="D200" s="181"/>
    </row>
    <row r="201" spans="1:4" ht="13.5" customHeight="1" outlineLevel="2" x14ac:dyDescent="0.3">
      <c r="A201" s="26" t="str">
        <f>'БазНорм (обр)'!A189</f>
        <v>Техническое обслуживание силового электрооборудования</v>
      </c>
      <c r="B201" s="27" t="str">
        <f>'БазНорм (обр)'!B189</f>
        <v>усл. ед.</v>
      </c>
      <c r="C201" s="52">
        <f>'БазНорм (обр)'!C189</f>
        <v>0</v>
      </c>
      <c r="D201" s="181"/>
    </row>
    <row r="202" spans="1:4" ht="13.5" customHeight="1" outlineLevel="2" x14ac:dyDescent="0.3">
      <c r="A202" s="26" t="str">
        <f>'БазНорм (обр)'!A190</f>
        <v>Прочистка канализации</v>
      </c>
      <c r="B202" s="27" t="str">
        <f>'БазНорм (обр)'!B190</f>
        <v>усл. Ед.</v>
      </c>
      <c r="C202" s="52">
        <f>'БазНорм (обр)'!C190</f>
        <v>4.2417815482502655E-3</v>
      </c>
      <c r="D202" s="181"/>
    </row>
    <row r="203" spans="1:4" ht="13.5" customHeight="1" outlineLevel="2" x14ac:dyDescent="0.3">
      <c r="A203" s="26" t="str">
        <f>'БазНорм (обр)'!A191</f>
        <v>Проверка качества огнезащиты</v>
      </c>
      <c r="B203" s="27" t="str">
        <f>'БазНорм (обр)'!B191</f>
        <v>усл. ед.</v>
      </c>
      <c r="C203" s="52">
        <f>'БазНорм (обр)'!C191</f>
        <v>2.1208907741251328E-3</v>
      </c>
      <c r="D203" s="181"/>
    </row>
    <row r="204" spans="1:4" ht="13.5" customHeight="1" outlineLevel="2" x14ac:dyDescent="0.3">
      <c r="A204" s="26" t="str">
        <f>'БазНорм (обр)'!A192</f>
        <v>Огнезащитная обработка чердачных деревянных конструкций</v>
      </c>
      <c r="B204" s="27" t="str">
        <f>'БазНорм (обр)'!B192</f>
        <v>м2</v>
      </c>
      <c r="C204" s="52">
        <f>'БазНорм (обр)'!C192</f>
        <v>3.9236479321314954</v>
      </c>
      <c r="D204" s="181"/>
    </row>
    <row r="205" spans="1:4" ht="13.5" customHeight="1" outlineLevel="2" x14ac:dyDescent="0.3">
      <c r="A205" s="26" t="str">
        <f>'БазНорм (обр)'!A193</f>
        <v>ТО грузового лифта</v>
      </c>
      <c r="B205" s="27" t="str">
        <f>'БазНорм (обр)'!B193</f>
        <v>усл. ед.</v>
      </c>
      <c r="C205" s="52">
        <f>'БазНорм (обр)'!C193</f>
        <v>1.0604453870625664E-3</v>
      </c>
      <c r="D205" s="181"/>
    </row>
    <row r="206" spans="1:4" ht="12.75" customHeight="1" outlineLevel="1" x14ac:dyDescent="0.3">
      <c r="A206" s="179" t="s">
        <v>86</v>
      </c>
      <c r="B206" s="179"/>
      <c r="C206" s="179"/>
      <c r="D206" s="179"/>
    </row>
    <row r="207" spans="1:4" ht="12.75" customHeight="1" outlineLevel="2" x14ac:dyDescent="0.3">
      <c r="A207" s="26" t="str">
        <f>'БазНорм (обр)'!A195</f>
        <v>Ремонт МФУ</v>
      </c>
      <c r="B207" s="27" t="str">
        <f>'БазНорм (обр)'!B195</f>
        <v>шт.</v>
      </c>
      <c r="C207" s="52">
        <f>'БазНорм (обр)'!C195</f>
        <v>2.6511134676564158E-2</v>
      </c>
      <c r="D207" s="118" t="s">
        <v>135</v>
      </c>
    </row>
    <row r="208" spans="1:4" outlineLevel="1" x14ac:dyDescent="0.3">
      <c r="A208" s="179" t="s">
        <v>87</v>
      </c>
      <c r="B208" s="179"/>
      <c r="C208" s="179"/>
      <c r="D208" s="179"/>
    </row>
    <row r="209" spans="1:4" ht="12.75" customHeight="1" outlineLevel="2" x14ac:dyDescent="0.3">
      <c r="A209" s="26" t="str">
        <f>'БазНорм (обр)'!A197</f>
        <v>Местная связь</v>
      </c>
      <c r="B209" s="27" t="str">
        <f>'БазНорм (обр)'!B197</f>
        <v>усл. ед.</v>
      </c>
      <c r="C209" s="52">
        <f>'БазНорм (обр)'!C197</f>
        <v>1.2725344644750797E-2</v>
      </c>
      <c r="D209" s="180" t="s">
        <v>135</v>
      </c>
    </row>
    <row r="210" spans="1:4" ht="12.75" customHeight="1" outlineLevel="2" x14ac:dyDescent="0.3">
      <c r="A210" s="26" t="str">
        <f>'БазНорм (обр)'!A198</f>
        <v>Связь МН и МГ</v>
      </c>
      <c r="B210" s="27" t="str">
        <f>'БазНорм (обр)'!B198</f>
        <v>усл. ед.</v>
      </c>
      <c r="C210" s="52">
        <f>'БазНорм (обр)'!C198</f>
        <v>1.2725344644750797E-2</v>
      </c>
      <c r="D210" s="181"/>
    </row>
    <row r="211" spans="1:4" ht="12.75" customHeight="1" outlineLevel="2" x14ac:dyDescent="0.3">
      <c r="A211" s="26" t="str">
        <f>'БазНорм (обр)'!A199</f>
        <v>Интернет</v>
      </c>
      <c r="B211" s="27" t="str">
        <f>'БазНорм (обр)'!B199</f>
        <v>усл. ед.</v>
      </c>
      <c r="C211" s="52">
        <f>'БазНорм (обр)'!C199</f>
        <v>1.2725344644750797E-2</v>
      </c>
      <c r="D211" s="181"/>
    </row>
    <row r="212" spans="1:4" outlineLevel="1" x14ac:dyDescent="0.3">
      <c r="A212" s="179" t="s">
        <v>88</v>
      </c>
      <c r="B212" s="179"/>
      <c r="C212" s="179"/>
      <c r="D212" s="179"/>
    </row>
    <row r="213" spans="1:4" ht="12.75" customHeight="1" outlineLevel="2" x14ac:dyDescent="0.3">
      <c r="A213" s="57"/>
      <c r="B213" s="57"/>
      <c r="C213" s="57"/>
      <c r="D213" s="57"/>
    </row>
    <row r="214" spans="1:4" ht="12.75" customHeight="1" outlineLevel="2" x14ac:dyDescent="0.3">
      <c r="A214" s="57"/>
      <c r="B214" s="57"/>
      <c r="C214" s="57"/>
      <c r="D214" s="57"/>
    </row>
    <row r="215" spans="1:4" ht="12.75" customHeight="1" outlineLevel="2" x14ac:dyDescent="0.3">
      <c r="A215" s="57"/>
      <c r="B215" s="57"/>
      <c r="C215" s="57"/>
      <c r="D215" s="57"/>
    </row>
    <row r="216" spans="1:4" ht="12.75" customHeight="1" outlineLevel="1" x14ac:dyDescent="0.3">
      <c r="A216" s="179" t="s">
        <v>89</v>
      </c>
      <c r="B216" s="179"/>
      <c r="C216" s="179"/>
      <c r="D216" s="179"/>
    </row>
    <row r="217" spans="1:4" ht="13.5" customHeight="1" outlineLevel="2" x14ac:dyDescent="0.3">
      <c r="A217" s="57"/>
      <c r="B217" s="57"/>
      <c r="C217" s="57"/>
      <c r="D217" s="57"/>
    </row>
    <row r="218" spans="1:4" ht="13.5" customHeight="1" outlineLevel="2" x14ac:dyDescent="0.3">
      <c r="A218" s="57"/>
      <c r="B218" s="57"/>
      <c r="C218" s="57"/>
      <c r="D218" s="57"/>
    </row>
    <row r="219" spans="1:4" ht="13.5" customHeight="1" outlineLevel="2" x14ac:dyDescent="0.3">
      <c r="A219" s="57"/>
      <c r="B219" s="57"/>
      <c r="C219" s="57"/>
      <c r="D219" s="57"/>
    </row>
    <row r="220" spans="1:4" ht="12.75" customHeight="1" outlineLevel="1" x14ac:dyDescent="0.3">
      <c r="A220" s="179" t="s">
        <v>90</v>
      </c>
      <c r="B220" s="179"/>
      <c r="C220" s="179"/>
      <c r="D220" s="179"/>
    </row>
    <row r="221" spans="1:4" ht="12.75" customHeight="1" outlineLevel="2" x14ac:dyDescent="0.3">
      <c r="A221" s="26" t="str">
        <f>'БазНорм (обр)'!A209</f>
        <v>Исследование воды после гидропромывки</v>
      </c>
      <c r="B221" s="27" t="str">
        <f>'БазНорм (обр)'!B209</f>
        <v>усл. ед.</v>
      </c>
      <c r="C221" s="52">
        <f>'БазНорм (обр)'!C209</f>
        <v>2.1208907741251328E-3</v>
      </c>
      <c r="D221" s="180" t="s">
        <v>135</v>
      </c>
    </row>
    <row r="222" spans="1:4" ht="25.5" customHeight="1" outlineLevel="2" x14ac:dyDescent="0.3">
      <c r="A222" s="26" t="str">
        <f>'БазНорм (обр)'!A210</f>
        <v>Исследование воды</v>
      </c>
      <c r="B222" s="27" t="str">
        <f>'БазНорм (обр)'!B210</f>
        <v>усл. ед.</v>
      </c>
      <c r="C222" s="52">
        <f>'БазНорм (обр)'!C210</f>
        <v>2.1208907741251328E-3</v>
      </c>
      <c r="D222" s="181"/>
    </row>
    <row r="223" spans="1:4" ht="12.75" customHeight="1" outlineLevel="2" x14ac:dyDescent="0.3">
      <c r="A223" s="26" t="str">
        <f>'БазНорм (обр)'!A211</f>
        <v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v>
      </c>
      <c r="B223" s="27" t="str">
        <f>'БазНорм (обр)'!B211</f>
        <v>усл. ед.</v>
      </c>
      <c r="C223" s="52">
        <f>'БазНорм (обр)'!C211</f>
        <v>0</v>
      </c>
      <c r="D223" s="181"/>
    </row>
    <row r="224" spans="1:4" ht="12.75" customHeight="1" outlineLevel="2" x14ac:dyDescent="0.3">
      <c r="A224" s="26" t="str">
        <f>'БазНорм (обр)'!A212</f>
        <v>Замеры ЭМП</v>
      </c>
      <c r="B224" s="27" t="str">
        <f>'БазНорм (обр)'!B212</f>
        <v>усл. ед.</v>
      </c>
      <c r="C224" s="52">
        <f>'БазНорм (обр)'!C212</f>
        <v>0</v>
      </c>
      <c r="D224" s="181"/>
    </row>
    <row r="225" spans="1:4" ht="12.75" customHeight="1" outlineLevel="2" x14ac:dyDescent="0.3">
      <c r="A225" s="26" t="str">
        <f>'БазНорм (обр)'!A213</f>
        <v>Зарядка огнетушителей</v>
      </c>
      <c r="B225" s="27" t="str">
        <f>'БазНорм (обр)'!B213</f>
        <v>усл. ед.</v>
      </c>
      <c r="C225" s="52">
        <f>'БазНорм (обр)'!C213</f>
        <v>0</v>
      </c>
      <c r="D225" s="181"/>
    </row>
    <row r="226" spans="1:4" ht="12.75" customHeight="1" outlineLevel="2" x14ac:dyDescent="0.3">
      <c r="A226" s="26" t="str">
        <f>'БазНорм (обр)'!A214</f>
        <v>Испытание эл/защитных средств (перчатки)</v>
      </c>
      <c r="B226" s="27" t="str">
        <f>'БазНорм (обр)'!B214</f>
        <v>усл. ед.</v>
      </c>
      <c r="C226" s="52">
        <f>'БазНорм (обр)'!C214</f>
        <v>0</v>
      </c>
      <c r="D226" s="181"/>
    </row>
    <row r="227" spans="1:4" ht="12.75" customHeight="1" outlineLevel="2" x14ac:dyDescent="0.3">
      <c r="A227" s="26" t="str">
        <f>'БазНорм (обр)'!A215</f>
        <v>Демеркуризация ламп</v>
      </c>
      <c r="B227" s="27" t="str">
        <f>'БазНорм (обр)'!B215</f>
        <v>шт.</v>
      </c>
      <c r="C227" s="52">
        <f>'БазНорм (обр)'!C215</f>
        <v>0</v>
      </c>
      <c r="D227" s="181"/>
    </row>
    <row r="228" spans="1:4" ht="12.75" customHeight="1" outlineLevel="2" x14ac:dyDescent="0.3">
      <c r="A228" s="26" t="str">
        <f>'БазНорм (обр)'!A216</f>
        <v>Испытание пожарных кранов</v>
      </c>
      <c r="B228" s="27" t="str">
        <f>'БазНорм (обр)'!B216</f>
        <v>шт.</v>
      </c>
      <c r="C228" s="52">
        <f>'БазНорм (обр)'!C216</f>
        <v>0</v>
      </c>
      <c r="D228" s="181"/>
    </row>
    <row r="229" spans="1:4" ht="25.5" customHeight="1" outlineLevel="2" x14ac:dyDescent="0.3">
      <c r="A229" s="26" t="str">
        <f>'БазНорм (обр)'!A217</f>
        <v>Поверка ростомеры металл.</v>
      </c>
      <c r="B229" s="27" t="str">
        <f>'БазНорм (обр)'!B217</f>
        <v>шт.</v>
      </c>
      <c r="C229" s="52">
        <f>'БазНорм (обр)'!C217</f>
        <v>0</v>
      </c>
      <c r="D229" s="181"/>
    </row>
    <row r="230" spans="1:4" ht="25.5" customHeight="1" outlineLevel="2" x14ac:dyDescent="0.3">
      <c r="A230" s="26" t="str">
        <f>'БазНорм (обр)'!A218</f>
        <v>Поверка приборов учета тепловой энергии</v>
      </c>
      <c r="B230" s="27" t="str">
        <f>'БазНорм (обр)'!B218</f>
        <v>шт.</v>
      </c>
      <c r="C230" s="52">
        <f>'БазНорм (обр)'!C218</f>
        <v>0</v>
      </c>
      <c r="D230" s="181"/>
    </row>
    <row r="231" spans="1:4" ht="25.5" customHeight="1" outlineLevel="2" x14ac:dyDescent="0.3">
      <c r="A231" s="26" t="str">
        <f>'БазНорм (обр)'!A219</f>
        <v>Поверка весы торговые</v>
      </c>
      <c r="B231" s="27" t="str">
        <f>'БазНорм (обр)'!B219</f>
        <v>шт.</v>
      </c>
      <c r="C231" s="52">
        <f>'БазНорм (обр)'!C219</f>
        <v>0</v>
      </c>
      <c r="D231" s="181"/>
    </row>
    <row r="232" spans="1:4" ht="12.75" customHeight="1" outlineLevel="2" x14ac:dyDescent="0.3">
      <c r="A232" s="26" t="str">
        <f>'БазНорм (обр)'!A220</f>
        <v>Поверка весы медицинские</v>
      </c>
      <c r="B232" s="27" t="str">
        <f>'БазНорм (обр)'!B220</f>
        <v>шт.</v>
      </c>
      <c r="C232" s="52">
        <f>'БазНорм (обр)'!C220</f>
        <v>0</v>
      </c>
      <c r="D232" s="181"/>
    </row>
    <row r="233" spans="1:4" ht="38.25" customHeight="1" outlineLevel="2" x14ac:dyDescent="0.3">
      <c r="A233" s="26" t="str">
        <f>'БазНорм (обр)'!A221</f>
        <v>Весы настольные циферблатные</v>
      </c>
      <c r="B233" s="27" t="str">
        <f>'БазНорм (обр)'!B221</f>
        <v>шт.</v>
      </c>
      <c r="C233" s="52">
        <f>'БазНорм (обр)'!C221</f>
        <v>0</v>
      </c>
      <c r="D233" s="181"/>
    </row>
    <row r="234" spans="1:4" ht="25.5" customHeight="1" outlineLevel="2" x14ac:dyDescent="0.3">
      <c r="A234" s="26" t="str">
        <f>'БазНорм (обр)'!A222</f>
        <v>Поверка торговые гири 5 и 6 класса</v>
      </c>
      <c r="B234" s="27" t="str">
        <f>'БазНорм (обр)'!B222</f>
        <v>шт.</v>
      </c>
      <c r="C234" s="52">
        <f>'БазНорм (обр)'!C222</f>
        <v>0</v>
      </c>
      <c r="D234" s="181"/>
    </row>
    <row r="235" spans="1:4" ht="25.5" customHeight="1" outlineLevel="2" x14ac:dyDescent="0.3">
      <c r="A235" s="26" t="str">
        <f>'БазНорм (обр)'!A223</f>
        <v>Поверка манометры</v>
      </c>
      <c r="B235" s="27" t="str">
        <f>'БазНорм (обр)'!B223</f>
        <v>шт.</v>
      </c>
      <c r="C235" s="52">
        <f>'БазНорм (обр)'!C223</f>
        <v>0</v>
      </c>
      <c r="D235" s="181"/>
    </row>
    <row r="236" spans="1:4" ht="25.5" customHeight="1" outlineLevel="2" x14ac:dyDescent="0.3">
      <c r="A236" s="26" t="str">
        <f>'БазНорм (обр)'!A224</f>
        <v>ТО медицинской техники</v>
      </c>
      <c r="B236" s="27" t="str">
        <f>'БазНорм (обр)'!B224</f>
        <v>ед.</v>
      </c>
      <c r="C236" s="52">
        <f>'БазНорм (обр)'!C224</f>
        <v>0</v>
      </c>
      <c r="D236" s="181"/>
    </row>
    <row r="237" spans="1:4" ht="25.5" customHeight="1" outlineLevel="2" x14ac:dyDescent="0.3">
      <c r="A237" s="26" t="str">
        <f>'БазНорм (обр)'!A225</f>
        <v>Поверка Гигрометры психрометрические</v>
      </c>
      <c r="B237" s="27" t="str">
        <f>'БазНорм (обр)'!B225</f>
        <v>шт.</v>
      </c>
      <c r="C237" s="52">
        <f>'БазНорм (обр)'!C225</f>
        <v>0</v>
      </c>
      <c r="D237" s="181"/>
    </row>
    <row r="238" spans="1:4" ht="12.75" customHeight="1" outlineLevel="2" x14ac:dyDescent="0.3">
      <c r="A238" s="26" t="str">
        <f>'БазНорм (обр)'!A226</f>
        <v>Поверка тонометры</v>
      </c>
      <c r="B238" s="27" t="str">
        <f>'БазНорм (обр)'!B226</f>
        <v>шт.</v>
      </c>
      <c r="C238" s="52">
        <f>'БазНорм (обр)'!C226</f>
        <v>0</v>
      </c>
      <c r="D238" s="181"/>
    </row>
    <row r="239" spans="1:4" ht="25.5" customHeight="1" outlineLevel="2" x14ac:dyDescent="0.3">
      <c r="A239" s="26" t="str">
        <f>'БазНорм (обр)'!A227</f>
        <v>Поверка весы электронные напольные</v>
      </c>
      <c r="B239" s="27" t="str">
        <f>'БазНорм (обр)'!B227</f>
        <v>шт.</v>
      </c>
      <c r="C239" s="52">
        <f>'БазНорм (обр)'!C227</f>
        <v>0</v>
      </c>
      <c r="D239" s="181"/>
    </row>
    <row r="240" spans="1:4" ht="25.5" customHeight="1" outlineLevel="2" x14ac:dyDescent="0.3">
      <c r="A240" s="26" t="str">
        <f>'БазНорм (обр)'!A228</f>
        <v>Поверка весы напольные</v>
      </c>
      <c r="B240" s="27" t="str">
        <f>'БазНорм (обр)'!B228</f>
        <v>шт.</v>
      </c>
      <c r="C240" s="52">
        <f>'БазНорм (обр)'!C228</f>
        <v>0</v>
      </c>
      <c r="D240" s="181"/>
    </row>
    <row r="241" spans="1:4" ht="25.5" customHeight="1" outlineLevel="2" x14ac:dyDescent="0.3">
      <c r="A241" s="26" t="str">
        <f>'БазНорм (обр)'!A229</f>
        <v>Поверка секундомеры механические</v>
      </c>
      <c r="B241" s="27" t="str">
        <f>'БазНорм (обр)'!B229</f>
        <v>шт.</v>
      </c>
      <c r="C241" s="52">
        <f>'БазНорм (обр)'!C229</f>
        <v>0</v>
      </c>
      <c r="D241" s="181"/>
    </row>
    <row r="242" spans="1:4" ht="25.5" customHeight="1" outlineLevel="2" x14ac:dyDescent="0.3">
      <c r="A242" s="26" t="str">
        <f>'БазНорм (обр)'!A230</f>
        <v>Поверка динамометры кистевые</v>
      </c>
      <c r="B242" s="27" t="str">
        <f>'БазНорм (обр)'!B230</f>
        <v>шт.</v>
      </c>
      <c r="C242" s="52">
        <f>'БазНорм (обр)'!C230</f>
        <v>0</v>
      </c>
      <c r="D242" s="181"/>
    </row>
    <row r="243" spans="1:4" ht="25.5" customHeight="1" outlineLevel="2" x14ac:dyDescent="0.3">
      <c r="A243" s="26" t="str">
        <f>'БазНорм (обр)'!A231</f>
        <v>Курсы по теплоустановкам</v>
      </c>
      <c r="B243" s="27" t="str">
        <f>'БазНорм (обр)'!B231</f>
        <v>чел.</v>
      </c>
      <c r="C243" s="52">
        <f>'БазНорм (обр)'!C231</f>
        <v>4.2417815482502655E-3</v>
      </c>
      <c r="D243" s="181"/>
    </row>
    <row r="244" spans="1:4" s="60" customFormat="1" ht="25.5" customHeight="1" outlineLevel="2" x14ac:dyDescent="0.3">
      <c r="A244" s="33" t="s">
        <v>64</v>
      </c>
      <c r="B244" s="34" t="s">
        <v>3</v>
      </c>
      <c r="C244" s="51" t="s">
        <v>3</v>
      </c>
      <c r="D244" s="181"/>
    </row>
    <row r="245" spans="1:4" ht="25.5" customHeight="1" outlineLevel="3" x14ac:dyDescent="0.3">
      <c r="A245" s="26" t="str">
        <f>'БазНорм (обр)'!A233</f>
        <v>Доска разделочная</v>
      </c>
      <c r="B245" s="27" t="str">
        <f>'БазНорм (обр)'!B233</f>
        <v>шт.</v>
      </c>
      <c r="C245" s="52">
        <f>'БазНорм (обр)'!C233</f>
        <v>0</v>
      </c>
      <c r="D245" s="181"/>
    </row>
    <row r="246" spans="1:4" ht="25.5" customHeight="1" outlineLevel="3" x14ac:dyDescent="0.3">
      <c r="A246" s="26" t="str">
        <f>'БазНорм (обр)'!A234</f>
        <v xml:space="preserve">Блюдце </v>
      </c>
      <c r="B246" s="27" t="str">
        <f>'БазНорм (обр)'!B234</f>
        <v>шт.</v>
      </c>
      <c r="C246" s="52">
        <f>'БазНорм (обр)'!C234</f>
        <v>0</v>
      </c>
      <c r="D246" s="181"/>
    </row>
    <row r="247" spans="1:4" ht="25.5" customHeight="1" outlineLevel="3" x14ac:dyDescent="0.3">
      <c r="A247" s="26" t="str">
        <f>'БазНорм (обр)'!A235</f>
        <v>Тарелка маленькая</v>
      </c>
      <c r="B247" s="27" t="str">
        <f>'БазНорм (обр)'!B235</f>
        <v>шт.</v>
      </c>
      <c r="C247" s="52">
        <f>'БазНорм (обр)'!C235</f>
        <v>0</v>
      </c>
      <c r="D247" s="181"/>
    </row>
    <row r="248" spans="1:4" ht="25.5" customHeight="1" outlineLevel="3" x14ac:dyDescent="0.3">
      <c r="A248" s="26" t="str">
        <f>'БазНорм (обр)'!A236</f>
        <v>Тарелка мелкая</v>
      </c>
      <c r="B248" s="27" t="str">
        <f>'БазНорм (обр)'!B236</f>
        <v>шт.</v>
      </c>
      <c r="C248" s="52">
        <f>'БазНорм (обр)'!C236</f>
        <v>0.53022269353128315</v>
      </c>
      <c r="D248" s="181"/>
    </row>
    <row r="249" spans="1:4" ht="25.5" customHeight="1" outlineLevel="3" x14ac:dyDescent="0.3">
      <c r="A249" s="26" t="str">
        <f>'БазНорм (обр)'!A237</f>
        <v>Тарелка глубокая</v>
      </c>
      <c r="B249" s="27" t="str">
        <f>'БазНорм (обр)'!B237</f>
        <v>шт.</v>
      </c>
      <c r="C249" s="52">
        <f>'БазНорм (обр)'!C237</f>
        <v>0.33934252386002123</v>
      </c>
      <c r="D249" s="181"/>
    </row>
    <row r="250" spans="1:4" ht="25.5" customHeight="1" outlineLevel="3" x14ac:dyDescent="0.3">
      <c r="A250" s="26" t="str">
        <f>'БазНорм (обр)'!A238</f>
        <v>Ложка столовая</v>
      </c>
      <c r="B250" s="27" t="str">
        <f>'БазНорм (обр)'!B238</f>
        <v>шт.</v>
      </c>
      <c r="C250" s="52">
        <f>'БазНорм (обр)'!C238</f>
        <v>0.21633085896076351</v>
      </c>
      <c r="D250" s="181"/>
    </row>
    <row r="251" spans="1:4" ht="25.5" customHeight="1" outlineLevel="3" x14ac:dyDescent="0.3">
      <c r="A251" s="26" t="str">
        <f>'БазНорм (обр)'!A239</f>
        <v>Вилка столовая</v>
      </c>
      <c r="B251" s="27" t="str">
        <f>'БазНорм (обр)'!B239</f>
        <v>шт.</v>
      </c>
      <c r="C251" s="52">
        <f>'БазНорм (обр)'!C239</f>
        <v>0.21633085896076351</v>
      </c>
      <c r="D251" s="181"/>
    </row>
    <row r="252" spans="1:4" ht="25.5" customHeight="1" outlineLevel="3" x14ac:dyDescent="0.3">
      <c r="A252" s="26" t="str">
        <f>'БазНорм (обр)'!A240</f>
        <v>Таз 12 л.</v>
      </c>
      <c r="B252" s="27" t="str">
        <f>'БазНорм (обр)'!B240</f>
        <v>шт.</v>
      </c>
      <c r="C252" s="52">
        <f>'БазНорм (обр)'!C240</f>
        <v>0</v>
      </c>
      <c r="D252" s="181"/>
    </row>
    <row r="253" spans="1:4" ht="25.5" customHeight="1" outlineLevel="3" x14ac:dyDescent="0.3">
      <c r="A253" s="26" t="str">
        <f>'БазНорм (обр)'!A241</f>
        <v>Таз 5 л</v>
      </c>
      <c r="B253" s="27" t="str">
        <f>'БазНорм (обр)'!B241</f>
        <v>шт.</v>
      </c>
      <c r="C253" s="52">
        <f>'БазНорм (обр)'!C241</f>
        <v>0</v>
      </c>
      <c r="D253" s="181"/>
    </row>
    <row r="254" spans="1:4" ht="25.5" customHeight="1" outlineLevel="3" x14ac:dyDescent="0.3">
      <c r="A254" s="26" t="str">
        <f>'БазНорм (обр)'!A242</f>
        <v>Противень</v>
      </c>
      <c r="B254" s="27" t="str">
        <f>'БазНорм (обр)'!B242</f>
        <v>шт.</v>
      </c>
      <c r="C254" s="52">
        <f>'БазНорм (обр)'!C242</f>
        <v>0</v>
      </c>
      <c r="D254" s="181"/>
    </row>
    <row r="255" spans="1:4" ht="25.5" customHeight="1" outlineLevel="3" x14ac:dyDescent="0.3">
      <c r="A255" s="26" t="str">
        <f>'БазНорм (обр)'!A243</f>
        <v>Лоток для мяса</v>
      </c>
      <c r="B255" s="27" t="str">
        <f>'БазНорм (обр)'!B243</f>
        <v>шт.</v>
      </c>
      <c r="C255" s="52">
        <f>'БазНорм (обр)'!C243</f>
        <v>0</v>
      </c>
      <c r="D255" s="181"/>
    </row>
    <row r="256" spans="1:4" ht="25.5" customHeight="1" outlineLevel="3" x14ac:dyDescent="0.3">
      <c r="A256" s="26" t="str">
        <f>'БазНорм (обр)'!A244</f>
        <v>Лоток глубокий</v>
      </c>
      <c r="B256" s="27" t="str">
        <f>'БазНорм (обр)'!B244</f>
        <v>шт.</v>
      </c>
      <c r="C256" s="52">
        <f>'БазНорм (обр)'!C244</f>
        <v>0</v>
      </c>
      <c r="D256" s="181"/>
    </row>
    <row r="257" spans="1:4" ht="25.5" customHeight="1" outlineLevel="3" x14ac:dyDescent="0.3">
      <c r="A257" s="26" t="str">
        <f>'БазНорм (обр)'!A245</f>
        <v>Кастрюля 15 л.</v>
      </c>
      <c r="B257" s="27" t="str">
        <f>'БазНорм (обр)'!B245</f>
        <v>шт.</v>
      </c>
      <c r="C257" s="52">
        <f>'БазНорм (обр)'!C245</f>
        <v>0</v>
      </c>
      <c r="D257" s="181"/>
    </row>
    <row r="258" spans="1:4" ht="25.5" customHeight="1" outlineLevel="3" x14ac:dyDescent="0.3">
      <c r="A258" s="26" t="str">
        <f>'БазНорм (обр)'!A246</f>
        <v>Кастрюля 20 л.</v>
      </c>
      <c r="B258" s="27" t="str">
        <f>'БазНорм (обр)'!B246</f>
        <v>шт.</v>
      </c>
      <c r="C258" s="52">
        <f>'БазНорм (обр)'!C246</f>
        <v>0</v>
      </c>
      <c r="D258" s="181"/>
    </row>
    <row r="259" spans="1:4" ht="25.5" customHeight="1" outlineLevel="3" x14ac:dyDescent="0.3">
      <c r="A259" s="26" t="str">
        <f>'БазНорм (обр)'!A247</f>
        <v>Корзина для стаканов и чашек</v>
      </c>
      <c r="B259" s="27" t="str">
        <f>'БазНорм (обр)'!B247</f>
        <v>шт.</v>
      </c>
      <c r="C259" s="52">
        <f>'БазНорм (обр)'!C247</f>
        <v>0</v>
      </c>
      <c r="D259" s="181"/>
    </row>
    <row r="260" spans="1:4" ht="25.5" customHeight="1" outlineLevel="3" x14ac:dyDescent="0.3">
      <c r="A260" s="26" t="str">
        <f>'БазНорм (обр)'!A248</f>
        <v>Стакан граненый</v>
      </c>
      <c r="B260" s="27" t="str">
        <f>'БазНорм (обр)'!B248</f>
        <v>шт.</v>
      </c>
      <c r="C260" s="52">
        <f>'БазНорм (обр)'!C248</f>
        <v>0.22905620360551432</v>
      </c>
      <c r="D260" s="181"/>
    </row>
    <row r="261" spans="1:4" ht="25.5" customHeight="1" outlineLevel="3" x14ac:dyDescent="0.3">
      <c r="A261" s="26" t="str">
        <f>'БазНорм (обр)'!A249</f>
        <v>Сито</v>
      </c>
      <c r="B261" s="27" t="str">
        <f>'БазНорм (обр)'!B249</f>
        <v>шт.</v>
      </c>
      <c r="C261" s="52">
        <f>'БазНорм (обр)'!C249</f>
        <v>0</v>
      </c>
      <c r="D261" s="181"/>
    </row>
    <row r="262" spans="1:4" ht="25.5" customHeight="1" outlineLevel="3" x14ac:dyDescent="0.3">
      <c r="A262" s="26" t="str">
        <f>'БазНорм (обр)'!A250</f>
        <v>Нож повара</v>
      </c>
      <c r="B262" s="27" t="str">
        <f>'БазНорм (обр)'!B250</f>
        <v>шт.</v>
      </c>
      <c r="C262" s="52">
        <f>'БазНорм (обр)'!C250</f>
        <v>6.3626723223753979E-3</v>
      </c>
      <c r="D262" s="181"/>
    </row>
    <row r="263" spans="1:4" s="60" customFormat="1" ht="25.5" customHeight="1" outlineLevel="2" x14ac:dyDescent="0.3">
      <c r="A263" s="33" t="s">
        <v>480</v>
      </c>
      <c r="B263" s="34" t="s">
        <v>3</v>
      </c>
      <c r="C263" s="51" t="s">
        <v>3</v>
      </c>
      <c r="D263" s="181"/>
    </row>
    <row r="264" spans="1:4" ht="25.5" customHeight="1" outlineLevel="3" x14ac:dyDescent="0.3">
      <c r="A264" s="26" t="str">
        <f>'БазНорм (обр)'!A252</f>
        <v>Посудомоечная машина</v>
      </c>
      <c r="B264" s="27" t="str">
        <f>'БазНорм (обр)'!B252</f>
        <v>шт.</v>
      </c>
      <c r="C264" s="52">
        <f>'БазНорм (обр)'!C252</f>
        <v>0</v>
      </c>
      <c r="D264" s="181"/>
    </row>
    <row r="265" spans="1:4" ht="25.5" customHeight="1" outlineLevel="3" x14ac:dyDescent="0.3">
      <c r="A265" s="26" t="str">
        <f>'БазНорм (обр)'!A253</f>
        <v>Холодильная камера 2х дверная Полюс-R 1400"</v>
      </c>
      <c r="B265" s="27" t="str">
        <f>'БазНорм (обр)'!B253</f>
        <v>шт.</v>
      </c>
      <c r="C265" s="52">
        <f>'БазНорм (обр)'!C253</f>
        <v>0</v>
      </c>
      <c r="D265" s="181"/>
    </row>
    <row r="266" spans="1:4" ht="25.5" customHeight="1" outlineLevel="3" x14ac:dyDescent="0.3">
      <c r="A266" s="26" t="str">
        <f>'БазНорм (обр)'!A254</f>
        <v>Холодильная камера 1 дверная, "Полюс-R700"</v>
      </c>
      <c r="B266" s="27" t="str">
        <f>'БазНорм (обр)'!B254</f>
        <v>шт.</v>
      </c>
      <c r="C266" s="52">
        <f>'БазНорм (обр)'!C254</f>
        <v>0</v>
      </c>
      <c r="D266" s="181"/>
    </row>
    <row r="267" spans="1:4" s="60" customFormat="1" ht="25.5" customHeight="1" outlineLevel="2" x14ac:dyDescent="0.3">
      <c r="A267" s="33" t="s">
        <v>68</v>
      </c>
      <c r="B267" s="34" t="s">
        <v>3</v>
      </c>
      <c r="C267" s="51" t="s">
        <v>3</v>
      </c>
      <c r="D267" s="181"/>
    </row>
    <row r="268" spans="1:4" ht="25.5" customHeight="1" outlineLevel="3" x14ac:dyDescent="0.3">
      <c r="A268" s="26" t="str">
        <f>'БазНорм (обр)'!A256</f>
        <v>Мыло хозяйственное</v>
      </c>
      <c r="B268" s="27" t="str">
        <f>'БазНорм (обр)'!B256</f>
        <v>шт.</v>
      </c>
      <c r="C268" s="52">
        <f>'БазНорм (обр)'!C256</f>
        <v>0.41911148365465217</v>
      </c>
      <c r="D268" s="181"/>
    </row>
    <row r="269" spans="1:4" ht="25.5" customHeight="1" outlineLevel="3" x14ac:dyDescent="0.3">
      <c r="A269" s="26" t="str">
        <f>'БазНорм (обр)'!A257</f>
        <v>Мыло детское</v>
      </c>
      <c r="B269" s="27" t="str">
        <f>'БазНорм (обр)'!B257</f>
        <v>шт.</v>
      </c>
      <c r="C269" s="52">
        <f>'БазНорм (обр)'!C257</f>
        <v>0.41911148365465217</v>
      </c>
      <c r="D269" s="181"/>
    </row>
    <row r="270" spans="1:4" ht="25.5" customHeight="1" outlineLevel="3" x14ac:dyDescent="0.3">
      <c r="A270" s="26" t="str">
        <f>'БазНорм (обр)'!A258</f>
        <v>Порошок стиральный 0,4 кг.</v>
      </c>
      <c r="B270" s="27" t="str">
        <f>'БазНорм (обр)'!B258</f>
        <v>пач.</v>
      </c>
      <c r="C270" s="52">
        <f>'БазНорм (обр)'!C258</f>
        <v>0.15088013411567477</v>
      </c>
      <c r="D270" s="181"/>
    </row>
    <row r="271" spans="1:4" ht="25.5" customHeight="1" outlineLevel="3" x14ac:dyDescent="0.3">
      <c r="A271" s="26" t="str">
        <f>'БазНорм (обр)'!A259</f>
        <v>Порошок стиральный 1,8 кг.</v>
      </c>
      <c r="B271" s="27" t="str">
        <f>'БазНорм (обр)'!B259</f>
        <v>пач.</v>
      </c>
      <c r="C271" s="52">
        <f>'БазНорм (обр)'!C259</f>
        <v>0</v>
      </c>
      <c r="D271" s="181"/>
    </row>
    <row r="272" spans="1:4" ht="25.5" customHeight="1" outlineLevel="3" x14ac:dyDescent="0.3">
      <c r="A272" s="26" t="str">
        <f>'БазНорм (обр)'!A260</f>
        <v>Сода кальценированная 0,4 кг</v>
      </c>
      <c r="B272" s="27" t="str">
        <f>'БазНорм (обр)'!B260</f>
        <v>шт.</v>
      </c>
      <c r="C272" s="52">
        <f>'БазНорм (обр)'!C260</f>
        <v>0.25146689019279128</v>
      </c>
      <c r="D272" s="181"/>
    </row>
    <row r="273" spans="1:4" ht="25.5" customHeight="1" outlineLevel="3" x14ac:dyDescent="0.3">
      <c r="A273" s="26" t="str">
        <f>'БазНорм (обр)'!A261</f>
        <v>Паста чистящая</v>
      </c>
      <c r="B273" s="27" t="str">
        <f>'БазНорм (обр)'!B261</f>
        <v>шт.</v>
      </c>
      <c r="C273" s="52">
        <f>'БазНорм (обр)'!C261</f>
        <v>0.16764459346186086</v>
      </c>
      <c r="D273" s="181"/>
    </row>
    <row r="274" spans="1:4" ht="25.5" customHeight="1" outlineLevel="3" x14ac:dyDescent="0.3">
      <c r="A274" s="26" t="str">
        <f>'БазНорм (обр)'!A262</f>
        <v>Средство для мытья плит 0,75 л.</v>
      </c>
      <c r="B274" s="27" t="str">
        <f>'БазНорм (обр)'!B262</f>
        <v>бут.</v>
      </c>
      <c r="C274" s="52">
        <f>'БазНорм (обр)'!C262</f>
        <v>0</v>
      </c>
      <c r="D274" s="181"/>
    </row>
    <row r="275" spans="1:4" ht="25.5" customHeight="1" outlineLevel="3" x14ac:dyDescent="0.3">
      <c r="A275" s="26" t="str">
        <f>'БазНорм (обр)'!A263</f>
        <v xml:space="preserve">Средсто для мытья посуды </v>
      </c>
      <c r="B275" s="27" t="str">
        <f>'БазНорм (обр)'!B263</f>
        <v>л.</v>
      </c>
      <c r="C275" s="52">
        <f>'БазНорм (обр)'!C263</f>
        <v>0</v>
      </c>
      <c r="D275" s="181"/>
    </row>
    <row r="276" spans="1:4" ht="25.5" customHeight="1" outlineLevel="3" x14ac:dyDescent="0.3">
      <c r="A276" s="26" t="str">
        <f>'БазНорм (обр)'!A264</f>
        <v>Чистящий порошок Пемолюкс 0,45 кг</v>
      </c>
      <c r="B276" s="27" t="str">
        <f>'БазНорм (обр)'!B264</f>
        <v>шт.</v>
      </c>
      <c r="C276" s="52">
        <f>'БазНорм (обр)'!C264</f>
        <v>0.16764459346186086</v>
      </c>
      <c r="D276" s="181"/>
    </row>
    <row r="277" spans="1:4" ht="25.5" customHeight="1" outlineLevel="3" x14ac:dyDescent="0.3">
      <c r="A277" s="26" t="str">
        <f>'БазНорм (обр)'!A265</f>
        <v>Моющее средство для посудомоечной машины 2,5 кг.</v>
      </c>
      <c r="B277" s="27" t="str">
        <f>'БазНорм (обр)'!B265</f>
        <v>упак.</v>
      </c>
      <c r="C277" s="52">
        <f>'БазНорм (обр)'!C265</f>
        <v>0</v>
      </c>
      <c r="D277" s="181"/>
    </row>
    <row r="278" spans="1:4" ht="25.5" customHeight="1" outlineLevel="3" x14ac:dyDescent="0.3">
      <c r="A278" s="26" t="str">
        <f>'БазНорм (обр)'!A266</f>
        <v>Чистящий псредство Доместос 1 л.</v>
      </c>
      <c r="B278" s="27" t="str">
        <f>'БазНорм (обр)'!B266</f>
        <v>бут.</v>
      </c>
      <c r="C278" s="52">
        <f>'БазНорм (обр)'!C266</f>
        <v>0</v>
      </c>
      <c r="D278" s="181"/>
    </row>
    <row r="279" spans="1:4" ht="25.5" customHeight="1" outlineLevel="3" x14ac:dyDescent="0.3">
      <c r="A279" s="26" t="str">
        <f>'БазНорм (обр)'!A267</f>
        <v>Чистящее средство 0,6 л.</v>
      </c>
      <c r="B279" s="27" t="str">
        <f>'БазНорм (обр)'!B267</f>
        <v>бут.</v>
      </c>
      <c r="C279" s="52">
        <f>'БазНорм (обр)'!C267</f>
        <v>0</v>
      </c>
      <c r="D279" s="181"/>
    </row>
    <row r="280" spans="1:4" ht="25.5" customHeight="1" outlineLevel="3" x14ac:dyDescent="0.3">
      <c r="A280" s="26" t="str">
        <f>'БазНорм (обр)'!A268</f>
        <v>Средство для мытья стекол 0,5 л.</v>
      </c>
      <c r="B280" s="27" t="str">
        <f>'БазНорм (обр)'!B268</f>
        <v>бут.</v>
      </c>
      <c r="C280" s="52">
        <f>'БазНорм (обр)'!C268</f>
        <v>0</v>
      </c>
      <c r="D280" s="181"/>
    </row>
    <row r="281" spans="1:4" ht="25.5" customHeight="1" outlineLevel="3" x14ac:dyDescent="0.3">
      <c r="A281" s="26" t="str">
        <f>'БазНорм (обр)'!A269</f>
        <v>Кондиционер для белья Ленор 1 л.</v>
      </c>
      <c r="B281" s="27" t="str">
        <f>'БазНорм (обр)'!B269</f>
        <v>бут.</v>
      </c>
      <c r="C281" s="52">
        <f>'БазНорм (обр)'!C269</f>
        <v>0</v>
      </c>
      <c r="D281" s="181"/>
    </row>
    <row r="282" spans="1:4" ht="25.5" customHeight="1" outlineLevel="3" x14ac:dyDescent="0.3">
      <c r="A282" s="26" t="str">
        <f>'БазНорм (обр)'!A270</f>
        <v>Отбеливатель 1 л.</v>
      </c>
      <c r="B282" s="27" t="str">
        <f>'БазНорм (обр)'!B270</f>
        <v>бут.</v>
      </c>
      <c r="C282" s="52">
        <f>'БазНорм (обр)'!C270</f>
        <v>0</v>
      </c>
      <c r="D282" s="181"/>
    </row>
    <row r="283" spans="1:4" ht="25.5" customHeight="1" outlineLevel="3" x14ac:dyDescent="0.3">
      <c r="A283" s="26" t="str">
        <f>'БазНорм (обр)'!A271</f>
        <v>Чистящее средсво для ванн 1 л.</v>
      </c>
      <c r="B283" s="27" t="str">
        <f>'БазНорм (обр)'!B271</f>
        <v>бут.</v>
      </c>
      <c r="C283" s="52">
        <f>'БазНорм (обр)'!C271</f>
        <v>0</v>
      </c>
      <c r="D283" s="181"/>
    </row>
    <row r="284" spans="1:4" ht="25.5" customHeight="1" outlineLevel="3" x14ac:dyDescent="0.3">
      <c r="A284" s="26" t="str">
        <f>'БазНорм (обр)'!A272</f>
        <v>Жидкое мыло детское</v>
      </c>
      <c r="B284" s="27" t="str">
        <f>'БазНорм (обр)'!B272</f>
        <v>бут.</v>
      </c>
      <c r="C284" s="52">
        <f>'БазНорм (обр)'!C272</f>
        <v>6.286672254819782E-2</v>
      </c>
      <c r="D284" s="181"/>
    </row>
    <row r="285" spans="1:4" ht="25.5" customHeight="1" outlineLevel="3" x14ac:dyDescent="0.3">
      <c r="A285" s="26" t="str">
        <f>'БазНорм (обр)'!A273</f>
        <v>Жидкое мыло детское 5 л.</v>
      </c>
      <c r="B285" s="27" t="str">
        <f>'БазНорм (обр)'!B273</f>
        <v>бут.</v>
      </c>
      <c r="C285" s="52">
        <f>'БазНорм (обр)'!C273</f>
        <v>0</v>
      </c>
      <c r="D285" s="181"/>
    </row>
    <row r="286" spans="1:4" ht="25.5" customHeight="1" outlineLevel="3" x14ac:dyDescent="0.3">
      <c r="A286" s="26" t="str">
        <f>'БазНорм (обр)'!A274</f>
        <v>Освежитель воздуха</v>
      </c>
      <c r="B286" s="27" t="str">
        <f>'БазНорм (обр)'!B274</f>
        <v>бут.</v>
      </c>
      <c r="C286" s="52">
        <f>'БазНорм (обр)'!C274</f>
        <v>0</v>
      </c>
      <c r="D286" s="181"/>
    </row>
    <row r="287" spans="1:4" ht="25.5" customHeight="1" outlineLevel="3" x14ac:dyDescent="0.3">
      <c r="A287" s="26" t="str">
        <f>'БазНорм (обр)'!A275</f>
        <v>Ди-хлор 300 шт.</v>
      </c>
      <c r="B287" s="27" t="str">
        <f>'БазНорм (обр)'!B275</f>
        <v>бан.</v>
      </c>
      <c r="C287" s="52">
        <f>'БазНорм (обр)'!C275</f>
        <v>3.7720033528918694E-2</v>
      </c>
      <c r="D287" s="181"/>
    </row>
    <row r="288" spans="1:4" ht="25.5" customHeight="1" outlineLevel="3" x14ac:dyDescent="0.3">
      <c r="A288" s="26" t="str">
        <f>'БазНорм (обр)'!A276</f>
        <v>Хлорамин</v>
      </c>
      <c r="B288" s="27" t="str">
        <f>'БазНорм (обр)'!B276</f>
        <v>пач.</v>
      </c>
      <c r="C288" s="52">
        <f>'БазНорм (обр)'!C276</f>
        <v>0</v>
      </c>
      <c r="D288" s="181"/>
    </row>
    <row r="289" spans="1:4" ht="25.5" customHeight="1" outlineLevel="3" x14ac:dyDescent="0.3">
      <c r="A289" s="26" t="str">
        <f>'БазНорм (обр)'!A277</f>
        <v>Средство для мытья окон</v>
      </c>
      <c r="B289" s="27" t="str">
        <f>'БазНорм (обр)'!B277</f>
        <v>шт.</v>
      </c>
      <c r="C289" s="52">
        <f>'БазНорм (обр)'!C277</f>
        <v>3.143336127409891E-2</v>
      </c>
      <c r="D289" s="181"/>
    </row>
    <row r="290" spans="1:4" ht="25.5" customHeight="1" outlineLevel="3" x14ac:dyDescent="0.3">
      <c r="A290" s="26" t="str">
        <f>'БазНорм (обр)'!A278</f>
        <v>Оптимакс 1 л.</v>
      </c>
      <c r="B290" s="27" t="str">
        <f>'БазНорм (обр)'!B278</f>
        <v>бан.</v>
      </c>
      <c r="C290" s="52">
        <f>'БазНорм (обр)'!C278</f>
        <v>6.286672254819782E-2</v>
      </c>
      <c r="D290" s="181"/>
    </row>
    <row r="291" spans="1:4" ht="25.5" customHeight="1" outlineLevel="3" x14ac:dyDescent="0.3">
      <c r="A291" s="26" t="str">
        <f>'БазНорм (обр)'!A279</f>
        <v>Жавель солид</v>
      </c>
      <c r="B291" s="27" t="str">
        <f>'БазНорм (обр)'!B279</f>
        <v>бут.</v>
      </c>
      <c r="C291" s="52">
        <f>'БазНорм (обр)'!C279</f>
        <v>0</v>
      </c>
      <c r="D291" s="181"/>
    </row>
    <row r="292" spans="1:4" ht="25.5" customHeight="1" outlineLevel="3" x14ac:dyDescent="0.3">
      <c r="A292" s="26" t="str">
        <f>'БазНорм (обр)'!A280</f>
        <v>Химический индикатор 50 шт.</v>
      </c>
      <c r="B292" s="27" t="str">
        <f>'БазНорм (обр)'!B280</f>
        <v>упак.</v>
      </c>
      <c r="C292" s="52">
        <f>'БазНорм (обр)'!C280</f>
        <v>0</v>
      </c>
      <c r="D292" s="181"/>
    </row>
    <row r="293" spans="1:4" ht="25.5" customHeight="1" outlineLevel="3" x14ac:dyDescent="0.3">
      <c r="A293" s="26" t="str">
        <f>'БазНорм (обр)'!A281</f>
        <v>Средство САНФОР 750 мл</v>
      </c>
      <c r="B293" s="27" t="str">
        <f>'БазНорм (обр)'!B281</f>
        <v>шт.</v>
      </c>
      <c r="C293" s="52">
        <f>'БазНорм (обр)'!C281</f>
        <v>6.286672254819782E-2</v>
      </c>
      <c r="D293" s="181"/>
    </row>
    <row r="294" spans="1:4" ht="25.5" customHeight="1" outlineLevel="3" x14ac:dyDescent="0.3">
      <c r="A294" s="26" t="str">
        <f>'БазНорм (обр)'!A282</f>
        <v>Средство для чистки туалетов (САНОКС)</v>
      </c>
      <c r="B294" s="27" t="str">
        <f>'БазНорм (обр)'!B282</f>
        <v>шт.</v>
      </c>
      <c r="C294" s="52">
        <f>'БазНорм (обр)'!C282</f>
        <v>0</v>
      </c>
      <c r="D294" s="181"/>
    </row>
    <row r="295" spans="1:4" ht="25.5" customHeight="1" outlineLevel="3" x14ac:dyDescent="0.3">
      <c r="A295" s="26" t="str">
        <f>'БазНорм (обр)'!A283</f>
        <v>Средство дизенфицирующее Дихлор(300 таблеток)</v>
      </c>
      <c r="B295" s="27" t="str">
        <f>'БазНорм (обр)'!B283</f>
        <v>шт.</v>
      </c>
      <c r="C295" s="52">
        <f>'БазНорм (обр)'!C283</f>
        <v>3.143336127409891E-2</v>
      </c>
      <c r="D295" s="181"/>
    </row>
    <row r="296" spans="1:4" ht="25.5" customHeight="1" outlineLevel="3" x14ac:dyDescent="0.3">
      <c r="A296" s="26" t="str">
        <f>'БазНорм (обр)'!A284</f>
        <v>Средство для мытья пола 5 л</v>
      </c>
      <c r="B296" s="27" t="str">
        <f>'БазНорм (обр)'!B284</f>
        <v>шт.</v>
      </c>
      <c r="C296" s="52">
        <f>'БазНорм (обр)'!C284</f>
        <v>6.286672254819782E-2</v>
      </c>
      <c r="D296" s="181"/>
    </row>
    <row r="297" spans="1:4" s="60" customFormat="1" ht="25.5" customHeight="1" outlineLevel="2" x14ac:dyDescent="0.3">
      <c r="A297" s="33" t="s">
        <v>31</v>
      </c>
      <c r="B297" s="34" t="s">
        <v>3</v>
      </c>
      <c r="C297" s="51" t="s">
        <v>3</v>
      </c>
      <c r="D297" s="181"/>
    </row>
    <row r="298" spans="1:4" ht="25.5" customHeight="1" outlineLevel="3" x14ac:dyDescent="0.3">
      <c r="A298" s="26" t="str">
        <f>'БазНорм (обр)'!A286</f>
        <v>Спец одежда. Костюм мужской</v>
      </c>
      <c r="B298" s="27" t="str">
        <f>'БазНорм (обр)'!B286</f>
        <v>шт.</v>
      </c>
      <c r="C298" s="52">
        <f>'БазНорм (обр)'!C286</f>
        <v>0</v>
      </c>
      <c r="D298" s="181"/>
    </row>
    <row r="299" spans="1:4" ht="25.5" customHeight="1" outlineLevel="3" x14ac:dyDescent="0.3">
      <c r="A299" s="26" t="str">
        <f>'БазНорм (обр)'!A287</f>
        <v>Спец одежда. Халат женскй</v>
      </c>
      <c r="B299" s="27" t="str">
        <f>'БазНорм (обр)'!B287</f>
        <v>шт.</v>
      </c>
      <c r="C299" s="52">
        <f>'БазНорм (обр)'!C287</f>
        <v>0</v>
      </c>
      <c r="D299" s="181"/>
    </row>
    <row r="300" spans="1:4" ht="25.5" customHeight="1" outlineLevel="3" x14ac:dyDescent="0.3">
      <c r="A300" s="26" t="str">
        <f>'БазНорм (обр)'!A288</f>
        <v>Халат капроновый рабочий</v>
      </c>
      <c r="B300" s="27" t="str">
        <f>'БазНорм (обр)'!B288</f>
        <v>шт.</v>
      </c>
      <c r="C300" s="52">
        <f>'БазНорм (обр)'!C288</f>
        <v>0</v>
      </c>
      <c r="D300" s="181"/>
    </row>
    <row r="301" spans="1:4" s="60" customFormat="1" ht="25.5" customHeight="1" outlineLevel="2" x14ac:dyDescent="0.3">
      <c r="A301" s="33" t="s">
        <v>479</v>
      </c>
      <c r="B301" s="34" t="s">
        <v>3</v>
      </c>
      <c r="C301" s="51" t="s">
        <v>3</v>
      </c>
      <c r="D301" s="181"/>
    </row>
    <row r="302" spans="1:4" ht="25.5" customHeight="1" outlineLevel="3" x14ac:dyDescent="0.3">
      <c r="A302" s="26" t="str">
        <f>'БазНорм (обр)'!A290</f>
        <v>Ножовка по металлу 300мм(5 см,полотен)</v>
      </c>
      <c r="B302" s="27" t="str">
        <f>'БазНорм (обр)'!B290</f>
        <v>шт.</v>
      </c>
      <c r="C302" s="52">
        <f>'БазНорм (обр)'!C290</f>
        <v>0</v>
      </c>
      <c r="D302" s="181"/>
    </row>
    <row r="303" spans="1:4" ht="25.5" customHeight="1" outlineLevel="3" x14ac:dyDescent="0.3">
      <c r="A303" s="26" t="str">
        <f>'БазНорм (обр)'!A291</f>
        <v>Ножовка по дереву 350мм</v>
      </c>
      <c r="B303" s="27" t="str">
        <f>'БазНорм (обр)'!B291</f>
        <v>шт.</v>
      </c>
      <c r="C303" s="52">
        <f>'БазНорм (обр)'!C291</f>
        <v>0</v>
      </c>
      <c r="D303" s="181"/>
    </row>
    <row r="304" spans="1:4" ht="25.5" customHeight="1" outlineLevel="3" x14ac:dyDescent="0.3">
      <c r="A304" s="26" t="str">
        <f>'БазНорм (обр)'!A292</f>
        <v>Стамеска  16мм</v>
      </c>
      <c r="B304" s="27" t="str">
        <f>'БазНорм (обр)'!B292</f>
        <v>шт.</v>
      </c>
      <c r="C304" s="52">
        <f>'БазНорм (обр)'!C292</f>
        <v>0</v>
      </c>
      <c r="D304" s="181"/>
    </row>
    <row r="305" spans="1:4" ht="25.5" customHeight="1" outlineLevel="3" x14ac:dyDescent="0.3">
      <c r="A305" s="26" t="str">
        <f>'БазНорм (обр)'!A293</f>
        <v>Молоток</v>
      </c>
      <c r="B305" s="27" t="str">
        <f>'БазНорм (обр)'!B293</f>
        <v>шт.</v>
      </c>
      <c r="C305" s="52">
        <f>'БазНорм (обр)'!C293</f>
        <v>0</v>
      </c>
      <c r="D305" s="181"/>
    </row>
    <row r="306" spans="1:4" ht="25.5" customHeight="1" outlineLevel="3" x14ac:dyDescent="0.3">
      <c r="A306" s="26" t="str">
        <f>'БазНорм (обр)'!A294</f>
        <v>Набор напильников</v>
      </c>
      <c r="B306" s="27" t="str">
        <f>'БазНорм (обр)'!B294</f>
        <v>шт.</v>
      </c>
      <c r="C306" s="52">
        <f>'БазНорм (обр)'!C294</f>
        <v>0</v>
      </c>
      <c r="D306" s="181"/>
    </row>
    <row r="307" spans="1:4" ht="25.5" customHeight="1" outlineLevel="3" x14ac:dyDescent="0.3">
      <c r="A307" s="26" t="str">
        <f>'БазНорм (обр)'!A295</f>
        <v>Ведро пластик 10л</v>
      </c>
      <c r="B307" s="27" t="str">
        <f>'БазНорм (обр)'!B295</f>
        <v>шт.</v>
      </c>
      <c r="C307" s="52">
        <f>'БазНорм (обр)'!C295</f>
        <v>0</v>
      </c>
      <c r="D307" s="181"/>
    </row>
    <row r="308" spans="1:4" ht="25.5" customHeight="1" outlineLevel="3" x14ac:dyDescent="0.3">
      <c r="A308" s="26" t="str">
        <f>'БазНорм (обр)'!A296</f>
        <v>Ведро оцинкованное 15л</v>
      </c>
      <c r="B308" s="27" t="str">
        <f>'БазНорм (обр)'!B296</f>
        <v>шт.</v>
      </c>
      <c r="C308" s="52">
        <f>'БазНорм (обр)'!C296</f>
        <v>0</v>
      </c>
      <c r="D308" s="181"/>
    </row>
    <row r="309" spans="1:4" ht="25.5" customHeight="1" outlineLevel="3" x14ac:dyDescent="0.3">
      <c r="A309" s="26" t="str">
        <f>'БазНорм (обр)'!A297</f>
        <v>Ерш унитазный</v>
      </c>
      <c r="B309" s="27" t="str">
        <f>'БазНорм (обр)'!B297</f>
        <v>шт.</v>
      </c>
      <c r="C309" s="52">
        <f>'БазНорм (обр)'!C297</f>
        <v>0</v>
      </c>
      <c r="D309" s="181"/>
    </row>
    <row r="310" spans="1:4" ht="25.5" customHeight="1" outlineLevel="3" x14ac:dyDescent="0.3">
      <c r="A310" s="26" t="str">
        <f>'БазНорм (обр)'!A298</f>
        <v xml:space="preserve">Замок врезной </v>
      </c>
      <c r="B310" s="27" t="str">
        <f>'БазНорм (обр)'!B298</f>
        <v>шт.</v>
      </c>
      <c r="C310" s="52">
        <f>'БазНорм (обр)'!C298</f>
        <v>0</v>
      </c>
      <c r="D310" s="181"/>
    </row>
    <row r="311" spans="1:4" ht="25.5" customHeight="1" outlineLevel="3" x14ac:dyDescent="0.3">
      <c r="A311" s="26" t="str">
        <f>'БазНорм (обр)'!A299</f>
        <v>Замок навесной</v>
      </c>
      <c r="B311" s="27" t="str">
        <f>'БазНорм (обр)'!B299</f>
        <v>шт.</v>
      </c>
      <c r="C311" s="52">
        <f>'БазНорм (обр)'!C299</f>
        <v>0</v>
      </c>
      <c r="D311" s="181"/>
    </row>
    <row r="312" spans="1:4" ht="25.5" customHeight="1" outlineLevel="3" x14ac:dyDescent="0.3">
      <c r="A312" s="26" t="str">
        <f>'БазНорм (обр)'!A300</f>
        <v>Изолента</v>
      </c>
      <c r="B312" s="27" t="str">
        <f>'БазНорм (обр)'!B300</f>
        <v>шт.</v>
      </c>
      <c r="C312" s="52">
        <f>'БазНорм (обр)'!C300</f>
        <v>0</v>
      </c>
      <c r="D312" s="181"/>
    </row>
    <row r="313" spans="1:4" ht="25.5" customHeight="1" outlineLevel="3" x14ac:dyDescent="0.3">
      <c r="A313" s="26" t="str">
        <f>'БазНорм (обр)'!A301</f>
        <v>Лопата снеговая с черенком</v>
      </c>
      <c r="B313" s="27" t="str">
        <f>'БазНорм (обр)'!B301</f>
        <v>шт.</v>
      </c>
      <c r="C313" s="52">
        <f>'БазНорм (обр)'!C301</f>
        <v>0</v>
      </c>
      <c r="D313" s="181"/>
    </row>
    <row r="314" spans="1:4" ht="25.5" customHeight="1" outlineLevel="3" x14ac:dyDescent="0.3">
      <c r="A314" s="26" t="str">
        <f>'БазНорм (обр)'!A302</f>
        <v>Лопата совковая с черенком</v>
      </c>
      <c r="B314" s="27" t="str">
        <f>'БазНорм (обр)'!B302</f>
        <v>шт.</v>
      </c>
      <c r="C314" s="52">
        <f>'БазНорм (обр)'!C302</f>
        <v>0</v>
      </c>
      <c r="D314" s="181"/>
    </row>
    <row r="315" spans="1:4" ht="25.5" customHeight="1" outlineLevel="3" x14ac:dyDescent="0.3">
      <c r="A315" s="26" t="str">
        <f>'БазНорм (обр)'!A303</f>
        <v>Лопата штыковая с черенком</v>
      </c>
      <c r="B315" s="27" t="str">
        <f>'БазНорм (обр)'!B303</f>
        <v>шт.</v>
      </c>
      <c r="C315" s="52">
        <f>'БазНорм (обр)'!C303</f>
        <v>0</v>
      </c>
      <c r="D315" s="181"/>
    </row>
    <row r="316" spans="1:4" ht="25.5" customHeight="1" outlineLevel="3" x14ac:dyDescent="0.3">
      <c r="A316" s="26" t="str">
        <f>'БазНорм (обр)'!A304</f>
        <v>Мешок п/п зеленый</v>
      </c>
      <c r="B316" s="27" t="str">
        <f>'БазНорм (обр)'!B304</f>
        <v>шт.</v>
      </c>
      <c r="C316" s="52">
        <f>'БазНорм (обр)'!C304</f>
        <v>0</v>
      </c>
      <c r="D316" s="181"/>
    </row>
    <row r="317" spans="1:4" ht="25.5" customHeight="1" outlineLevel="3" x14ac:dyDescent="0.3">
      <c r="A317" s="26" t="str">
        <f>'БазНорм (обр)'!A305</f>
        <v>Насадка на швабру</v>
      </c>
      <c r="B317" s="27" t="str">
        <f>'БазНорм (обр)'!B305</f>
        <v>шт.</v>
      </c>
      <c r="C317" s="52">
        <f>'БазНорм (обр)'!C305</f>
        <v>0</v>
      </c>
      <c r="D317" s="181"/>
    </row>
    <row r="318" spans="1:4" ht="25.5" customHeight="1" outlineLevel="3" x14ac:dyDescent="0.3">
      <c r="A318" s="26" t="str">
        <f>'БазНорм (обр)'!A306</f>
        <v>Швабра для пола</v>
      </c>
      <c r="B318" s="27" t="str">
        <f>'БазНорм (обр)'!B306</f>
        <v>шт.</v>
      </c>
      <c r="C318" s="52">
        <f>'БазНорм (обр)'!C306</f>
        <v>0</v>
      </c>
      <c r="D318" s="181"/>
    </row>
    <row r="319" spans="1:4" ht="25.5" customHeight="1" outlineLevel="3" x14ac:dyDescent="0.3">
      <c r="A319" s="26" t="str">
        <f>'БазНорм (обр)'!A307</f>
        <v>Веник пластик</v>
      </c>
      <c r="B319" s="27" t="str">
        <f>'БазНорм (обр)'!B307</f>
        <v>шт.</v>
      </c>
      <c r="C319" s="52">
        <f>'БазНорм (обр)'!C307</f>
        <v>0</v>
      </c>
      <c r="D319" s="181"/>
    </row>
    <row r="320" spans="1:4" ht="25.5" customHeight="1" outlineLevel="3" x14ac:dyDescent="0.3">
      <c r="A320" s="26" t="str">
        <f>'БазНорм (обр)'!A308</f>
        <v>Пакеты для мусора 120 л черные</v>
      </c>
      <c r="B320" s="27" t="str">
        <f>'БазНорм (обр)'!B308</f>
        <v>шт.</v>
      </c>
      <c r="C320" s="52">
        <f>'БазНорм (обр)'!C308</f>
        <v>0</v>
      </c>
      <c r="D320" s="181"/>
    </row>
    <row r="321" spans="1:4" ht="25.5" customHeight="1" outlineLevel="3" x14ac:dyDescent="0.3">
      <c r="A321" s="26" t="str">
        <f>'БазНорм (обр)'!A309</f>
        <v>Пакеты для мусора 30л.*50 шт.</v>
      </c>
      <c r="B321" s="27" t="str">
        <f>'БазНорм (обр)'!B309</f>
        <v>ролик</v>
      </c>
      <c r="C321" s="52">
        <f>'БазНорм (обр)'!C309</f>
        <v>0</v>
      </c>
      <c r="D321" s="181"/>
    </row>
    <row r="322" spans="1:4" ht="25.5" customHeight="1" outlineLevel="3" x14ac:dyDescent="0.3">
      <c r="A322" s="26" t="str">
        <f>'БазНорм (обр)'!A310</f>
        <v>Пакеты для мусора 120 л. *10 шт.</v>
      </c>
      <c r="B322" s="27" t="str">
        <f>'БазНорм (обр)'!B310</f>
        <v>ролик</v>
      </c>
      <c r="C322" s="52">
        <f>'БазНорм (обр)'!C310</f>
        <v>0</v>
      </c>
      <c r="D322" s="181"/>
    </row>
    <row r="323" spans="1:4" ht="25.5" customHeight="1" outlineLevel="3" x14ac:dyDescent="0.3">
      <c r="A323" s="26" t="str">
        <f>'БазНорм (обр)'!A311</f>
        <v>Перчатки латексные</v>
      </c>
      <c r="B323" s="27" t="str">
        <f>'БазНорм (обр)'!B311</f>
        <v>пар.</v>
      </c>
      <c r="C323" s="52">
        <f>'БазНорм (обр)'!C311</f>
        <v>0</v>
      </c>
      <c r="D323" s="181"/>
    </row>
    <row r="324" spans="1:4" ht="25.5" customHeight="1" outlineLevel="3" x14ac:dyDescent="0.3">
      <c r="A324" s="26" t="str">
        <f>'БазНорм (обр)'!A312</f>
        <v>Перчатки резиновые НЭП</v>
      </c>
      <c r="B324" s="27" t="str">
        <f>'БазНорм (обр)'!B312</f>
        <v>пар.</v>
      </c>
      <c r="C324" s="52">
        <f>'БазНорм (обр)'!C312</f>
        <v>0</v>
      </c>
      <c r="D324" s="181"/>
    </row>
    <row r="325" spans="1:4" ht="25.5" customHeight="1" outlineLevel="3" x14ac:dyDescent="0.3">
      <c r="A325" s="26" t="str">
        <f>'БазНорм (обр)'!A313</f>
        <v>Перчатки ХБ ПВХ</v>
      </c>
      <c r="B325" s="27" t="str">
        <f>'БазНорм (обр)'!B313</f>
        <v>пар.</v>
      </c>
      <c r="C325" s="52">
        <f>'БазНорм (обр)'!C313</f>
        <v>0</v>
      </c>
      <c r="D325" s="181"/>
    </row>
    <row r="326" spans="1:4" ht="25.5" customHeight="1" outlineLevel="3" x14ac:dyDescent="0.3">
      <c r="A326" s="26" t="str">
        <f>'БазНорм (обр)'!A314</f>
        <v>Полотно вафельное</v>
      </c>
      <c r="B326" s="27" t="str">
        <f>'БазНорм (обр)'!B314</f>
        <v>шт.</v>
      </c>
      <c r="C326" s="52">
        <f>'БазНорм (обр)'!C314</f>
        <v>0</v>
      </c>
      <c r="D326" s="181"/>
    </row>
    <row r="327" spans="1:4" ht="25.5" customHeight="1" outlineLevel="3" x14ac:dyDescent="0.3">
      <c r="A327" s="26" t="str">
        <f>'БазНорм (обр)'!A315</f>
        <v>Полотенечная ткань</v>
      </c>
      <c r="B327" s="27" t="str">
        <f>'БазНорм (обр)'!B315</f>
        <v>м</v>
      </c>
      <c r="C327" s="52">
        <f>'БазНорм (обр)'!C315</f>
        <v>0</v>
      </c>
      <c r="D327" s="181"/>
    </row>
    <row r="328" spans="1:4" ht="25.5" customHeight="1" outlineLevel="3" x14ac:dyDescent="0.3">
      <c r="A328" s="26" t="str">
        <f>'БазНорм (обр)'!A316</f>
        <v>Полотно для мытья пола</v>
      </c>
      <c r="B328" s="27" t="str">
        <f>'БазНорм (обр)'!B316</f>
        <v>шт.</v>
      </c>
      <c r="C328" s="52">
        <f>'БазНорм (обр)'!C316</f>
        <v>0</v>
      </c>
      <c r="D328" s="181"/>
    </row>
    <row r="329" spans="1:4" ht="25.5" customHeight="1" outlineLevel="3" x14ac:dyDescent="0.3">
      <c r="A329" s="26" t="str">
        <f>'БазНорм (обр)'!A317</f>
        <v>Швабра отжим. губ с ведром</v>
      </c>
      <c r="B329" s="27" t="str">
        <f>'БазНорм (обр)'!B317</f>
        <v>шт.</v>
      </c>
      <c r="C329" s="52">
        <f>'БазНорм (обр)'!C317</f>
        <v>0</v>
      </c>
      <c r="D329" s="181"/>
    </row>
    <row r="330" spans="1:4" ht="25.5" customHeight="1" outlineLevel="3" x14ac:dyDescent="0.3">
      <c r="A330" s="26" t="str">
        <f>'БазНорм (обр)'!A318</f>
        <v>Перфоратор аккумуляторный</v>
      </c>
      <c r="B330" s="27" t="str">
        <f>'БазНорм (обр)'!B318</f>
        <v>шт.</v>
      </c>
      <c r="C330" s="52">
        <f>'БазНорм (обр)'!C318</f>
        <v>0</v>
      </c>
      <c r="D330" s="181"/>
    </row>
    <row r="331" spans="1:4" ht="25.5" customHeight="1" outlineLevel="3" x14ac:dyDescent="0.3">
      <c r="A331" s="26" t="str">
        <f>'БазНорм (обр)'!A319</f>
        <v>Бензиновый триммер</v>
      </c>
      <c r="B331" s="27" t="str">
        <f>'БазНорм (обр)'!B319</f>
        <v>шт.</v>
      </c>
      <c r="C331" s="52">
        <f>'БазНорм (обр)'!C319</f>
        <v>0</v>
      </c>
      <c r="D331" s="181"/>
    </row>
    <row r="332" spans="1:4" ht="25.5" customHeight="1" outlineLevel="3" x14ac:dyDescent="0.3">
      <c r="A332" s="26" t="str">
        <f>'БазНорм (обр)'!A320</f>
        <v xml:space="preserve">Рубанок HAMMER </v>
      </c>
      <c r="B332" s="27" t="str">
        <f>'БазНорм (обр)'!B320</f>
        <v>шт.</v>
      </c>
      <c r="C332" s="52">
        <f>'БазНорм (обр)'!C320</f>
        <v>0</v>
      </c>
      <c r="D332" s="181"/>
    </row>
    <row r="333" spans="1:4" ht="25.5" customHeight="1" outlineLevel="3" x14ac:dyDescent="0.3">
      <c r="A333" s="26" t="str">
        <f>'БазНорм (обр)'!A321</f>
        <v>Пила циркулярная HAMMER</v>
      </c>
      <c r="B333" s="27" t="str">
        <f>'БазНорм (обр)'!B321</f>
        <v>шт.</v>
      </c>
      <c r="C333" s="52">
        <f>'БазНорм (обр)'!C321</f>
        <v>0</v>
      </c>
      <c r="D333" s="181"/>
    </row>
    <row r="334" spans="1:4" ht="25.5" customHeight="1" outlineLevel="3" x14ac:dyDescent="0.3">
      <c r="A334" s="26" t="str">
        <f>'БазНорм (обр)'!A322</f>
        <v>Точило HAMMER</v>
      </c>
      <c r="B334" s="27" t="str">
        <f>'БазНорм (обр)'!B322</f>
        <v>шт.</v>
      </c>
      <c r="C334" s="52">
        <f>'БазНорм (обр)'!C322</f>
        <v>0</v>
      </c>
      <c r="D334" s="181"/>
    </row>
    <row r="335" spans="1:4" ht="25.5" customHeight="1" outlineLevel="3" x14ac:dyDescent="0.3">
      <c r="A335" s="26" t="str">
        <f>'БазНорм (обр)'!A323</f>
        <v>Набор сверл по металлу от 1 до 10(19шт)</v>
      </c>
      <c r="B335" s="27" t="str">
        <f>'БазНорм (обр)'!B323</f>
        <v>шт.</v>
      </c>
      <c r="C335" s="52">
        <f>'БазНорм (обр)'!C323</f>
        <v>0</v>
      </c>
      <c r="D335" s="181"/>
    </row>
    <row r="336" spans="1:4" ht="25.5" customHeight="1" outlineLevel="3" x14ac:dyDescent="0.3">
      <c r="A336" s="26" t="str">
        <f>'БазНорм (обр)'!A324</f>
        <v>Тряпкодержатель с салфеткой для пола усиленный</v>
      </c>
      <c r="B336" s="27" t="str">
        <f>'БазНорм (обр)'!B324</f>
        <v>шт.</v>
      </c>
      <c r="C336" s="52">
        <f>'БазНорм (обр)'!C324</f>
        <v>0</v>
      </c>
      <c r="D336" s="181"/>
    </row>
    <row r="337" spans="1:4" ht="25.5" customHeight="1" outlineLevel="3" x14ac:dyDescent="0.3">
      <c r="A337" s="26" t="str">
        <f>'БазНорм (обр)'!A325</f>
        <v>Замки навесные маленькие</v>
      </c>
      <c r="B337" s="27" t="str">
        <f>'БазНорм (обр)'!B325</f>
        <v>шт.</v>
      </c>
      <c r="C337" s="52">
        <f>'БазНорм (обр)'!C325</f>
        <v>0</v>
      </c>
      <c r="D337" s="181"/>
    </row>
    <row r="338" spans="1:4" ht="25.5" customHeight="1" outlineLevel="3" x14ac:dyDescent="0.3">
      <c r="A338" s="26" t="str">
        <f>'БазНорм (обр)'!A326</f>
        <v>Замки навесные большие</v>
      </c>
      <c r="B338" s="27" t="str">
        <f>'БазНорм (обр)'!B326</f>
        <v>шт.</v>
      </c>
      <c r="C338" s="52">
        <f>'БазНорм (обр)'!C326</f>
        <v>0</v>
      </c>
      <c r="D338" s="181"/>
    </row>
    <row r="339" spans="1:4" ht="25.5" customHeight="1" outlineLevel="3" x14ac:dyDescent="0.3">
      <c r="A339" s="26" t="str">
        <f>'БазНорм (обр)'!A327</f>
        <v>Знаки вспомогательные</v>
      </c>
      <c r="B339" s="27" t="str">
        <f>'БазНорм (обр)'!B327</f>
        <v>шт.</v>
      </c>
      <c r="C339" s="52">
        <f>'БазНорм (обр)'!C327</f>
        <v>0</v>
      </c>
      <c r="D339" s="181"/>
    </row>
    <row r="340" spans="1:4" ht="25.5" customHeight="1" outlineLevel="3" x14ac:dyDescent="0.3">
      <c r="A340" s="26" t="str">
        <f>'БазНорм (обр)'!A328</f>
        <v>Знаки эвакуационные</v>
      </c>
      <c r="B340" s="27" t="str">
        <f>'БазНорм (обр)'!B328</f>
        <v>шт.</v>
      </c>
      <c r="C340" s="52">
        <f>'БазНорм (обр)'!C328</f>
        <v>0</v>
      </c>
      <c r="D340" s="181"/>
    </row>
    <row r="341" spans="1:4" ht="25.5" customHeight="1" outlineLevel="3" x14ac:dyDescent="0.3">
      <c r="A341" s="26" t="str">
        <f>'БазНорм (обр)'!A329</f>
        <v>Бумага туалетная</v>
      </c>
      <c r="B341" s="27" t="str">
        <f>'БазНорм (обр)'!B329</f>
        <v>рулон</v>
      </c>
      <c r="C341" s="52">
        <f>'БазНорм (обр)'!C329</f>
        <v>0</v>
      </c>
      <c r="D341" s="181"/>
    </row>
    <row r="342" spans="1:4" ht="25.5" customHeight="1" outlineLevel="3" x14ac:dyDescent="0.3">
      <c r="A342" s="26" t="str">
        <f>'БазНорм (обр)'!A330</f>
        <v>Бумажные полотенца 2 шт.</v>
      </c>
      <c r="B342" s="27" t="str">
        <f>'БазНорм (обр)'!B330</f>
        <v>упак.</v>
      </c>
      <c r="C342" s="52">
        <f>'БазНорм (обр)'!C330</f>
        <v>0</v>
      </c>
      <c r="D342" s="181"/>
    </row>
    <row r="343" spans="1:4" ht="25.5" customHeight="1" outlineLevel="3" x14ac:dyDescent="0.3">
      <c r="A343" s="26" t="str">
        <f>'БазНорм (обр)'!A331</f>
        <v>Салфетки</v>
      </c>
      <c r="B343" s="27" t="str">
        <f>'БазНорм (обр)'!B331</f>
        <v>пач.</v>
      </c>
      <c r="C343" s="52">
        <f>'БазНорм (обр)'!C331</f>
        <v>0</v>
      </c>
      <c r="D343" s="181"/>
    </row>
    <row r="344" spans="1:4" ht="25.5" customHeight="1" outlineLevel="3" x14ac:dyDescent="0.3">
      <c r="A344" s="26" t="str">
        <f>'БазНорм (обр)'!A332</f>
        <v>Салфетки из микрофибры</v>
      </c>
      <c r="B344" s="27" t="str">
        <f>'БазНорм (обр)'!B332</f>
        <v>пач.</v>
      </c>
      <c r="C344" s="52">
        <f>'БазНорм (обр)'!C332</f>
        <v>0</v>
      </c>
      <c r="D344" s="181"/>
    </row>
    <row r="345" spans="1:4" ht="25.5" customHeight="1" outlineLevel="3" x14ac:dyDescent="0.3">
      <c r="A345" s="26" t="str">
        <f>'БазНорм (обр)'!A333</f>
        <v>Платочки бумажные</v>
      </c>
      <c r="B345" s="27" t="str">
        <f>'БазНорм (обр)'!B333</f>
        <v>упак.</v>
      </c>
      <c r="C345" s="52">
        <f>'БазНорм (обр)'!C333</f>
        <v>0</v>
      </c>
      <c r="D345" s="181"/>
    </row>
    <row r="346" spans="1:4" x14ac:dyDescent="0.3">
      <c r="A346" s="8"/>
    </row>
    <row r="347" spans="1:4" ht="37.5" customHeight="1" x14ac:dyDescent="0.3">
      <c r="A347" s="8" t="s">
        <v>91</v>
      </c>
      <c r="B347" s="58"/>
      <c r="C347" s="58"/>
    </row>
    <row r="348" spans="1:4" ht="17.25" customHeight="1" x14ac:dyDescent="0.3">
      <c r="A348" s="188" t="s">
        <v>92</v>
      </c>
      <c r="B348" s="188"/>
      <c r="C348" s="188"/>
      <c r="D348" s="188"/>
    </row>
    <row r="349" spans="1:4" ht="44.25" customHeight="1" x14ac:dyDescent="0.3">
      <c r="A349" s="188" t="s">
        <v>93</v>
      </c>
      <c r="B349" s="188"/>
      <c r="C349" s="188"/>
      <c r="D349" s="188"/>
    </row>
    <row r="350" spans="1:4" ht="42.75" customHeight="1" x14ac:dyDescent="0.3">
      <c r="A350" s="188" t="s">
        <v>93</v>
      </c>
      <c r="B350" s="188"/>
      <c r="C350" s="188"/>
      <c r="D350" s="188"/>
    </row>
    <row r="351" spans="1:4" ht="19.899999999999999" customHeight="1" x14ac:dyDescent="0.3">
      <c r="A351" s="188" t="s">
        <v>94</v>
      </c>
      <c r="B351" s="188"/>
      <c r="C351" s="188"/>
      <c r="D351" s="188"/>
    </row>
    <row r="352" spans="1:4" ht="36.65" customHeight="1" x14ac:dyDescent="0.3">
      <c r="A352" s="188" t="s">
        <v>95</v>
      </c>
      <c r="B352" s="188"/>
      <c r="C352" s="188"/>
      <c r="D352" s="188"/>
    </row>
  </sheetData>
  <mergeCells count="31">
    <mergeCell ref="A352:D352"/>
    <mergeCell ref="A220:D220"/>
    <mergeCell ref="D221:D345"/>
    <mergeCell ref="A348:D348"/>
    <mergeCell ref="A349:D349"/>
    <mergeCell ref="A350:D350"/>
    <mergeCell ref="A351:D351"/>
    <mergeCell ref="A216:D216"/>
    <mergeCell ref="A91:D91"/>
    <mergeCell ref="D92:D165"/>
    <mergeCell ref="A166:D166"/>
    <mergeCell ref="A167:D167"/>
    <mergeCell ref="D209:D211"/>
    <mergeCell ref="A208:D208"/>
    <mergeCell ref="A212:D212"/>
    <mergeCell ref="D177:D205"/>
    <mergeCell ref="A206:D206"/>
    <mergeCell ref="D168:D175"/>
    <mergeCell ref="A176:D176"/>
    <mergeCell ref="A4:D4"/>
    <mergeCell ref="A5:D5"/>
    <mergeCell ref="A6:D6"/>
    <mergeCell ref="A7:D7"/>
    <mergeCell ref="A16:D16"/>
    <mergeCell ref="A19:D19"/>
    <mergeCell ref="D20:D90"/>
    <mergeCell ref="A11:D11"/>
    <mergeCell ref="A12:D12"/>
    <mergeCell ref="A13:D13"/>
    <mergeCell ref="A14:D14"/>
    <mergeCell ref="A15:D15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342"/>
  <sheetViews>
    <sheetView view="pageBreakPreview" zoomScale="85" zoomScaleNormal="100" zoomScaleSheetLayoutView="85" workbookViewId="0">
      <pane ySplit="8" topLeftCell="A317" activePane="bottomLeft" state="frozen"/>
      <selection activeCell="E162" activeCellId="1" sqref="E15:E87 E162"/>
      <selection pane="bottomLeft" activeCell="C324" sqref="C324"/>
    </sheetView>
  </sheetViews>
  <sheetFormatPr defaultColWidth="9.1796875" defaultRowHeight="13" outlineLevelRow="3" x14ac:dyDescent="0.3"/>
  <cols>
    <col min="1" max="6" width="25.7265625" style="53" customWidth="1"/>
    <col min="7" max="16384" width="9.1796875" style="53"/>
  </cols>
  <sheetData>
    <row r="1" spans="1:6" x14ac:dyDescent="0.3">
      <c r="A1" s="74"/>
      <c r="F1" s="54" t="s">
        <v>96</v>
      </c>
    </row>
    <row r="2" spans="1:6" ht="14.5" customHeight="1" x14ac:dyDescent="0.3">
      <c r="A2" s="74"/>
      <c r="F2" s="55" t="s">
        <v>97</v>
      </c>
    </row>
    <row r="3" spans="1:6" x14ac:dyDescent="0.3">
      <c r="A3" s="8"/>
    </row>
    <row r="4" spans="1:6" x14ac:dyDescent="0.3">
      <c r="A4" s="182" t="s">
        <v>98</v>
      </c>
      <c r="B4" s="182"/>
      <c r="C4" s="182"/>
      <c r="D4" s="182"/>
      <c r="E4" s="182"/>
      <c r="F4" s="182"/>
    </row>
    <row r="5" spans="1:6" x14ac:dyDescent="0.3">
      <c r="A5" s="182" t="s">
        <v>99</v>
      </c>
      <c r="B5" s="182"/>
      <c r="C5" s="182"/>
      <c r="D5" s="182"/>
      <c r="E5" s="182"/>
      <c r="F5" s="182"/>
    </row>
    <row r="6" spans="1:6" x14ac:dyDescent="0.3">
      <c r="A6" s="8"/>
    </row>
    <row r="7" spans="1:6" ht="26" x14ac:dyDescent="0.3">
      <c r="A7" s="72" t="s">
        <v>0</v>
      </c>
      <c r="B7" s="72" t="s">
        <v>58</v>
      </c>
      <c r="C7" s="72" t="s">
        <v>60</v>
      </c>
      <c r="D7" s="72" t="s">
        <v>61</v>
      </c>
      <c r="E7" s="72" t="s">
        <v>62</v>
      </c>
      <c r="F7" s="72" t="s">
        <v>100</v>
      </c>
    </row>
    <row r="8" spans="1:6" x14ac:dyDescent="0.3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</row>
    <row r="9" spans="1:6" ht="28.9" customHeight="1" x14ac:dyDescent="0.3">
      <c r="A9" s="189" t="s">
        <v>527</v>
      </c>
      <c r="B9" s="189"/>
      <c r="C9" s="189"/>
      <c r="D9" s="189"/>
      <c r="E9" s="189"/>
      <c r="F9" s="189"/>
    </row>
    <row r="10" spans="1:6" ht="28.9" customHeight="1" x14ac:dyDescent="0.3">
      <c r="A10" s="196" t="s">
        <v>547</v>
      </c>
      <c r="B10" s="190"/>
      <c r="C10" s="190"/>
      <c r="D10" s="190"/>
      <c r="E10" s="190"/>
      <c r="F10" s="190"/>
    </row>
    <row r="11" spans="1:6" ht="30" customHeight="1" x14ac:dyDescent="0.3">
      <c r="A11" s="183" t="s">
        <v>4</v>
      </c>
      <c r="B11" s="183"/>
      <c r="C11" s="183"/>
      <c r="D11" s="183"/>
      <c r="E11" s="73">
        <f>E12+E15+E87</f>
        <v>2138.5390911640225</v>
      </c>
      <c r="F11" s="191" t="s">
        <v>135</v>
      </c>
    </row>
    <row r="12" spans="1:6" ht="30" customHeight="1" outlineLevel="1" x14ac:dyDescent="0.3">
      <c r="A12" s="183" t="s">
        <v>5</v>
      </c>
      <c r="B12" s="183"/>
      <c r="C12" s="183"/>
      <c r="D12" s="183"/>
      <c r="E12" s="68">
        <f>SUM(E13:E14)</f>
        <v>776.36324496288444</v>
      </c>
      <c r="F12" s="192"/>
    </row>
    <row r="13" spans="1:6" outlineLevel="2" x14ac:dyDescent="0.3">
      <c r="A13" s="131" t="str">
        <f>'БазНорм (обр)'!A5</f>
        <v>Педагогический персонал</v>
      </c>
      <c r="B13" s="64">
        <f>'БазНорм (обр)'!C5</f>
        <v>5.5493107104984091E-2</v>
      </c>
      <c r="C13" s="68">
        <f>'БазНорм (обр)'!J5</f>
        <v>1</v>
      </c>
      <c r="D13" s="68">
        <f>'БазНорм (обр)'!K5</f>
        <v>13990.264475444297</v>
      </c>
      <c r="E13" s="68">
        <f>B13/C13*D13</f>
        <v>776.36324496288444</v>
      </c>
      <c r="F13" s="192"/>
    </row>
    <row r="14" spans="1:6" outlineLevel="2" x14ac:dyDescent="0.3">
      <c r="A14" s="57"/>
      <c r="B14" s="57"/>
      <c r="C14" s="57"/>
      <c r="D14" s="57"/>
      <c r="E14" s="56"/>
      <c r="F14" s="192"/>
    </row>
    <row r="15" spans="1:6" ht="45" customHeight="1" outlineLevel="1" x14ac:dyDescent="0.3">
      <c r="A15" s="183" t="s">
        <v>6</v>
      </c>
      <c r="B15" s="183"/>
      <c r="C15" s="183"/>
      <c r="D15" s="183"/>
      <c r="E15" s="73">
        <f>E16+E67+E85+E86</f>
        <v>146.27071580042409</v>
      </c>
      <c r="F15" s="192"/>
    </row>
    <row r="16" spans="1:6" s="75" customFormat="1" outlineLevel="2" x14ac:dyDescent="0.3">
      <c r="A16" s="33" t="s">
        <v>56</v>
      </c>
      <c r="B16" s="34" t="s">
        <v>3</v>
      </c>
      <c r="C16" s="61" t="s">
        <v>3</v>
      </c>
      <c r="D16" s="122" t="s">
        <v>3</v>
      </c>
      <c r="E16" s="123">
        <f>SUM(E17:E66)</f>
        <v>122.15476333373341</v>
      </c>
      <c r="F16" s="192"/>
    </row>
    <row r="17" spans="1:10" s="75" customFormat="1" ht="39" outlineLevel="3" x14ac:dyDescent="0.3">
      <c r="A17" s="26" t="str">
        <f>'БазНорм (обр)'!A9</f>
        <v xml:space="preserve">Журнал: Воспитание школьников и духовно-нравственное воспитание </v>
      </c>
      <c r="B17" s="52">
        <f>'БазНорм (обр)'!C9</f>
        <v>2.4006721882126993E-3</v>
      </c>
      <c r="C17" s="61">
        <f>'БазНорм (обр)'!J9</f>
        <v>1</v>
      </c>
      <c r="D17" s="122">
        <f>'БазНорм (обр)'!K9</f>
        <v>9669.8700000000008</v>
      </c>
      <c r="E17" s="122">
        <f>B17/C17*D17</f>
        <v>23.214187972632338</v>
      </c>
      <c r="F17" s="192"/>
      <c r="G17" s="53">
        <f>E17*943-'БазНорм (обр)'!T9*'БазНорм (обр)'!$T$2</f>
        <v>-20621302.461217143</v>
      </c>
      <c r="J17" s="75">
        <f>943*E17</f>
        <v>21890.979258192296</v>
      </c>
    </row>
    <row r="18" spans="1:10" s="75" customFormat="1" ht="26" outlineLevel="3" x14ac:dyDescent="0.3">
      <c r="A18" s="26" t="str">
        <f>'БазНорм (обр)'!A10</f>
        <v>Инновационные проекты и программы в оьразовании</v>
      </c>
      <c r="B18" s="52">
        <f>'БазНорм (обр)'!C10</f>
        <v>2.4006721882126993E-3</v>
      </c>
      <c r="C18" s="61">
        <f>'БазНорм (обр)'!J10</f>
        <v>1</v>
      </c>
      <c r="D18" s="122">
        <f>'БазНорм (обр)'!K10</f>
        <v>1732.6000000000001</v>
      </c>
      <c r="E18" s="122">
        <f t="shared" ref="E18:E81" si="0">B18/C18*D18</f>
        <v>4.1594046332973234</v>
      </c>
      <c r="F18" s="192"/>
    </row>
    <row r="19" spans="1:10" s="75" customFormat="1" ht="26" outlineLevel="3" x14ac:dyDescent="0.3">
      <c r="A19" s="26" t="str">
        <f>'БазНорм (обр)'!A11</f>
        <v>Журнал: Льготный комплект "Эксперт"</v>
      </c>
      <c r="B19" s="52">
        <f>'БазНорм (обр)'!C11</f>
        <v>2.4006721882126993E-3</v>
      </c>
      <c r="C19" s="61">
        <f>'БазНорм (обр)'!J11</f>
        <v>1</v>
      </c>
      <c r="D19" s="122">
        <f>'БазНорм (обр)'!K11</f>
        <v>12040.93</v>
      </c>
      <c r="E19" s="122">
        <f t="shared" si="0"/>
        <v>28.906325771215936</v>
      </c>
      <c r="F19" s="192"/>
    </row>
    <row r="20" spans="1:10" s="75" customFormat="1" outlineLevel="3" x14ac:dyDescent="0.3">
      <c r="A20" s="26" t="str">
        <f>'БазНорм (обр)'!A12</f>
        <v>Журнал: Профильная школа</v>
      </c>
      <c r="B20" s="52">
        <f>'БазНорм (обр)'!C12</f>
        <v>2.4006721882126993E-3</v>
      </c>
      <c r="C20" s="61">
        <f>'БазНорм (обр)'!J12</f>
        <v>1</v>
      </c>
      <c r="D20" s="122">
        <f>'БазНорм (обр)'!K12</f>
        <v>2385.61</v>
      </c>
      <c r="E20" s="122">
        <f t="shared" si="0"/>
        <v>5.7270675789220977</v>
      </c>
      <c r="F20" s="192"/>
    </row>
    <row r="21" spans="1:10" s="75" customFormat="1" ht="26" outlineLevel="3" x14ac:dyDescent="0.3">
      <c r="A21" s="26" t="str">
        <f>'БазНорм (обр)'!A13</f>
        <v xml:space="preserve">Журнал: Путешествие на зеленый свет </v>
      </c>
      <c r="B21" s="52">
        <f>'БазНорм (обр)'!C13</f>
        <v>1.2003360941063496E-3</v>
      </c>
      <c r="C21" s="61">
        <f>'БазНорм (обр)'!J13</f>
        <v>1</v>
      </c>
      <c r="D21" s="122">
        <f>'БазНорм (обр)'!K13</f>
        <v>2401.4900000000002</v>
      </c>
      <c r="E21" s="122">
        <f t="shared" si="0"/>
        <v>2.8825951266354579</v>
      </c>
      <c r="F21" s="192"/>
    </row>
    <row r="22" spans="1:10" s="75" customFormat="1" ht="52" outlineLevel="3" x14ac:dyDescent="0.3">
      <c r="A22" s="26" t="str">
        <f>'БазНорм (обр)'!A14</f>
        <v>Журнал: Школа управления образовательным учреждением. опыт. практика. лучшие рещения (+CD)</v>
      </c>
      <c r="B22" s="52">
        <f>'БазНорм (обр)'!C14</f>
        <v>2.4006721882126993E-3</v>
      </c>
      <c r="C22" s="61">
        <f>'БазНорм (обр)'!J14</f>
        <v>1</v>
      </c>
      <c r="D22" s="122">
        <f>'БазНорм (обр)'!K14</f>
        <v>5662.5</v>
      </c>
      <c r="E22" s="122">
        <f t="shared" si="0"/>
        <v>13.593806265754409</v>
      </c>
      <c r="F22" s="192"/>
    </row>
    <row r="23" spans="1:10" s="75" customFormat="1" outlineLevel="3" x14ac:dyDescent="0.3">
      <c r="A23" s="26" t="str">
        <f>'БазНорм (обр)'!A15</f>
        <v>Журнал: Вестник образования</v>
      </c>
      <c r="B23" s="52">
        <f>'БазНорм (обр)'!C15</f>
        <v>1.2003360941063496E-3</v>
      </c>
      <c r="C23" s="61">
        <f>'БазНорм (обр)'!J15</f>
        <v>1</v>
      </c>
      <c r="D23" s="122">
        <f>'БазНорм (обр)'!K15</f>
        <v>1220.5233333333333</v>
      </c>
      <c r="E23" s="122">
        <f t="shared" si="0"/>
        <v>1.4650382106989954</v>
      </c>
      <c r="F23" s="192"/>
    </row>
    <row r="24" spans="1:10" s="75" customFormat="1" outlineLevel="3" x14ac:dyDescent="0.3">
      <c r="A24" s="26" t="str">
        <f>'БазНорм (обр)'!A16</f>
        <v>Учительская газета</v>
      </c>
      <c r="B24" s="52">
        <f>'БазНорм (обр)'!C16</f>
        <v>1.2003360941063496E-3</v>
      </c>
      <c r="C24" s="61">
        <f>'БазНорм (обр)'!J16</f>
        <v>1</v>
      </c>
      <c r="D24" s="122">
        <f>'БазНорм (обр)'!K16</f>
        <v>2217.91</v>
      </c>
      <c r="E24" s="122">
        <f t="shared" si="0"/>
        <v>2.6622374264794137</v>
      </c>
      <c r="F24" s="192"/>
    </row>
    <row r="25" spans="1:10" s="75" customFormat="1" ht="26" outlineLevel="3" x14ac:dyDescent="0.3">
      <c r="A25" s="26" t="str">
        <f>'БазНорм (обр)'!A17</f>
        <v>Журнал: Управление современной школой. завуч.</v>
      </c>
      <c r="B25" s="52">
        <f>'БазНорм (обр)'!C17</f>
        <v>1.2003360941063496E-3</v>
      </c>
      <c r="C25" s="61">
        <f>'БазНорм (обр)'!J17</f>
        <v>1</v>
      </c>
      <c r="D25" s="122">
        <f>'БазНорм (обр)'!K17</f>
        <v>2938.6333333333332</v>
      </c>
      <c r="E25" s="122">
        <f t="shared" si="0"/>
        <v>3.5273476573440559</v>
      </c>
      <c r="F25" s="192"/>
    </row>
    <row r="26" spans="1:10" s="75" customFormat="1" ht="39" outlineLevel="3" x14ac:dyDescent="0.3">
      <c r="A26" s="26" t="str">
        <f>'БазНорм (обр)'!A18</f>
        <v>Журнал: Управление образовательным учреждением в вопросах и ответах</v>
      </c>
      <c r="B26" s="52">
        <f>'БазНорм (обр)'!C18</f>
        <v>1.2003360941063496E-3</v>
      </c>
      <c r="C26" s="61">
        <f>'БазНорм (обр)'!J18</f>
        <v>1</v>
      </c>
      <c r="D26" s="122">
        <f>'БазНорм (обр)'!K18</f>
        <v>5111.956666666666</v>
      </c>
      <c r="E26" s="122">
        <f t="shared" si="0"/>
        <v>6.1360660985075803</v>
      </c>
      <c r="F26" s="192"/>
    </row>
    <row r="27" spans="1:10" s="75" customFormat="1" outlineLevel="3" x14ac:dyDescent="0.3">
      <c r="A27" s="26" t="str">
        <f>'БазНорм (обр)'!A19</f>
        <v>Журнал: Лучик</v>
      </c>
      <c r="B27" s="52">
        <f>'БазНорм (обр)'!C19</f>
        <v>1.2003360941063496E-3</v>
      </c>
      <c r="C27" s="61">
        <f>'БазНорм (обр)'!J19</f>
        <v>1</v>
      </c>
      <c r="D27" s="122">
        <f>'БазНорм (обр)'!K19</f>
        <v>2481.1133333333332</v>
      </c>
      <c r="E27" s="122">
        <f t="shared" si="0"/>
        <v>2.9781698875685185</v>
      </c>
      <c r="F27" s="192"/>
    </row>
    <row r="28" spans="1:10" s="75" customFormat="1" outlineLevel="3" x14ac:dyDescent="0.3">
      <c r="A28" s="26" t="str">
        <f>'БазНорм (обр)'!A20</f>
        <v>Журнал: Дефектология</v>
      </c>
      <c r="B28" s="52">
        <f>'БазНорм (обр)'!C20</f>
        <v>0</v>
      </c>
      <c r="C28" s="61">
        <f>'БазНорм (обр)'!J20</f>
        <v>1</v>
      </c>
      <c r="D28" s="122">
        <f>'БазНорм (обр)'!K20</f>
        <v>4152.8633333333337</v>
      </c>
      <c r="E28" s="122">
        <f t="shared" si="0"/>
        <v>0</v>
      </c>
      <c r="F28" s="192"/>
    </row>
    <row r="29" spans="1:10" s="75" customFormat="1" outlineLevel="3" x14ac:dyDescent="0.3">
      <c r="A29" s="26" t="str">
        <f>'БазНорм (обр)'!A21</f>
        <v>Журнал: Лена рукоделия</v>
      </c>
      <c r="B29" s="52">
        <f>'БазНорм (обр)'!C21</f>
        <v>0</v>
      </c>
      <c r="C29" s="61">
        <f>'БазНорм (обр)'!J21</f>
        <v>1</v>
      </c>
      <c r="D29" s="122">
        <f>'БазНорм (обр)'!K21</f>
        <v>650.57000000000005</v>
      </c>
      <c r="E29" s="122">
        <f t="shared" si="0"/>
        <v>0</v>
      </c>
      <c r="F29" s="192"/>
    </row>
    <row r="30" spans="1:10" s="75" customFormat="1" ht="26" outlineLevel="3" x14ac:dyDescent="0.3">
      <c r="A30" s="26" t="str">
        <f>'БазНорм (обр)'!A22</f>
        <v>Нормативные документы образовательного учреждения</v>
      </c>
      <c r="B30" s="52">
        <f>'БазНорм (обр)'!C22</f>
        <v>1.2003360941063496E-3</v>
      </c>
      <c r="C30" s="61">
        <f>'БазНорм (обр)'!J22</f>
        <v>1</v>
      </c>
      <c r="D30" s="122">
        <f>'БазНорм (обр)'!K22</f>
        <v>3898.5533333333333</v>
      </c>
      <c r="E30" s="122">
        <f t="shared" si="0"/>
        <v>4.6795742807986231</v>
      </c>
      <c r="F30" s="192"/>
    </row>
    <row r="31" spans="1:10" s="75" customFormat="1" ht="26" outlineLevel="3" x14ac:dyDescent="0.3">
      <c r="A31" s="26" t="str">
        <f>'БазНорм (обр)'!A23</f>
        <v>Журнал: Практика работы в школе</v>
      </c>
      <c r="B31" s="52">
        <f>'БазНорм (обр)'!C23</f>
        <v>0</v>
      </c>
      <c r="C31" s="61">
        <f>'БазНорм (обр)'!J23</f>
        <v>1</v>
      </c>
      <c r="D31" s="122">
        <f>'БазНорм (обр)'!K23</f>
        <v>2880.0966666666668</v>
      </c>
      <c r="E31" s="122">
        <f t="shared" si="0"/>
        <v>0</v>
      </c>
      <c r="F31" s="192"/>
    </row>
    <row r="32" spans="1:10" s="75" customFormat="1" ht="26" outlineLevel="3" x14ac:dyDescent="0.3">
      <c r="A32" s="26" t="str">
        <f>'БазНорм (обр)'!A24</f>
        <v>Журнал: Профессиональная библиотека</v>
      </c>
      <c r="B32" s="52">
        <f>'БазНорм (обр)'!C24</f>
        <v>0</v>
      </c>
      <c r="C32" s="61">
        <f>'БазНорм (обр)'!J24</f>
        <v>1</v>
      </c>
      <c r="D32" s="122">
        <f>'БазНорм (обр)'!K24</f>
        <v>1519.4233333333334</v>
      </c>
      <c r="E32" s="122">
        <f t="shared" si="0"/>
        <v>0</v>
      </c>
      <c r="F32" s="192"/>
    </row>
    <row r="33" spans="1:6" s="75" customFormat="1" outlineLevel="3" x14ac:dyDescent="0.3">
      <c r="A33" s="26" t="str">
        <f>'БазНорм (обр)'!A25</f>
        <v>Справочник руководителя</v>
      </c>
      <c r="B33" s="52">
        <f>'БазНорм (обр)'!C25</f>
        <v>1.2003360941063496E-3</v>
      </c>
      <c r="C33" s="61">
        <f>'БазНорм (обр)'!J25</f>
        <v>1</v>
      </c>
      <c r="D33" s="122">
        <f>'БазНорм (обр)'!K25</f>
        <v>5374.4366666666665</v>
      </c>
      <c r="E33" s="122">
        <f t="shared" si="0"/>
        <v>6.4511303164886158</v>
      </c>
      <c r="F33" s="192"/>
    </row>
    <row r="34" spans="1:6" s="75" customFormat="1" ht="26" outlineLevel="3" x14ac:dyDescent="0.3">
      <c r="A34" s="26" t="str">
        <f>'БазНорм (обр)'!A26</f>
        <v>Юридический журнал директора школы</v>
      </c>
      <c r="B34" s="52">
        <f>'БазНорм (обр)'!C26</f>
        <v>1.2003360941063496E-3</v>
      </c>
      <c r="C34" s="61">
        <f>'БазНорм (обр)'!J26</f>
        <v>1</v>
      </c>
      <c r="D34" s="122">
        <f>'БазНорм (обр)'!K26</f>
        <v>2784.8700000000003</v>
      </c>
      <c r="E34" s="122">
        <f t="shared" si="0"/>
        <v>3.3427799783939505</v>
      </c>
      <c r="F34" s="192"/>
    </row>
    <row r="35" spans="1:6" s="75" customFormat="1" outlineLevel="3" x14ac:dyDescent="0.3">
      <c r="A35" s="26" t="str">
        <f>'БазНорм (обр)'!A27</f>
        <v xml:space="preserve">Детская энциклопедия </v>
      </c>
      <c r="B35" s="52">
        <f>'БазНорм (обр)'!C27</f>
        <v>0</v>
      </c>
      <c r="C35" s="61">
        <f>'БазНорм (обр)'!J27</f>
        <v>1</v>
      </c>
      <c r="D35" s="122">
        <f>'БазНорм (обр)'!K27</f>
        <v>675.24000000000012</v>
      </c>
      <c r="E35" s="122">
        <f t="shared" si="0"/>
        <v>0</v>
      </c>
      <c r="F35" s="192"/>
    </row>
    <row r="36" spans="1:6" s="75" customFormat="1" ht="26" outlineLevel="3" x14ac:dyDescent="0.3">
      <c r="A36" s="26" t="str">
        <f>'БазНорм (обр)'!A28</f>
        <v>Журнал: Добрая дорога детства</v>
      </c>
      <c r="B36" s="52">
        <f>'БазНорм (обр)'!C28</f>
        <v>0</v>
      </c>
      <c r="C36" s="61">
        <f>'БазНорм (обр)'!J28</f>
        <v>1</v>
      </c>
      <c r="D36" s="122">
        <f>'БазНорм (обр)'!K28</f>
        <v>483.35999999999996</v>
      </c>
      <c r="E36" s="122">
        <f t="shared" si="0"/>
        <v>0</v>
      </c>
      <c r="F36" s="192"/>
    </row>
    <row r="37" spans="1:6" s="75" customFormat="1" ht="26" outlineLevel="3" x14ac:dyDescent="0.3">
      <c r="A37" s="26" t="str">
        <f>'БазНорм (обр)'!A29</f>
        <v>Справочник классного руководителя</v>
      </c>
      <c r="B37" s="52">
        <f>'БазНорм (обр)'!C29</f>
        <v>0</v>
      </c>
      <c r="C37" s="61">
        <f>'БазНорм (обр)'!J29</f>
        <v>1</v>
      </c>
      <c r="D37" s="122">
        <f>'БазНорм (обр)'!K29</f>
        <v>3829.6933333333332</v>
      </c>
      <c r="E37" s="122">
        <f t="shared" si="0"/>
        <v>0</v>
      </c>
      <c r="F37" s="192"/>
    </row>
    <row r="38" spans="1:6" s="75" customFormat="1" ht="26" outlineLevel="3" x14ac:dyDescent="0.3">
      <c r="A38" s="26" t="str">
        <f>'БазНорм (обр)'!A30</f>
        <v>Справочник заместителя директора школы</v>
      </c>
      <c r="B38" s="52">
        <f>'БазНорм (обр)'!C30</f>
        <v>1.2003360941063496E-3</v>
      </c>
      <c r="C38" s="61">
        <f>'БазНорм (обр)'!J30</f>
        <v>1</v>
      </c>
      <c r="D38" s="122">
        <f>'БазНорм (обр)'!K30</f>
        <v>8785.5866666666661</v>
      </c>
      <c r="E38" s="122">
        <f t="shared" si="0"/>
        <v>10.54565678389949</v>
      </c>
      <c r="F38" s="192"/>
    </row>
    <row r="39" spans="1:6" s="75" customFormat="1" outlineLevel="3" x14ac:dyDescent="0.3">
      <c r="A39" s="26" t="str">
        <f>'БазНорм (обр)'!A31</f>
        <v>Журнал: Школьный психолог</v>
      </c>
      <c r="B39" s="52">
        <f>'БазНорм (обр)'!C31</f>
        <v>0</v>
      </c>
      <c r="C39" s="61">
        <f>'БазНорм (обр)'!J31</f>
        <v>1</v>
      </c>
      <c r="D39" s="122">
        <f>'БазНорм (обр)'!K31</f>
        <v>2492.1033333333335</v>
      </c>
      <c r="E39" s="122">
        <f t="shared" si="0"/>
        <v>0</v>
      </c>
      <c r="F39" s="192"/>
    </row>
    <row r="40" spans="1:6" s="75" customFormat="1" outlineLevel="3" x14ac:dyDescent="0.3">
      <c r="A40" s="26" t="str">
        <f>'БазНорм (обр)'!A32</f>
        <v>Журнал: Последний звонок</v>
      </c>
      <c r="B40" s="52">
        <f>'БазНорм (обр)'!C32</f>
        <v>0</v>
      </c>
      <c r="C40" s="61">
        <f>'БазНорм (обр)'!J32</f>
        <v>1</v>
      </c>
      <c r="D40" s="122">
        <f>'БазНорм (обр)'!K32</f>
        <v>243.67999999999998</v>
      </c>
      <c r="E40" s="122">
        <f t="shared" si="0"/>
        <v>0</v>
      </c>
      <c r="F40" s="192"/>
    </row>
    <row r="41" spans="1:6" s="75" customFormat="1" outlineLevel="3" x14ac:dyDescent="0.3">
      <c r="A41" s="26" t="str">
        <f>'БазНорм (обр)'!A33</f>
        <v>Журнал: Шишкин лес</v>
      </c>
      <c r="B41" s="52">
        <f>'БазНорм (обр)'!C33</f>
        <v>0</v>
      </c>
      <c r="C41" s="61">
        <f>'БазНорм (обр)'!J33</f>
        <v>1</v>
      </c>
      <c r="D41" s="122">
        <f>'БазНорм (обр)'!K33</f>
        <v>729.63</v>
      </c>
      <c r="E41" s="122">
        <f t="shared" si="0"/>
        <v>0</v>
      </c>
      <c r="F41" s="192"/>
    </row>
    <row r="42" spans="1:6" s="75" customFormat="1" outlineLevel="3" x14ac:dyDescent="0.3">
      <c r="A42" s="26" t="str">
        <f>'БазНорм (обр)'!A34</f>
        <v>Журнал: ГЕОленок</v>
      </c>
      <c r="B42" s="52">
        <f>'БазНорм (обр)'!C34</f>
        <v>0</v>
      </c>
      <c r="C42" s="61">
        <f>'БазНорм (обр)'!J34</f>
        <v>1</v>
      </c>
      <c r="D42" s="122">
        <f>'БазНорм (обр)'!K34</f>
        <v>975.71333333333325</v>
      </c>
      <c r="E42" s="122">
        <f t="shared" si="0"/>
        <v>0</v>
      </c>
      <c r="F42" s="192"/>
    </row>
    <row r="43" spans="1:6" s="75" customFormat="1" outlineLevel="3" x14ac:dyDescent="0.3">
      <c r="A43" s="26" t="str">
        <f>'БазНорм (обр)'!A35</f>
        <v>Журнал: Добрята</v>
      </c>
      <c r="B43" s="52">
        <f>'БазНорм (обр)'!C35</f>
        <v>0</v>
      </c>
      <c r="C43" s="61">
        <f>'БазНорм (обр)'!J35</f>
        <v>1</v>
      </c>
      <c r="D43" s="122">
        <f>'БазНорм (обр)'!K35</f>
        <v>555.23333333333323</v>
      </c>
      <c r="E43" s="122">
        <f t="shared" si="0"/>
        <v>0</v>
      </c>
      <c r="F43" s="192"/>
    </row>
    <row r="44" spans="1:6" s="75" customFormat="1" outlineLevel="3" x14ac:dyDescent="0.3">
      <c r="A44" s="26" t="str">
        <f>'БазНорм (обр)'!A36</f>
        <v>Журнал: Бумеранг</v>
      </c>
      <c r="B44" s="52">
        <f>'БазНорм (обр)'!C36</f>
        <v>0</v>
      </c>
      <c r="C44" s="61">
        <f>'БазНорм (обр)'!J36</f>
        <v>1</v>
      </c>
      <c r="D44" s="122">
        <f>'БазНорм (обр)'!K36</f>
        <v>1560.5833333333333</v>
      </c>
      <c r="E44" s="122">
        <f t="shared" si="0"/>
        <v>0</v>
      </c>
      <c r="F44" s="192"/>
    </row>
    <row r="45" spans="1:6" s="75" customFormat="1" outlineLevel="3" x14ac:dyDescent="0.3">
      <c r="A45" s="26" t="str">
        <f>'БазНорм (обр)'!A37</f>
        <v>Журнал :Веселые животные</v>
      </c>
      <c r="B45" s="52">
        <f>'БазНорм (обр)'!C37</f>
        <v>0</v>
      </c>
      <c r="C45" s="61">
        <f>'БазНорм (обр)'!J37</f>
        <v>1</v>
      </c>
      <c r="D45" s="122">
        <f>'БазНорм (обр)'!K37</f>
        <v>786.48666666666668</v>
      </c>
      <c r="E45" s="122">
        <f t="shared" si="0"/>
        <v>0</v>
      </c>
      <c r="F45" s="192"/>
    </row>
    <row r="46" spans="1:6" s="75" customFormat="1" outlineLevel="3" x14ac:dyDescent="0.3">
      <c r="A46" s="26" t="str">
        <f>'БазНорм (обр)'!A38</f>
        <v>Журнал: Весёлый затейник</v>
      </c>
      <c r="B46" s="52">
        <f>'БазНорм (обр)'!C38</f>
        <v>0</v>
      </c>
      <c r="C46" s="61">
        <f>'БазНорм (обр)'!J38</f>
        <v>1</v>
      </c>
      <c r="D46" s="122">
        <f>'БазНорм (обр)'!K38</f>
        <v>488.7833333333333</v>
      </c>
      <c r="E46" s="122">
        <f t="shared" si="0"/>
        <v>0</v>
      </c>
      <c r="F46" s="192"/>
    </row>
    <row r="47" spans="1:6" s="75" customFormat="1" outlineLevel="3" x14ac:dyDescent="0.3">
      <c r="A47" s="26" t="str">
        <f>'БазНорм (обр)'!A39</f>
        <v>Журнал: Все звёзды</v>
      </c>
      <c r="B47" s="52">
        <f>'БазНорм (обр)'!C39</f>
        <v>0</v>
      </c>
      <c r="C47" s="61">
        <f>'БазНорм (обр)'!J39</f>
        <v>1</v>
      </c>
      <c r="D47" s="122">
        <f>'БазНорм (обр)'!K39</f>
        <v>1488.61</v>
      </c>
      <c r="E47" s="122">
        <f t="shared" si="0"/>
        <v>0</v>
      </c>
      <c r="F47" s="192"/>
    </row>
    <row r="48" spans="1:6" s="75" customFormat="1" ht="26" outlineLevel="3" x14ac:dyDescent="0.3">
      <c r="A48" s="26" t="str">
        <f>'БазНорм (обр)'!A40</f>
        <v>Журнал: Девчонки-мальчишки. Школа ремесел</v>
      </c>
      <c r="B48" s="52">
        <f>'БазНорм (обр)'!C40</f>
        <v>0</v>
      </c>
      <c r="C48" s="61">
        <f>'БазНорм (обр)'!J40</f>
        <v>1</v>
      </c>
      <c r="D48" s="122">
        <f>'БазНорм (обр)'!K40</f>
        <v>2156.1133333333332</v>
      </c>
      <c r="E48" s="122">
        <f t="shared" si="0"/>
        <v>0</v>
      </c>
      <c r="F48" s="192"/>
    </row>
    <row r="49" spans="1:6" s="75" customFormat="1" ht="26" outlineLevel="3" x14ac:dyDescent="0.3">
      <c r="A49" s="26" t="str">
        <f>'БазНорм (обр)'!A41</f>
        <v>Журнал: Управление современной школой</v>
      </c>
      <c r="B49" s="52">
        <f>'БазНорм (обр)'!C41</f>
        <v>0</v>
      </c>
      <c r="C49" s="61">
        <f>'БазНорм (обр)'!J41</f>
        <v>1</v>
      </c>
      <c r="D49" s="122">
        <f>'БазНорм (обр)'!K41</f>
        <v>1364.0166666666667</v>
      </c>
      <c r="E49" s="122">
        <f t="shared" si="0"/>
        <v>0</v>
      </c>
      <c r="F49" s="192"/>
    </row>
    <row r="50" spans="1:6" s="75" customFormat="1" outlineLevel="3" x14ac:dyDescent="0.3">
      <c r="A50" s="26" t="str">
        <f>'БазНорм (обр)'!A42</f>
        <v>Журнал : Клёпа</v>
      </c>
      <c r="B50" s="52">
        <f>'БазНорм (обр)'!C42</f>
        <v>0</v>
      </c>
      <c r="C50" s="61">
        <f>'БазНорм (обр)'!J42</f>
        <v>1</v>
      </c>
      <c r="D50" s="122">
        <f>'БазНорм (обр)'!K42</f>
        <v>1301.9666666666667</v>
      </c>
      <c r="E50" s="122">
        <f t="shared" si="0"/>
        <v>0</v>
      </c>
      <c r="F50" s="192"/>
    </row>
    <row r="51" spans="1:6" s="75" customFormat="1" outlineLevel="3" x14ac:dyDescent="0.3">
      <c r="A51" s="26" t="str">
        <f>'БазНорм (обр)'!A43</f>
        <v>Журнал: Компьютер MOUSE</v>
      </c>
      <c r="B51" s="52">
        <f>'БазНорм (обр)'!C43</f>
        <v>0</v>
      </c>
      <c r="C51" s="61">
        <f>'БазНорм (обр)'!J43</f>
        <v>1</v>
      </c>
      <c r="D51" s="122">
        <f>'БазНорм (обр)'!K43</f>
        <v>891.30333333333328</v>
      </c>
      <c r="E51" s="122">
        <f t="shared" si="0"/>
        <v>0</v>
      </c>
      <c r="F51" s="192"/>
    </row>
    <row r="52" spans="1:6" s="75" customFormat="1" outlineLevel="3" x14ac:dyDescent="0.3">
      <c r="A52" s="26" t="str">
        <f>'БазНорм (обр)'!A44</f>
        <v>Журнал: Спасайкин</v>
      </c>
      <c r="B52" s="52">
        <f>'БазНорм (обр)'!C44</f>
        <v>1.2003360941063496E-3</v>
      </c>
      <c r="C52" s="61">
        <f>'БазНорм (обр)'!J44</f>
        <v>1</v>
      </c>
      <c r="D52" s="122">
        <f>'БазНорм (обр)'!K44</f>
        <v>1569.04</v>
      </c>
      <c r="E52" s="122">
        <f t="shared" si="0"/>
        <v>1.8833753450966269</v>
      </c>
      <c r="F52" s="192"/>
    </row>
    <row r="53" spans="1:6" s="75" customFormat="1" ht="26" outlineLevel="3" x14ac:dyDescent="0.3">
      <c r="A53" s="26" t="str">
        <f>'БазНорм (обр)'!A45</f>
        <v>Журнал: Мир техники для детей</v>
      </c>
      <c r="B53" s="52">
        <f>'БазНорм (обр)'!C45</f>
        <v>0</v>
      </c>
      <c r="C53" s="61">
        <f>'БазНорм (обр)'!J45</f>
        <v>1</v>
      </c>
      <c r="D53" s="122">
        <f>'БазНорм (обр)'!K45</f>
        <v>1734.6766666666665</v>
      </c>
      <c r="E53" s="122">
        <f t="shared" si="0"/>
        <v>0</v>
      </c>
      <c r="F53" s="192"/>
    </row>
    <row r="54" spans="1:6" s="75" customFormat="1" outlineLevel="3" x14ac:dyDescent="0.3">
      <c r="A54" s="26" t="str">
        <f>'БазНорм (обр)'!A46</f>
        <v>Журнал: Читайка</v>
      </c>
      <c r="B54" s="52">
        <f>'БазНорм (обр)'!C46</f>
        <v>0</v>
      </c>
      <c r="C54" s="61">
        <f>'БазНорм (обр)'!J46</f>
        <v>1</v>
      </c>
      <c r="D54" s="122">
        <f>'БазНорм (обр)'!K46</f>
        <v>2052.0733333333333</v>
      </c>
      <c r="E54" s="122">
        <f t="shared" si="0"/>
        <v>0</v>
      </c>
      <c r="F54" s="192"/>
    </row>
    <row r="55" spans="1:6" s="75" customFormat="1" ht="26" outlineLevel="3" x14ac:dyDescent="0.3">
      <c r="A55" s="26" t="str">
        <f>'БазНорм (обр)'!A47</f>
        <v>Журнал: Чудеса и приключения-детям-ЧИП</v>
      </c>
      <c r="B55" s="52">
        <f>'БазНорм (обр)'!C47</f>
        <v>0</v>
      </c>
      <c r="C55" s="61">
        <f>'БазНорм (обр)'!J47</f>
        <v>1</v>
      </c>
      <c r="D55" s="122">
        <f>'БазНорм (обр)'!K47</f>
        <v>690.03333333333342</v>
      </c>
      <c r="E55" s="122">
        <f t="shared" si="0"/>
        <v>0</v>
      </c>
      <c r="F55" s="192"/>
    </row>
    <row r="56" spans="1:6" s="75" customFormat="1" outlineLevel="3" x14ac:dyDescent="0.3">
      <c r="A56" s="26" t="str">
        <f>'БазНорм (обр)'!A48</f>
        <v>Журнал: Юный краевед</v>
      </c>
      <c r="B56" s="52">
        <f>'БазНорм (обр)'!C48</f>
        <v>0</v>
      </c>
      <c r="C56" s="61">
        <f>'БазНорм (обр)'!J48</f>
        <v>1</v>
      </c>
      <c r="D56" s="122">
        <f>'БазНорм (обр)'!K48</f>
        <v>1650.9000000000003</v>
      </c>
      <c r="E56" s="122">
        <f t="shared" si="0"/>
        <v>0</v>
      </c>
      <c r="F56" s="192"/>
    </row>
    <row r="57" spans="1:6" s="75" customFormat="1" outlineLevel="3" x14ac:dyDescent="0.3">
      <c r="A57" s="26" t="str">
        <f>'БазНорм (обр)'!A49</f>
        <v>Журнал: Игровая библиотека</v>
      </c>
      <c r="B57" s="52">
        <f>'БазНорм (обр)'!C49</f>
        <v>0</v>
      </c>
      <c r="C57" s="61">
        <f>'БазНорм (обр)'!J49</f>
        <v>1</v>
      </c>
      <c r="D57" s="122">
        <f>'БазНорм (обр)'!K49</f>
        <v>1969.9599999999998</v>
      </c>
      <c r="E57" s="122">
        <f t="shared" si="0"/>
        <v>0</v>
      </c>
      <c r="F57" s="192"/>
    </row>
    <row r="58" spans="1:6" s="75" customFormat="1" ht="26" outlineLevel="3" x14ac:dyDescent="0.3">
      <c r="A58" s="26" t="str">
        <f>'БазНорм (обр)'!A50</f>
        <v>Журнал: Школа и производство</v>
      </c>
      <c r="B58" s="52">
        <f>'БазНорм (обр)'!C50</f>
        <v>0</v>
      </c>
      <c r="C58" s="61">
        <f>'БазНорм (обр)'!J50</f>
        <v>1</v>
      </c>
      <c r="D58" s="122">
        <f>'БазНорм (обр)'!K50</f>
        <v>5537.1500000000005</v>
      </c>
      <c r="E58" s="122">
        <f t="shared" si="0"/>
        <v>0</v>
      </c>
      <c r="F58" s="192"/>
    </row>
    <row r="59" spans="1:6" s="75" customFormat="1" outlineLevel="3" x14ac:dyDescent="0.3">
      <c r="A59" s="26" t="str">
        <f>'БазНорм (обр)'!A51</f>
        <v>Журнал: Веселый урок</v>
      </c>
      <c r="B59" s="52">
        <f>'БазНорм (обр)'!C51</f>
        <v>0</v>
      </c>
      <c r="C59" s="61">
        <f>'БазНорм (обр)'!J51</f>
        <v>1</v>
      </c>
      <c r="D59" s="122">
        <f>'БазНорм (обр)'!K51</f>
        <v>882.0100000000001</v>
      </c>
      <c r="E59" s="122">
        <f t="shared" si="0"/>
        <v>0</v>
      </c>
      <c r="F59" s="192"/>
    </row>
    <row r="60" spans="1:6" s="75" customFormat="1" outlineLevel="3" x14ac:dyDescent="0.3">
      <c r="A60" s="26" t="str">
        <f>'БазНорм (обр)'!A52</f>
        <v>Журнал: ОБЖ</v>
      </c>
      <c r="B60" s="52">
        <f>'БазНорм (обр)'!C52</f>
        <v>0</v>
      </c>
      <c r="C60" s="61">
        <f>'БазНорм (обр)'!J52</f>
        <v>1</v>
      </c>
      <c r="D60" s="122">
        <f>'БазНорм (обр)'!K52</f>
        <v>866.4</v>
      </c>
      <c r="E60" s="122">
        <f t="shared" si="0"/>
        <v>0</v>
      </c>
      <c r="F60" s="192"/>
    </row>
    <row r="61" spans="1:6" s="75" customFormat="1" outlineLevel="3" x14ac:dyDescent="0.3">
      <c r="A61" s="26" t="str">
        <f>'БазНорм (обр)'!A53</f>
        <v>Журнал: Мурзилка</v>
      </c>
      <c r="B61" s="52">
        <f>'БазНорм (обр)'!C53</f>
        <v>0</v>
      </c>
      <c r="C61" s="61">
        <f>'БазНорм (обр)'!J53</f>
        <v>1</v>
      </c>
      <c r="D61" s="122">
        <f>'БазНорм (обр)'!K53</f>
        <v>950.5100000000001</v>
      </c>
      <c r="E61" s="122">
        <f t="shared" si="0"/>
        <v>0</v>
      </c>
      <c r="F61" s="192"/>
    </row>
    <row r="62" spans="1:6" s="75" customFormat="1" outlineLevel="3" x14ac:dyDescent="0.3">
      <c r="A62" s="26" t="str">
        <f>'БазНорм (обр)'!A54</f>
        <v>Журнал: Юный эрудит</v>
      </c>
      <c r="B62" s="52">
        <f>'БазНорм (обр)'!C54</f>
        <v>0</v>
      </c>
      <c r="C62" s="61">
        <f>'БазНорм (обр)'!J54</f>
        <v>1</v>
      </c>
      <c r="D62" s="122">
        <f>'БазНорм (обр)'!K54</f>
        <v>436.38333333333338</v>
      </c>
      <c r="E62" s="122">
        <f t="shared" si="0"/>
        <v>0</v>
      </c>
      <c r="F62" s="192"/>
    </row>
    <row r="63" spans="1:6" s="75" customFormat="1" outlineLevel="3" x14ac:dyDescent="0.3">
      <c r="A63" s="26" t="str">
        <f>'БазНорм (обр)'!A55</f>
        <v>Журнал: Педсовет</v>
      </c>
      <c r="B63" s="52">
        <f>'БазНорм (обр)'!C55</f>
        <v>0</v>
      </c>
      <c r="C63" s="61">
        <f>'БазНорм (обр)'!J55</f>
        <v>1</v>
      </c>
      <c r="D63" s="122">
        <f>'БазНорм (обр)'!K55</f>
        <v>238.34</v>
      </c>
      <c r="E63" s="122">
        <f t="shared" si="0"/>
        <v>0</v>
      </c>
      <c r="F63" s="192"/>
    </row>
    <row r="64" spans="1:6" s="75" customFormat="1" outlineLevel="3" x14ac:dyDescent="0.3">
      <c r="A64" s="26" t="str">
        <f>'БазНорм (обр)'!A56</f>
        <v>Журнал: Методист</v>
      </c>
      <c r="B64" s="52">
        <f>'БазНорм (обр)'!C56</f>
        <v>0</v>
      </c>
      <c r="C64" s="61">
        <f>'БазНорм (обр)'!J56</f>
        <v>1</v>
      </c>
      <c r="D64" s="122">
        <f>'БазНорм (обр)'!K56</f>
        <v>1476.32</v>
      </c>
      <c r="E64" s="122">
        <f t="shared" si="0"/>
        <v>0</v>
      </c>
      <c r="F64" s="192"/>
    </row>
    <row r="65" spans="1:6" s="75" customFormat="1" outlineLevel="3" x14ac:dyDescent="0.3">
      <c r="A65" s="26" t="str">
        <f>'БазНорм (обр)'!A57</f>
        <v>Журнал: Огонек</v>
      </c>
      <c r="B65" s="52">
        <f>'БазНорм (обр)'!C57</f>
        <v>0</v>
      </c>
      <c r="C65" s="61">
        <f>'БазНорм (обр)'!J57</f>
        <v>1</v>
      </c>
      <c r="D65" s="122">
        <f>'БазНорм (обр)'!K57</f>
        <v>806.31666666666661</v>
      </c>
      <c r="E65" s="122">
        <f t="shared" si="0"/>
        <v>0</v>
      </c>
      <c r="F65" s="192"/>
    </row>
    <row r="66" spans="1:6" s="75" customFormat="1" outlineLevel="3" x14ac:dyDescent="0.3">
      <c r="A66" s="26" t="str">
        <f>'БазНорм (обр)'!A58</f>
        <v>Журнал: Отчего и почему</v>
      </c>
      <c r="B66" s="52">
        <f>'БазНорм (обр)'!C58</f>
        <v>0</v>
      </c>
      <c r="C66" s="61">
        <f>'БазНорм (обр)'!J58</f>
        <v>1</v>
      </c>
      <c r="D66" s="122">
        <f>'БазНорм (обр)'!K58</f>
        <v>901.74333333333334</v>
      </c>
      <c r="E66" s="122">
        <f t="shared" si="0"/>
        <v>0</v>
      </c>
      <c r="F66" s="192"/>
    </row>
    <row r="67" spans="1:6" s="76" customFormat="1" outlineLevel="2" x14ac:dyDescent="0.3">
      <c r="A67" s="33" t="s">
        <v>478</v>
      </c>
      <c r="B67" s="51" t="s">
        <v>3</v>
      </c>
      <c r="C67" s="50" t="s">
        <v>3</v>
      </c>
      <c r="D67" s="123" t="s">
        <v>3</v>
      </c>
      <c r="E67" s="123">
        <f>SUM(E68:E84)</f>
        <v>0</v>
      </c>
      <c r="F67" s="192"/>
    </row>
    <row r="68" spans="1:6" s="75" customFormat="1" outlineLevel="3" x14ac:dyDescent="0.3">
      <c r="A68" s="26" t="str">
        <f>'БазНорм (обр)'!A60</f>
        <v>Шкаф для документов</v>
      </c>
      <c r="B68" s="52">
        <f>'БазНорм (обр)'!C60</f>
        <v>0</v>
      </c>
      <c r="C68" s="61">
        <f>'БазНорм (обр)'!J60</f>
        <v>5</v>
      </c>
      <c r="D68" s="122">
        <f>'БазНорм (обр)'!K60</f>
        <v>6845</v>
      </c>
      <c r="E68" s="122">
        <f t="shared" si="0"/>
        <v>0</v>
      </c>
      <c r="F68" s="192"/>
    </row>
    <row r="69" spans="1:6" s="75" customFormat="1" outlineLevel="3" x14ac:dyDescent="0.3">
      <c r="A69" s="26" t="str">
        <f>'БазНорм (обр)'!A61</f>
        <v>Шкаф книжный</v>
      </c>
      <c r="B69" s="52">
        <f>'БазНорм (обр)'!C61</f>
        <v>0</v>
      </c>
      <c r="C69" s="61">
        <f>'БазНорм (обр)'!J61</f>
        <v>5</v>
      </c>
      <c r="D69" s="122">
        <f>'БазНорм (обр)'!K61</f>
        <v>4120</v>
      </c>
      <c r="E69" s="122">
        <f t="shared" si="0"/>
        <v>0</v>
      </c>
      <c r="F69" s="192"/>
    </row>
    <row r="70" spans="1:6" s="75" customFormat="1" outlineLevel="3" x14ac:dyDescent="0.3">
      <c r="A70" s="26" t="str">
        <f>'БазНорм (обр)'!A62</f>
        <v>Шкаф под ключи</v>
      </c>
      <c r="B70" s="52">
        <f>'БазНорм (обр)'!C62</f>
        <v>0</v>
      </c>
      <c r="C70" s="61">
        <f>'БазНорм (обр)'!J62</f>
        <v>5</v>
      </c>
      <c r="D70" s="122">
        <f>'БазНорм (обр)'!K62</f>
        <v>1274.6666666666667</v>
      </c>
      <c r="E70" s="122">
        <f t="shared" si="0"/>
        <v>0</v>
      </c>
      <c r="F70" s="192"/>
    </row>
    <row r="71" spans="1:6" s="75" customFormat="1" outlineLevel="3" x14ac:dyDescent="0.3">
      <c r="A71" s="26" t="str">
        <f>'БазНорм (обр)'!A63</f>
        <v>Шкаф для одежды</v>
      </c>
      <c r="B71" s="52">
        <f>'БазНорм (обр)'!C63</f>
        <v>0</v>
      </c>
      <c r="C71" s="61">
        <f>'БазНорм (обр)'!J63</f>
        <v>5</v>
      </c>
      <c r="D71" s="122">
        <f>'БазНорм (обр)'!K63</f>
        <v>8696.6666666666661</v>
      </c>
      <c r="E71" s="122">
        <f t="shared" si="0"/>
        <v>0</v>
      </c>
      <c r="F71" s="192"/>
    </row>
    <row r="72" spans="1:6" s="75" customFormat="1" outlineLevel="3" x14ac:dyDescent="0.3">
      <c r="A72" s="26" t="str">
        <f>'БазНорм (обр)'!A64</f>
        <v>Стеллаж для библиотеки</v>
      </c>
      <c r="B72" s="52">
        <f>'БазНорм (обр)'!C64</f>
        <v>0</v>
      </c>
      <c r="C72" s="61">
        <f>'БазНорм (обр)'!J64</f>
        <v>5</v>
      </c>
      <c r="D72" s="122">
        <f>'БазНорм (обр)'!K64</f>
        <v>3510.16</v>
      </c>
      <c r="E72" s="122">
        <f t="shared" si="0"/>
        <v>0</v>
      </c>
      <c r="F72" s="192"/>
    </row>
    <row r="73" spans="1:6" s="75" customFormat="1" ht="26" outlineLevel="3" x14ac:dyDescent="0.3">
      <c r="A73" s="26" t="str">
        <f>'БазНорм (обр)'!A65</f>
        <v>Стеллаж библиотечный 2х сторон</v>
      </c>
      <c r="B73" s="52">
        <f>'БазНорм (обр)'!C65</f>
        <v>0</v>
      </c>
      <c r="C73" s="61">
        <f>'БазНорм (обр)'!J65</f>
        <v>5</v>
      </c>
      <c r="D73" s="122">
        <f>'БазНорм (обр)'!K65</f>
        <v>9230</v>
      </c>
      <c r="E73" s="122">
        <f t="shared" si="0"/>
        <v>0</v>
      </c>
      <c r="F73" s="192"/>
    </row>
    <row r="74" spans="1:6" s="75" customFormat="1" ht="26" outlineLevel="3" x14ac:dyDescent="0.3">
      <c r="A74" s="26" t="str">
        <f>'БазНорм (обр)'!A66</f>
        <v>Стеллаж библиотечный односторонний</v>
      </c>
      <c r="B74" s="52">
        <f>'БазНорм (обр)'!C66</f>
        <v>0</v>
      </c>
      <c r="C74" s="61">
        <f>'БазНорм (обр)'!J66</f>
        <v>5</v>
      </c>
      <c r="D74" s="122">
        <f>'БазНорм (обр)'!K66</f>
        <v>7546.666666666667</v>
      </c>
      <c r="E74" s="122">
        <f t="shared" si="0"/>
        <v>0</v>
      </c>
      <c r="F74" s="192"/>
    </row>
    <row r="75" spans="1:6" s="75" customFormat="1" outlineLevel="3" x14ac:dyDescent="0.3">
      <c r="A75" s="26" t="str">
        <f>'БазНорм (обр)'!A67</f>
        <v>Полка для раз. досок</v>
      </c>
      <c r="B75" s="52">
        <f>'БазНорм (обр)'!C67</f>
        <v>0</v>
      </c>
      <c r="C75" s="61">
        <f>'БазНорм (обр)'!J67</f>
        <v>5</v>
      </c>
      <c r="D75" s="122">
        <f>'БазНорм (обр)'!K67</f>
        <v>8756.6666666666661</v>
      </c>
      <c r="E75" s="122">
        <f t="shared" si="0"/>
        <v>0</v>
      </c>
      <c r="F75" s="192"/>
    </row>
    <row r="76" spans="1:6" s="75" customFormat="1" outlineLevel="3" x14ac:dyDescent="0.3">
      <c r="A76" s="26" t="str">
        <f>'БазНорм (обр)'!A68</f>
        <v>Доска аудиторная</v>
      </c>
      <c r="B76" s="52">
        <f>'БазНорм (обр)'!C68</f>
        <v>0</v>
      </c>
      <c r="C76" s="61">
        <f>'БазНорм (обр)'!J68</f>
        <v>5</v>
      </c>
      <c r="D76" s="122">
        <f>'БазНорм (обр)'!K68</f>
        <v>3951.0050000000001</v>
      </c>
      <c r="E76" s="122">
        <f t="shared" si="0"/>
        <v>0</v>
      </c>
      <c r="F76" s="192"/>
    </row>
    <row r="77" spans="1:6" s="75" customFormat="1" outlineLevel="3" x14ac:dyDescent="0.3">
      <c r="A77" s="26" t="str">
        <f>'БазНорм (обр)'!A69</f>
        <v>Доска пробковая</v>
      </c>
      <c r="B77" s="52">
        <f>'БазНорм (обр)'!C69</f>
        <v>0</v>
      </c>
      <c r="C77" s="61">
        <f>'БазНорм (обр)'!J69</f>
        <v>5</v>
      </c>
      <c r="D77" s="122">
        <f>'БазНорм (обр)'!K69</f>
        <v>3123.8166666666671</v>
      </c>
      <c r="E77" s="122">
        <f t="shared" si="0"/>
        <v>0</v>
      </c>
      <c r="F77" s="192"/>
    </row>
    <row r="78" spans="1:6" s="75" customFormat="1" outlineLevel="3" x14ac:dyDescent="0.3">
      <c r="A78" s="26" t="str">
        <f>'БазНорм (обр)'!A70</f>
        <v>Стол эргономичный</v>
      </c>
      <c r="B78" s="52">
        <f>'БазНорм (обр)'!C70</f>
        <v>0</v>
      </c>
      <c r="C78" s="61">
        <f>'БазНорм (обр)'!J70</f>
        <v>5</v>
      </c>
      <c r="D78" s="122">
        <f>'БазНорм (обр)'!K70</f>
        <v>2116.6666666666665</v>
      </c>
      <c r="E78" s="122">
        <f t="shared" si="0"/>
        <v>0</v>
      </c>
      <c r="F78" s="192"/>
    </row>
    <row r="79" spans="1:6" s="75" customFormat="1" outlineLevel="3" x14ac:dyDescent="0.3">
      <c r="A79" s="26" t="str">
        <f>'БазНорм (обр)'!A71</f>
        <v>Стол ученический</v>
      </c>
      <c r="B79" s="52">
        <f>'БазНорм (обр)'!C71</f>
        <v>0</v>
      </c>
      <c r="C79" s="61">
        <f>'БазНорм (обр)'!J71</f>
        <v>5</v>
      </c>
      <c r="D79" s="122">
        <f>'БазНорм (обр)'!K71</f>
        <v>2768</v>
      </c>
      <c r="E79" s="122">
        <f t="shared" si="0"/>
        <v>0</v>
      </c>
      <c r="F79" s="192"/>
    </row>
    <row r="80" spans="1:6" s="75" customFormat="1" outlineLevel="3" x14ac:dyDescent="0.3">
      <c r="A80" s="26" t="str">
        <f>'БазНорм (обр)'!A72</f>
        <v>Стул офисный</v>
      </c>
      <c r="B80" s="52">
        <f>'БазНорм (обр)'!C72</f>
        <v>0</v>
      </c>
      <c r="C80" s="61">
        <f>'БазНорм (обр)'!J72</f>
        <v>5</v>
      </c>
      <c r="D80" s="122">
        <f>'БазНорм (обр)'!K72</f>
        <v>1830</v>
      </c>
      <c r="E80" s="122">
        <f t="shared" si="0"/>
        <v>0</v>
      </c>
      <c r="F80" s="192"/>
    </row>
    <row r="81" spans="1:6" s="75" customFormat="1" outlineLevel="3" x14ac:dyDescent="0.3">
      <c r="A81" s="26" t="str">
        <f>'БазНорм (обр)'!A73</f>
        <v>Стул ученический</v>
      </c>
      <c r="B81" s="52">
        <f>'БазНорм (обр)'!C73</f>
        <v>0</v>
      </c>
      <c r="C81" s="61">
        <f>'БазНорм (обр)'!J73</f>
        <v>5</v>
      </c>
      <c r="D81" s="122">
        <f>'БазНорм (обр)'!K73</f>
        <v>1222.5333333333333</v>
      </c>
      <c r="E81" s="122">
        <f t="shared" si="0"/>
        <v>0</v>
      </c>
      <c r="F81" s="192"/>
    </row>
    <row r="82" spans="1:6" s="75" customFormat="1" outlineLevel="3" x14ac:dyDescent="0.3">
      <c r="A82" s="26" t="str">
        <f>'БазНорм (обр)'!A74</f>
        <v>Тумба подкатная</v>
      </c>
      <c r="B82" s="52">
        <f>'БазНорм (обр)'!C74</f>
        <v>0</v>
      </c>
      <c r="C82" s="61">
        <f>'БазНорм (обр)'!J74</f>
        <v>5</v>
      </c>
      <c r="D82" s="122">
        <f>'БазНорм (обр)'!K74</f>
        <v>2782.3333333333335</v>
      </c>
      <c r="E82" s="122">
        <f t="shared" ref="E82:E145" si="1">B82/C82*D82</f>
        <v>0</v>
      </c>
      <c r="F82" s="192"/>
    </row>
    <row r="83" spans="1:6" s="75" customFormat="1" outlineLevel="3" x14ac:dyDescent="0.3">
      <c r="A83" s="26" t="str">
        <f>'БазНорм (обр)'!A75</f>
        <v>Скамейка 3- местная</v>
      </c>
      <c r="B83" s="52">
        <f>'БазНорм (обр)'!C75</f>
        <v>0</v>
      </c>
      <c r="C83" s="61">
        <f>'БазНорм (обр)'!J75</f>
        <v>5</v>
      </c>
      <c r="D83" s="122">
        <f>'БазНорм (обр)'!K75</f>
        <v>2249</v>
      </c>
      <c r="E83" s="122">
        <f t="shared" si="1"/>
        <v>0</v>
      </c>
      <c r="F83" s="192"/>
    </row>
    <row r="84" spans="1:6" s="75" customFormat="1" ht="26" outlineLevel="3" x14ac:dyDescent="0.3">
      <c r="A84" s="26" t="str">
        <f>'БазНорм (обр)'!A76</f>
        <v>Скамья для раздевалок одностопрнняя</v>
      </c>
      <c r="B84" s="52">
        <f>'БазНорм (обр)'!C76</f>
        <v>0</v>
      </c>
      <c r="C84" s="61">
        <f>'БазНорм (обр)'!J76</f>
        <v>5</v>
      </c>
      <c r="D84" s="122">
        <f>'БазНорм (обр)'!K76</f>
        <v>12866.666666666666</v>
      </c>
      <c r="E84" s="122">
        <f t="shared" si="1"/>
        <v>0</v>
      </c>
      <c r="F84" s="192"/>
    </row>
    <row r="85" spans="1:6" s="75" customFormat="1" outlineLevel="2" x14ac:dyDescent="0.3">
      <c r="A85" s="26" t="str">
        <f>'БазНорм (обр)'!A77</f>
        <v>Грамоты</v>
      </c>
      <c r="B85" s="52">
        <f>'БазНорм (обр)'!C77</f>
        <v>1.3323730644580483</v>
      </c>
      <c r="C85" s="61">
        <f>'БазНорм (обр)'!J77</f>
        <v>1</v>
      </c>
      <c r="D85" s="122">
        <f>'БазНорм (обр)'!K77</f>
        <v>18.099999999999998</v>
      </c>
      <c r="E85" s="122">
        <f>B85*D85</f>
        <v>24.115952466690672</v>
      </c>
      <c r="F85" s="192"/>
    </row>
    <row r="86" spans="1:6" s="75" customFormat="1" ht="39" outlineLevel="2" x14ac:dyDescent="0.3">
      <c r="A86" s="26" t="str">
        <f>'БазНорм (обр)'!A78</f>
        <v>Медали "За особые успехи в учении", аттестаты, приложения к аттестату</v>
      </c>
      <c r="B86" s="52">
        <f>'БазНорм (обр)'!C78</f>
        <v>0.23646621053895089</v>
      </c>
      <c r="C86" s="61">
        <f>'БазНорм (обр)'!J78</f>
        <v>1</v>
      </c>
      <c r="D86" s="122">
        <f>'БазНорм (обр)'!K78</f>
        <v>0</v>
      </c>
      <c r="E86" s="122">
        <f>B86*D86</f>
        <v>0</v>
      </c>
      <c r="F86" s="192"/>
    </row>
    <row r="87" spans="1:6" ht="30" customHeight="1" outlineLevel="1" x14ac:dyDescent="0.3">
      <c r="A87" s="183" t="s">
        <v>7</v>
      </c>
      <c r="B87" s="183"/>
      <c r="C87" s="183"/>
      <c r="D87" s="183"/>
      <c r="E87" s="73">
        <f>E88+E91+E95+E103+E143</f>
        <v>1215.9051304007137</v>
      </c>
      <c r="F87" s="192"/>
    </row>
    <row r="88" spans="1:6" s="60" customFormat="1" ht="26" outlineLevel="2" x14ac:dyDescent="0.3">
      <c r="A88" s="33" t="s">
        <v>475</v>
      </c>
      <c r="B88" s="51" t="s">
        <v>3</v>
      </c>
      <c r="C88" s="51" t="s">
        <v>3</v>
      </c>
      <c r="D88" s="73" t="s">
        <v>3</v>
      </c>
      <c r="E88" s="123">
        <f>SUM(E89:E90)</f>
        <v>205.99823853891434</v>
      </c>
      <c r="F88" s="192"/>
    </row>
    <row r="89" spans="1:6" s="60" customFormat="1" outlineLevel="3" collapsed="1" x14ac:dyDescent="0.3">
      <c r="A89" s="26" t="str">
        <f>'БазНорм (обр)'!A81</f>
        <v>Вода питьевая</v>
      </c>
      <c r="B89" s="52">
        <f>'БазНорм (обр)'!C81</f>
        <v>10.568766513697677</v>
      </c>
      <c r="C89" s="61">
        <f>'БазНорм (обр)'!J81</f>
        <v>1</v>
      </c>
      <c r="D89" s="122">
        <f>'БазНорм (обр)'!K81</f>
        <v>13.157894736842104</v>
      </c>
      <c r="E89" s="122">
        <f>B89*D89</f>
        <v>139.06271728549572</v>
      </c>
      <c r="F89" s="192"/>
    </row>
    <row r="90" spans="1:6" s="60" customFormat="1" outlineLevel="3" x14ac:dyDescent="0.3">
      <c r="A90" s="26" t="str">
        <f>'БазНорм (обр)'!A82</f>
        <v>Одноразовые стаканы</v>
      </c>
      <c r="B90" s="52">
        <f>'БазНорм (обр)'!C82</f>
        <v>52.843832568488388</v>
      </c>
      <c r="C90" s="61">
        <f>'БазНорм (обр)'!J82</f>
        <v>1</v>
      </c>
      <c r="D90" s="122">
        <f>'БазНорм (обр)'!K82</f>
        <v>1.2666666666666666</v>
      </c>
      <c r="E90" s="122">
        <f>B90*D90</f>
        <v>66.935521253418628</v>
      </c>
      <c r="F90" s="192"/>
    </row>
    <row r="91" spans="1:6" s="60" customFormat="1" outlineLevel="2" x14ac:dyDescent="0.3">
      <c r="A91" s="33" t="s">
        <v>474</v>
      </c>
      <c r="B91" s="51" t="s">
        <v>3</v>
      </c>
      <c r="C91" s="34" t="s">
        <v>3</v>
      </c>
      <c r="D91" s="73" t="s">
        <v>3</v>
      </c>
      <c r="E91" s="123">
        <f>SUM(E92:E94)</f>
        <v>99.922279392450434</v>
      </c>
      <c r="F91" s="192"/>
    </row>
    <row r="92" spans="1:6" s="60" customFormat="1" outlineLevel="3" x14ac:dyDescent="0.3">
      <c r="A92" s="26" t="str">
        <f>'БазНорм (обр)'!A84</f>
        <v>Антивирус</v>
      </c>
      <c r="B92" s="52">
        <f>'БазНорм (обр)'!C84</f>
        <v>0.13906271728549574</v>
      </c>
      <c r="C92" s="61">
        <f>'БазНорм (обр)'!J84</f>
        <v>1</v>
      </c>
      <c r="D92" s="122">
        <f>'БазНорм (обр)'!K84</f>
        <v>464.32</v>
      </c>
      <c r="E92" s="122">
        <f t="shared" si="1"/>
        <v>64.569600890001382</v>
      </c>
      <c r="F92" s="192"/>
    </row>
    <row r="93" spans="1:6" s="60" customFormat="1" outlineLevel="3" x14ac:dyDescent="0.3">
      <c r="A93" s="26" t="str">
        <f>'БазНорм (обр)'!A85</f>
        <v>WebFiltre UserGate</v>
      </c>
      <c r="B93" s="52">
        <f>'БазНорм (обр)'!C85</f>
        <v>0.13906271728549574</v>
      </c>
      <c r="C93" s="61">
        <f>'БазНорм (обр)'!J85</f>
        <v>1</v>
      </c>
      <c r="D93" s="122">
        <f>'БазНорм (обр)'!K85</f>
        <v>238.88777777777776</v>
      </c>
      <c r="E93" s="122">
        <f t="shared" si="1"/>
        <v>33.220383504071442</v>
      </c>
      <c r="F93" s="192"/>
    </row>
    <row r="94" spans="1:6" s="60" customFormat="1" ht="26" outlineLevel="3" x14ac:dyDescent="0.3">
      <c r="A94" s="26" t="str">
        <f>'БазНорм (обр)'!A86</f>
        <v>Сопровождение ПО Vipnet Client</v>
      </c>
      <c r="B94" s="52">
        <f>'БазНорм (обр)'!C86</f>
        <v>1.3906271728549575E-3</v>
      </c>
      <c r="C94" s="61">
        <f>'БазНорм (обр)'!J86</f>
        <v>1</v>
      </c>
      <c r="D94" s="122">
        <f>'БазНорм (обр)'!K86</f>
        <v>1533.3333333333333</v>
      </c>
      <c r="E94" s="122">
        <f t="shared" si="1"/>
        <v>2.1322949983776014</v>
      </c>
      <c r="F94" s="192"/>
    </row>
    <row r="95" spans="1:6" s="60" customFormat="1" ht="26" outlineLevel="2" x14ac:dyDescent="0.3">
      <c r="A95" s="33" t="s">
        <v>65</v>
      </c>
      <c r="B95" s="51" t="s">
        <v>3</v>
      </c>
      <c r="C95" s="34" t="s">
        <v>3</v>
      </c>
      <c r="D95" s="73" t="s">
        <v>3</v>
      </c>
      <c r="E95" s="123">
        <f>SUM(E96:E102)</f>
        <v>610.75159169374228</v>
      </c>
      <c r="F95" s="192"/>
    </row>
    <row r="96" spans="1:6" s="60" customFormat="1" outlineLevel="3" x14ac:dyDescent="0.3">
      <c r="A96" s="26" t="str">
        <f>'БазНорм (обр)'!A88</f>
        <v>Медицинский осмотр</v>
      </c>
      <c r="B96" s="52">
        <f>'БазНорм (обр)'!C88</f>
        <v>3.0593797802809065E-2</v>
      </c>
      <c r="C96" s="61">
        <f>'БазНорм (обр)'!J88</f>
        <v>1</v>
      </c>
      <c r="D96" s="122">
        <f>'БазНорм (обр)'!K88</f>
        <v>4045.8333333333335</v>
      </c>
      <c r="E96" s="122">
        <f t="shared" si="1"/>
        <v>123.77740694386502</v>
      </c>
      <c r="F96" s="192"/>
    </row>
    <row r="97" spans="1:6" s="60" customFormat="1" outlineLevel="3" x14ac:dyDescent="0.3">
      <c r="A97" s="26" t="str">
        <f>'БазНорм (обр)'!A89</f>
        <v>Гигиеническая аттестация</v>
      </c>
      <c r="B97" s="52">
        <f>'БазНорм (обр)'!C89</f>
        <v>0.1015157836184119</v>
      </c>
      <c r="C97" s="61">
        <f>'БазНорм (обр)'!J89</f>
        <v>1</v>
      </c>
      <c r="D97" s="122">
        <f>'БазНорм (обр)'!K89</f>
        <v>570</v>
      </c>
      <c r="E97" s="122">
        <f t="shared" si="1"/>
        <v>57.863996662494785</v>
      </c>
      <c r="F97" s="192"/>
    </row>
    <row r="98" spans="1:6" s="60" customFormat="1" outlineLevel="3" x14ac:dyDescent="0.3">
      <c r="A98" s="26" t="str">
        <f>'БазНорм (обр)'!A90</f>
        <v>Оценка условий труда</v>
      </c>
      <c r="B98" s="52">
        <f>'БазНорм (обр)'!C90</f>
        <v>7.7412513255567333E-2</v>
      </c>
      <c r="C98" s="61">
        <f>'БазНорм (обр)'!J90</f>
        <v>1</v>
      </c>
      <c r="D98" s="122">
        <f>'БазНорм (обр)'!K90</f>
        <v>2200</v>
      </c>
      <c r="E98" s="122">
        <f t="shared" si="1"/>
        <v>170.30752916224813</v>
      </c>
      <c r="F98" s="192"/>
    </row>
    <row r="99" spans="1:6" s="60" customFormat="1" outlineLevel="3" x14ac:dyDescent="0.3">
      <c r="A99" s="26" t="str">
        <f>'БазНорм (обр)'!A91</f>
        <v>Аттестация рабочих мест</v>
      </c>
      <c r="B99" s="52">
        <f>'БазНорм (обр)'!C91</f>
        <v>7.4231177094379638E-2</v>
      </c>
      <c r="C99" s="61">
        <f>'БазНорм (обр)'!J91</f>
        <v>1</v>
      </c>
      <c r="D99" s="122">
        <f>'БазНорм (обр)'!K91</f>
        <v>1800</v>
      </c>
      <c r="E99" s="122">
        <f t="shared" si="1"/>
        <v>133.61611876988334</v>
      </c>
      <c r="F99" s="192"/>
    </row>
    <row r="100" spans="1:6" s="60" customFormat="1" outlineLevel="3" x14ac:dyDescent="0.3">
      <c r="A100" s="26" t="str">
        <f>'БазНорм (обр)'!A92</f>
        <v>Заправка картриджей</v>
      </c>
      <c r="B100" s="52">
        <f>'БазНорм (обр)'!C92</f>
        <v>0.20859407592824364</v>
      </c>
      <c r="C100" s="61">
        <f>'БазНорм (обр)'!J92</f>
        <v>1</v>
      </c>
      <c r="D100" s="122">
        <f>'БазНорм (обр)'!K92</f>
        <v>400</v>
      </c>
      <c r="E100" s="122">
        <f t="shared" si="1"/>
        <v>83.437630371297459</v>
      </c>
      <c r="F100" s="192"/>
    </row>
    <row r="101" spans="1:6" s="60" customFormat="1" outlineLevel="3" x14ac:dyDescent="0.3">
      <c r="A101" s="26" t="str">
        <f>'БазНорм (обр)'!A93</f>
        <v>Приобритение картриджей</v>
      </c>
      <c r="B101" s="52">
        <f>'БазНорм (обр)'!C93</f>
        <v>2.7812543457099152E-2</v>
      </c>
      <c r="C101" s="61">
        <f>'БазНорм (обр)'!J93</f>
        <v>1</v>
      </c>
      <c r="D101" s="122">
        <f>'БазНорм (обр)'!K93</f>
        <v>1408.2820512820515</v>
      </c>
      <c r="E101" s="122">
        <f t="shared" si="1"/>
        <v>39.167905751134796</v>
      </c>
      <c r="F101" s="192"/>
    </row>
    <row r="102" spans="1:6" s="60" customFormat="1" outlineLevel="3" x14ac:dyDescent="0.3">
      <c r="A102" s="26" t="str">
        <f>'БазНорм (обр)'!A94</f>
        <v>Хостинг сайта</v>
      </c>
      <c r="B102" s="52">
        <f>'БазНорм (обр)'!C94</f>
        <v>1.3906271728549575E-3</v>
      </c>
      <c r="C102" s="61">
        <f>'БазНорм (обр)'!J94</f>
        <v>1</v>
      </c>
      <c r="D102" s="122">
        <f>'БазНорм (обр)'!K94</f>
        <v>1856</v>
      </c>
      <c r="E102" s="122">
        <f t="shared" si="1"/>
        <v>2.5810040328188011</v>
      </c>
      <c r="F102" s="192"/>
    </row>
    <row r="103" spans="1:6" s="60" customFormat="1" outlineLevel="2" x14ac:dyDescent="0.3">
      <c r="A103" s="33" t="s">
        <v>66</v>
      </c>
      <c r="B103" s="51" t="s">
        <v>3</v>
      </c>
      <c r="C103" s="34" t="s">
        <v>3</v>
      </c>
      <c r="D103" s="73" t="s">
        <v>3</v>
      </c>
      <c r="E103" s="123">
        <f>SUM(E104:E142)</f>
        <v>287.6069654801239</v>
      </c>
      <c r="F103" s="192"/>
    </row>
    <row r="104" spans="1:6" s="60" customFormat="1" outlineLevel="3" x14ac:dyDescent="0.3">
      <c r="A104" s="26" t="str">
        <f>'БазНорм (обр)'!A96</f>
        <v>Бумага А4</v>
      </c>
      <c r="B104" s="52">
        <f>'БазНорм (обр)'!C96</f>
        <v>0.29692470837751855</v>
      </c>
      <c r="C104" s="61">
        <f>'БазНорм (обр)'!J96</f>
        <v>1</v>
      </c>
      <c r="D104" s="122">
        <f>'БазНорм (обр)'!K96</f>
        <v>246.29333333333338</v>
      </c>
      <c r="E104" s="122">
        <f t="shared" si="1"/>
        <v>73.130576175326979</v>
      </c>
      <c r="F104" s="192"/>
    </row>
    <row r="105" spans="1:6" s="60" customFormat="1" outlineLevel="3" x14ac:dyDescent="0.3">
      <c r="A105" s="26" t="str">
        <f>'БазНорм (обр)'!A97</f>
        <v>Блок для записей</v>
      </c>
      <c r="B105" s="52">
        <f>'БазНорм (обр)'!C97</f>
        <v>6.0016804705317485E-2</v>
      </c>
      <c r="C105" s="61">
        <f>'БазНорм (обр)'!J97</f>
        <v>1</v>
      </c>
      <c r="D105" s="122">
        <f>'БазНорм (обр)'!K97</f>
        <v>93.743333333333325</v>
      </c>
      <c r="E105" s="122">
        <f t="shared" si="1"/>
        <v>5.6261753290921446</v>
      </c>
      <c r="F105" s="192"/>
    </row>
    <row r="106" spans="1:6" s="60" customFormat="1" outlineLevel="3" x14ac:dyDescent="0.3">
      <c r="A106" s="26" t="str">
        <f>'БазНорм (обр)'!A98</f>
        <v>Блок липкий</v>
      </c>
      <c r="B106" s="52">
        <f>'БазНорм (обр)'!C98</f>
        <v>6.0016804705317485E-2</v>
      </c>
      <c r="C106" s="61">
        <f>'БазНорм (обр)'!J98</f>
        <v>1</v>
      </c>
      <c r="D106" s="122">
        <f>'БазНорм (обр)'!K98</f>
        <v>112.23333333333333</v>
      </c>
      <c r="E106" s="122">
        <f t="shared" si="1"/>
        <v>6.7358860480934659</v>
      </c>
      <c r="F106" s="192"/>
    </row>
    <row r="107" spans="1:6" s="60" customFormat="1" outlineLevel="3" x14ac:dyDescent="0.3">
      <c r="A107" s="26" t="str">
        <f>'БазНорм (обр)'!A99</f>
        <v>Мел школьный</v>
      </c>
      <c r="B107" s="52">
        <f>'БазНорм (обр)'!C99</f>
        <v>2.4006721882126995E-2</v>
      </c>
      <c r="C107" s="61">
        <f>'БазНорм (обр)'!J99</f>
        <v>1</v>
      </c>
      <c r="D107" s="122">
        <f>'БазНорм (обр)'!K99</f>
        <v>534</v>
      </c>
      <c r="E107" s="122">
        <f t="shared" si="1"/>
        <v>12.819589485055815</v>
      </c>
      <c r="F107" s="192"/>
    </row>
    <row r="108" spans="1:6" s="60" customFormat="1" outlineLevel="3" x14ac:dyDescent="0.3">
      <c r="A108" s="26" t="str">
        <f>'БазНорм (обр)'!A100</f>
        <v>Ластик (резинка)</v>
      </c>
      <c r="B108" s="52">
        <f>'БазНорм (обр)'!C100</f>
        <v>3.0008402352658742E-2</v>
      </c>
      <c r="C108" s="61">
        <f>'БазНорм (обр)'!J100</f>
        <v>1</v>
      </c>
      <c r="D108" s="122">
        <f>'БазНорм (обр)'!K100</f>
        <v>22.436666666666667</v>
      </c>
      <c r="E108" s="122">
        <f t="shared" si="1"/>
        <v>0.67328852078582002</v>
      </c>
      <c r="F108" s="192"/>
    </row>
    <row r="109" spans="1:6" s="60" customFormat="1" outlineLevel="3" x14ac:dyDescent="0.3">
      <c r="A109" s="26" t="str">
        <f>'БазНорм (обр)'!A101</f>
        <v>Карандаш ч/гр</v>
      </c>
      <c r="B109" s="52">
        <f>'БазНорм (обр)'!C101</f>
        <v>8.402352658744448E-3</v>
      </c>
      <c r="C109" s="61">
        <f>'БазНорм (обр)'!J101</f>
        <v>1</v>
      </c>
      <c r="D109" s="122">
        <f>'БазНорм (обр)'!K101</f>
        <v>16.09</v>
      </c>
      <c r="E109" s="122">
        <f t="shared" si="1"/>
        <v>0.13519385427919817</v>
      </c>
      <c r="F109" s="192"/>
    </row>
    <row r="110" spans="1:6" s="60" customFormat="1" outlineLevel="3" x14ac:dyDescent="0.3">
      <c r="A110" s="26" t="str">
        <f>'БазНорм (обр)'!A102</f>
        <v>Ручка гелевая черная</v>
      </c>
      <c r="B110" s="52">
        <f>'БазНорм (обр)'!C102</f>
        <v>0.14404033129276198</v>
      </c>
      <c r="C110" s="61">
        <f>'БазНорм (обр)'!J102</f>
        <v>1</v>
      </c>
      <c r="D110" s="122">
        <f>'БазНорм (обр)'!K102</f>
        <v>49.300000000000004</v>
      </c>
      <c r="E110" s="122">
        <f t="shared" si="1"/>
        <v>7.101188332733166</v>
      </c>
      <c r="F110" s="192"/>
    </row>
    <row r="111" spans="1:6" s="60" customFormat="1" outlineLevel="3" x14ac:dyDescent="0.3">
      <c r="A111" s="26" t="str">
        <f>'БазНорм (обр)'!A103</f>
        <v>Ручка шариковая</v>
      </c>
      <c r="B111" s="52">
        <f>'БазНорм (обр)'!C103</f>
        <v>6.0016804705317485E-2</v>
      </c>
      <c r="C111" s="61">
        <f>'БазНорм (обр)'!J103</f>
        <v>1</v>
      </c>
      <c r="D111" s="122">
        <f>'БазНорм (обр)'!K103</f>
        <v>26.313333333333333</v>
      </c>
      <c r="E111" s="122">
        <f t="shared" si="1"/>
        <v>1.5792421878125873</v>
      </c>
      <c r="F111" s="192"/>
    </row>
    <row r="112" spans="1:6" s="60" customFormat="1" outlineLevel="3" x14ac:dyDescent="0.3">
      <c r="A112" s="26" t="str">
        <f>'БазНорм (обр)'!A104</f>
        <v>Текстовый маркер</v>
      </c>
      <c r="B112" s="52">
        <f>'БазНорм (обр)'!C104</f>
        <v>5.4015124234785737E-2</v>
      </c>
      <c r="C112" s="61">
        <f>'БазНорм (обр)'!J104</f>
        <v>1</v>
      </c>
      <c r="D112" s="122">
        <f>'БазНорм (обр)'!K104</f>
        <v>43.686666666666667</v>
      </c>
      <c r="E112" s="122">
        <f t="shared" si="1"/>
        <v>2.3597407274036728</v>
      </c>
      <c r="F112" s="192"/>
    </row>
    <row r="113" spans="1:6" s="60" customFormat="1" outlineLevel="3" x14ac:dyDescent="0.3">
      <c r="A113" s="26" t="str">
        <f>'БазНорм (обр)'!A105</f>
        <v>Маркеры для доски</v>
      </c>
      <c r="B113" s="52">
        <f>'БазНорм (обр)'!C105</f>
        <v>0.27812543457099148</v>
      </c>
      <c r="C113" s="61">
        <f>'БазНорм (обр)'!J105</f>
        <v>1</v>
      </c>
      <c r="D113" s="122">
        <f>'БазНорм (обр)'!K105</f>
        <v>275.59999999999997</v>
      </c>
      <c r="E113" s="122">
        <f t="shared" si="1"/>
        <v>76.651369767765246</v>
      </c>
      <c r="F113" s="192"/>
    </row>
    <row r="114" spans="1:6" s="60" customFormat="1" outlineLevel="3" x14ac:dyDescent="0.3">
      <c r="A114" s="26" t="str">
        <f>'БазНорм (обр)'!A106</f>
        <v xml:space="preserve">Корректор </v>
      </c>
      <c r="B114" s="52">
        <f>'БазНорм (обр)'!C106</f>
        <v>2.225003476567932E-2</v>
      </c>
      <c r="C114" s="61">
        <f>'БазНорм (обр)'!J106</f>
        <v>1</v>
      </c>
      <c r="D114" s="122">
        <f>'БазНорм (обр)'!K106</f>
        <v>29.77333333333333</v>
      </c>
      <c r="E114" s="122">
        <f t="shared" si="1"/>
        <v>0.6624577017568255</v>
      </c>
      <c r="F114" s="192"/>
    </row>
    <row r="115" spans="1:6" s="60" customFormat="1" outlineLevel="3" x14ac:dyDescent="0.3">
      <c r="A115" s="26" t="str">
        <f>'БазНорм (обр)'!A107</f>
        <v>Кнопки</v>
      </c>
      <c r="B115" s="52">
        <f>'БазНорм (обр)'!C107</f>
        <v>1.3906271728549576E-2</v>
      </c>
      <c r="C115" s="61">
        <f>'БазНорм (обр)'!J107</f>
        <v>1</v>
      </c>
      <c r="D115" s="122">
        <f>'БазНорм (обр)'!K107</f>
        <v>30.330000000000002</v>
      </c>
      <c r="E115" s="122">
        <f t="shared" si="1"/>
        <v>0.42177722152690866</v>
      </c>
      <c r="F115" s="192"/>
    </row>
    <row r="116" spans="1:6" s="60" customFormat="1" ht="26" outlineLevel="3" x14ac:dyDescent="0.3">
      <c r="A116" s="26" t="str">
        <f>'БазНорм (обр)'!A108</f>
        <v>Разделители листов, картонные</v>
      </c>
      <c r="B116" s="52">
        <f>'БазНорм (обр)'!C108</f>
        <v>6.0016804705317485E-2</v>
      </c>
      <c r="C116" s="61">
        <f>'БазНорм (обр)'!J108</f>
        <v>1</v>
      </c>
      <c r="D116" s="122">
        <f>'БазНорм (обр)'!K108</f>
        <v>199.04</v>
      </c>
      <c r="E116" s="122">
        <f t="shared" si="1"/>
        <v>11.945744808546392</v>
      </c>
      <c r="F116" s="192"/>
    </row>
    <row r="117" spans="1:6" s="60" customFormat="1" ht="26" outlineLevel="3" x14ac:dyDescent="0.3">
      <c r="A117" s="26" t="str">
        <f>'БазНорм (обр)'!A109</f>
        <v>Скоросшиватель пластик 150мкм</v>
      </c>
      <c r="B117" s="52">
        <f>'БазНорм (обр)'!C109</f>
        <v>0.13906271728549574</v>
      </c>
      <c r="C117" s="61">
        <f>'БазНорм (обр)'!J109</f>
        <v>1</v>
      </c>
      <c r="D117" s="122">
        <f>'БазНорм (обр)'!K109</f>
        <v>114.63666666666666</v>
      </c>
      <c r="E117" s="122">
        <f t="shared" si="1"/>
        <v>15.941686367218278</v>
      </c>
      <c r="F117" s="192"/>
    </row>
    <row r="118" spans="1:6" s="60" customFormat="1" outlineLevel="3" x14ac:dyDescent="0.3">
      <c r="A118" s="26" t="str">
        <f>'БазНорм (обр)'!A110</f>
        <v>Файл А4 прозрачный</v>
      </c>
      <c r="B118" s="52">
        <f>'БазНорм (обр)'!C110</f>
        <v>3.5624476110645431</v>
      </c>
      <c r="C118" s="61">
        <f>'БазНорм (обр)'!J110</f>
        <v>1</v>
      </c>
      <c r="D118" s="122">
        <f>'БазНорм (обр)'!K110</f>
        <v>1.51</v>
      </c>
      <c r="E118" s="122">
        <f t="shared" si="1"/>
        <v>5.3792958927074599</v>
      </c>
      <c r="F118" s="192"/>
    </row>
    <row r="119" spans="1:6" s="60" customFormat="1" outlineLevel="3" x14ac:dyDescent="0.3">
      <c r="A119" s="26" t="str">
        <f>'БазНорм (обр)'!A111</f>
        <v xml:space="preserve">Папки файлы </v>
      </c>
      <c r="B119" s="52">
        <f>'БазНорм (обр)'!C111</f>
        <v>3.6010082823190494E-2</v>
      </c>
      <c r="C119" s="61">
        <f>'БазНорм (обр)'!J111</f>
        <v>1</v>
      </c>
      <c r="D119" s="122">
        <f>'БазНорм (обр)'!K111</f>
        <v>129.82666666666668</v>
      </c>
      <c r="E119" s="122">
        <f t="shared" si="1"/>
        <v>4.6750690193254121</v>
      </c>
      <c r="F119" s="192"/>
    </row>
    <row r="120" spans="1:6" s="60" customFormat="1" outlineLevel="3" x14ac:dyDescent="0.3">
      <c r="A120" s="26" t="str">
        <f>'БазНорм (обр)'!A112</f>
        <v xml:space="preserve">Клей-карандаш </v>
      </c>
      <c r="B120" s="52">
        <f>'БазНорм (обр)'!C112</f>
        <v>2.7812543457099152E-2</v>
      </c>
      <c r="C120" s="61">
        <f>'БазНорм (обр)'!J112</f>
        <v>1</v>
      </c>
      <c r="D120" s="122">
        <f>'БазНорм (обр)'!K112</f>
        <v>53.403333333333336</v>
      </c>
      <c r="E120" s="122">
        <f t="shared" si="1"/>
        <v>1.4852825290872851</v>
      </c>
      <c r="F120" s="192"/>
    </row>
    <row r="121" spans="1:6" s="60" customFormat="1" outlineLevel="3" x14ac:dyDescent="0.3">
      <c r="A121" s="26" t="str">
        <f>'БазНорм (обр)'!A113</f>
        <v>Клей ПВА</v>
      </c>
      <c r="B121" s="52">
        <f>'БазНорм (обр)'!C113</f>
        <v>1.3906271728549576E-2</v>
      </c>
      <c r="C121" s="61">
        <f>'БазНорм (обр)'!J113</f>
        <v>1</v>
      </c>
      <c r="D121" s="122">
        <f>'БазНорм (обр)'!K113</f>
        <v>86.553333333333327</v>
      </c>
      <c r="E121" s="122">
        <f t="shared" si="1"/>
        <v>1.203634172345061</v>
      </c>
      <c r="F121" s="192"/>
    </row>
    <row r="122" spans="1:6" s="60" customFormat="1" outlineLevel="3" x14ac:dyDescent="0.3">
      <c r="A122" s="26" t="str">
        <f>'БазНорм (обр)'!A114</f>
        <v>Скотч 19*33</v>
      </c>
      <c r="B122" s="52">
        <f>'БазНорм (обр)'!C114</f>
        <v>2.7242246437552388E-2</v>
      </c>
      <c r="C122" s="61">
        <f>'БазНорм (обр)'!J114</f>
        <v>1</v>
      </c>
      <c r="D122" s="122">
        <f>'БазНорм (обр)'!K114</f>
        <v>47.993333333333332</v>
      </c>
      <c r="E122" s="122">
        <f t="shared" si="1"/>
        <v>1.3074462140262642</v>
      </c>
      <c r="F122" s="192"/>
    </row>
    <row r="123" spans="1:6" s="60" customFormat="1" outlineLevel="3" x14ac:dyDescent="0.3">
      <c r="A123" s="26" t="str">
        <f>'БазНорм (обр)'!A115</f>
        <v>Скотч 50*66</v>
      </c>
      <c r="B123" s="52">
        <f>'БазНорм (обр)'!C115</f>
        <v>2.9337803855825649E-2</v>
      </c>
      <c r="C123" s="61">
        <f>'БазНорм (обр)'!J115</f>
        <v>1</v>
      </c>
      <c r="D123" s="122">
        <f>'БазНорм (обр)'!K115</f>
        <v>92.29</v>
      </c>
      <c r="E123" s="122">
        <f t="shared" si="1"/>
        <v>2.7075859178541495</v>
      </c>
      <c r="F123" s="192"/>
    </row>
    <row r="124" spans="1:6" s="60" customFormat="1" outlineLevel="3" x14ac:dyDescent="0.3">
      <c r="A124" s="26" t="str">
        <f>'БазНорм (обр)'!A116</f>
        <v>Скотч 48*100</v>
      </c>
      <c r="B124" s="52">
        <f>'БазНорм (обр)'!C116</f>
        <v>0</v>
      </c>
      <c r="C124" s="61">
        <f>'БазНорм (обр)'!J116</f>
        <v>1</v>
      </c>
      <c r="D124" s="122">
        <f>'БазНорм (обр)'!K116</f>
        <v>98</v>
      </c>
      <c r="E124" s="122">
        <f t="shared" si="1"/>
        <v>0</v>
      </c>
      <c r="F124" s="192"/>
    </row>
    <row r="125" spans="1:6" s="60" customFormat="1" outlineLevel="3" x14ac:dyDescent="0.3">
      <c r="A125" s="26" t="str">
        <f>'БазНорм (обр)'!A117</f>
        <v>Клейкая лента 48*100</v>
      </c>
      <c r="B125" s="52">
        <f>'БазНорм (обр)'!C117</f>
        <v>2.1606049693914296E-2</v>
      </c>
      <c r="C125" s="61">
        <f>'БазНорм (обр)'!J117</f>
        <v>1</v>
      </c>
      <c r="D125" s="122">
        <f>'БазНорм (обр)'!K117</f>
        <v>85.236666666666665</v>
      </c>
      <c r="E125" s="122">
        <f t="shared" si="1"/>
        <v>1.8416276557436082</v>
      </c>
      <c r="F125" s="192"/>
    </row>
    <row r="126" spans="1:6" s="60" customFormat="1" outlineLevel="3" x14ac:dyDescent="0.3">
      <c r="A126" s="26" t="str">
        <f>'БазНорм (обр)'!A118</f>
        <v>Клейкая лента 48*66</v>
      </c>
      <c r="B126" s="52">
        <f>'БазНорм (обр)'!C118</f>
        <v>0.17382839660686969</v>
      </c>
      <c r="C126" s="61">
        <f>'БазНорм (обр)'!J118</f>
        <v>1</v>
      </c>
      <c r="D126" s="122">
        <f>'БазНорм (обр)'!K118</f>
        <v>79.876666666666665</v>
      </c>
      <c r="E126" s="122">
        <f t="shared" si="1"/>
        <v>13.884832892968062</v>
      </c>
      <c r="F126" s="192"/>
    </row>
    <row r="127" spans="1:6" s="60" customFormat="1" outlineLevel="3" x14ac:dyDescent="0.3">
      <c r="A127" s="26" t="str">
        <f>'БазНорм (обр)'!A119</f>
        <v>Регистратор 50 мм</v>
      </c>
      <c r="B127" s="52">
        <f>'БазНорм (обр)'!C119</f>
        <v>3.143336127409891E-2</v>
      </c>
      <c r="C127" s="61">
        <f>'БазНорм (обр)'!J119</f>
        <v>1</v>
      </c>
      <c r="D127" s="122">
        <f>'БазНорм (обр)'!K119</f>
        <v>162.49333333333334</v>
      </c>
      <c r="E127" s="122">
        <f t="shared" si="1"/>
        <v>5.1077116512992458</v>
      </c>
      <c r="F127" s="192"/>
    </row>
    <row r="128" spans="1:6" s="60" customFormat="1" ht="26" outlineLevel="3" x14ac:dyDescent="0.3">
      <c r="A128" s="26" t="str">
        <f>'БазНорм (обр)'!A120</f>
        <v>Накопитель документов Лоток-коробка 150мм</v>
      </c>
      <c r="B128" s="52">
        <f>'БазНорм (обр)'!C120</f>
        <v>1.2003360941063497E-2</v>
      </c>
      <c r="C128" s="61">
        <f>'БазНорм (обр)'!J120</f>
        <v>1</v>
      </c>
      <c r="D128" s="122">
        <f>'БазНорм (обр)'!K120</f>
        <v>76.953333333333333</v>
      </c>
      <c r="E128" s="122">
        <f t="shared" si="1"/>
        <v>0.92369863561797305</v>
      </c>
      <c r="F128" s="192"/>
    </row>
    <row r="129" spans="1:6" s="60" customFormat="1" ht="26" outlineLevel="3" x14ac:dyDescent="0.3">
      <c r="A129" s="26" t="str">
        <f>'БазНорм (обр)'!A121</f>
        <v>Накопитель документов Лоток-коробка 75мм</v>
      </c>
      <c r="B129" s="52">
        <f>'БазНорм (обр)'!C121</f>
        <v>2.4006721882126995E-2</v>
      </c>
      <c r="C129" s="61">
        <f>'БазНорм (обр)'!J121</f>
        <v>1</v>
      </c>
      <c r="D129" s="122">
        <f>'БазНорм (обр)'!K121</f>
        <v>50.306666666666672</v>
      </c>
      <c r="E129" s="122">
        <f t="shared" si="1"/>
        <v>1.2076981554835355</v>
      </c>
      <c r="F129" s="192"/>
    </row>
    <row r="130" spans="1:6" s="60" customFormat="1" outlineLevel="3" x14ac:dyDescent="0.3">
      <c r="A130" s="26" t="str">
        <f>'БазНорм (обр)'!A122</f>
        <v>Тетрадь 48л.</v>
      </c>
      <c r="B130" s="52">
        <f>'БазНорм (обр)'!C122</f>
        <v>3.6010082823190494E-3</v>
      </c>
      <c r="C130" s="61">
        <f>'БазНорм (обр)'!J122</f>
        <v>1</v>
      </c>
      <c r="D130" s="122">
        <f>'БазНорм (обр)'!K122</f>
        <v>33.536666666666669</v>
      </c>
      <c r="E130" s="122">
        <f t="shared" si="1"/>
        <v>0.12076581442803987</v>
      </c>
      <c r="F130" s="192"/>
    </row>
    <row r="131" spans="1:6" s="60" customFormat="1" outlineLevel="3" x14ac:dyDescent="0.3">
      <c r="A131" s="26" t="str">
        <f>'БазНорм (обр)'!A123</f>
        <v>Скрепки 28 мм</v>
      </c>
      <c r="B131" s="52">
        <f>'БазНорм (обр)'!C123</f>
        <v>2.7812543457099152E-2</v>
      </c>
      <c r="C131" s="61">
        <f>'БазНорм (обр)'!J123</f>
        <v>1</v>
      </c>
      <c r="D131" s="122">
        <f>'БазНорм (обр)'!K123</f>
        <v>35.979999999999997</v>
      </c>
      <c r="E131" s="122">
        <f t="shared" si="1"/>
        <v>1.0006953135864274</v>
      </c>
      <c r="F131" s="192"/>
    </row>
    <row r="132" spans="1:6" s="60" customFormat="1" outlineLevel="3" x14ac:dyDescent="0.3">
      <c r="A132" s="26" t="str">
        <f>'БазНорм (обр)'!A124</f>
        <v>Скобы № 10</v>
      </c>
      <c r="B132" s="52">
        <f>'БазНорм (обр)'!C124</f>
        <v>4.8013443764253989E-2</v>
      </c>
      <c r="C132" s="61">
        <f>'БазНорм (обр)'!J124</f>
        <v>1</v>
      </c>
      <c r="D132" s="122">
        <f>'БазНорм (обр)'!K124</f>
        <v>26.26</v>
      </c>
      <c r="E132" s="122">
        <f t="shared" si="1"/>
        <v>1.2608330332493098</v>
      </c>
      <c r="F132" s="192"/>
    </row>
    <row r="133" spans="1:6" s="60" customFormat="1" outlineLevel="3" x14ac:dyDescent="0.3">
      <c r="A133" s="26" t="str">
        <f>'БазНорм (обр)'!A125</f>
        <v>Скобы № 24</v>
      </c>
      <c r="B133" s="52">
        <f>'БазНорм (обр)'!C125</f>
        <v>2.4006721882126995E-2</v>
      </c>
      <c r="C133" s="61">
        <f>'БазНорм (обр)'!J125</f>
        <v>1</v>
      </c>
      <c r="D133" s="122">
        <f>'БазНорм (обр)'!K125</f>
        <v>45.336666666666666</v>
      </c>
      <c r="E133" s="122">
        <f t="shared" si="1"/>
        <v>1.0883847477293642</v>
      </c>
      <c r="F133" s="192"/>
    </row>
    <row r="134" spans="1:6" s="60" customFormat="1" outlineLevel="3" x14ac:dyDescent="0.3">
      <c r="A134" s="26" t="str">
        <f>'БазНорм (обр)'!A126</f>
        <v>Папка с файлами</v>
      </c>
      <c r="B134" s="52">
        <f>'БазНорм (обр)'!C126</f>
        <v>6.953135864274787E-2</v>
      </c>
      <c r="C134" s="61">
        <f>'БазНорм (обр)'!J126</f>
        <v>1</v>
      </c>
      <c r="D134" s="122">
        <f>'БазНорм (обр)'!K126</f>
        <v>190.79333333333332</v>
      </c>
      <c r="E134" s="122">
        <f t="shared" si="1"/>
        <v>13.266119686645341</v>
      </c>
      <c r="F134" s="192"/>
    </row>
    <row r="135" spans="1:6" s="60" customFormat="1" outlineLevel="3" x14ac:dyDescent="0.3">
      <c r="A135" s="26" t="str">
        <f>'БазНорм (обр)'!A127</f>
        <v>Папка - регистратор</v>
      </c>
      <c r="B135" s="52">
        <f>'БазНорм (обр)'!C127</f>
        <v>4.1718815185648725E-2</v>
      </c>
      <c r="C135" s="61">
        <f>'БазНорм (обр)'!J127</f>
        <v>1</v>
      </c>
      <c r="D135" s="122">
        <f>'БазНорм (обр)'!K127</f>
        <v>158.69666666666666</v>
      </c>
      <c r="E135" s="122">
        <f t="shared" si="1"/>
        <v>6.6206369072451672</v>
      </c>
      <c r="F135" s="192"/>
    </row>
    <row r="136" spans="1:6" s="60" customFormat="1" outlineLevel="3" x14ac:dyDescent="0.3">
      <c r="A136" s="26" t="str">
        <f>'БазНорм (обр)'!A128</f>
        <v>Папка - уголок</v>
      </c>
      <c r="B136" s="52">
        <f>'БазНорм (обр)'!C128</f>
        <v>6.953135864274787E-2</v>
      </c>
      <c r="C136" s="61">
        <f>'БазНорм (обр)'!J128</f>
        <v>1</v>
      </c>
      <c r="D136" s="122">
        <f>'БазНорм (обр)'!K128</f>
        <v>12.046666666666667</v>
      </c>
      <c r="E136" s="122">
        <f t="shared" si="1"/>
        <v>0.837621100449636</v>
      </c>
      <c r="F136" s="192"/>
    </row>
    <row r="137" spans="1:6" s="60" customFormat="1" outlineLevel="3" x14ac:dyDescent="0.3">
      <c r="A137" s="26" t="str">
        <f>'БазНорм (обр)'!A129</f>
        <v>Папка с завязками карт</v>
      </c>
      <c r="B137" s="52">
        <f>'БазНорм (обр)'!C129</f>
        <v>0.13906271728549574</v>
      </c>
      <c r="C137" s="61">
        <f>'БазНорм (обр)'!J129</f>
        <v>1</v>
      </c>
      <c r="D137" s="122">
        <f>'БазНорм (обр)'!K129</f>
        <v>8.98</v>
      </c>
      <c r="E137" s="122">
        <f t="shared" si="1"/>
        <v>1.2487832012237519</v>
      </c>
      <c r="F137" s="192"/>
    </row>
    <row r="138" spans="1:6" s="60" customFormat="1" outlineLevel="3" x14ac:dyDescent="0.3">
      <c r="A138" s="26" t="str">
        <f>'БазНорм (обр)'!A130</f>
        <v>Папка с мет. приж. 0,6 мм</v>
      </c>
      <c r="B138" s="52">
        <f>'БазНорм (обр)'!C130</f>
        <v>2.4006721882126995E-2</v>
      </c>
      <c r="C138" s="61">
        <f>'БазНорм (обр)'!J130</f>
        <v>1</v>
      </c>
      <c r="D138" s="122">
        <f>'БазНорм (обр)'!K130</f>
        <v>92.06</v>
      </c>
      <c r="E138" s="122">
        <f t="shared" si="1"/>
        <v>2.210058816468611</v>
      </c>
      <c r="F138" s="192"/>
    </row>
    <row r="139" spans="1:6" s="60" customFormat="1" outlineLevel="3" x14ac:dyDescent="0.3">
      <c r="A139" s="26" t="str">
        <f>'БазНорм (обр)'!A131</f>
        <v>Папка с мет. приж 0,7мм</v>
      </c>
      <c r="B139" s="52">
        <f>'БазНорм (обр)'!C131</f>
        <v>1.2003360941063497E-2</v>
      </c>
      <c r="C139" s="61">
        <f>'БазНорм (обр)'!J131</f>
        <v>1</v>
      </c>
      <c r="D139" s="122">
        <f>'БазНорм (обр)'!K131</f>
        <v>97.14</v>
      </c>
      <c r="E139" s="122">
        <f t="shared" si="1"/>
        <v>1.1660064818149081</v>
      </c>
      <c r="F139" s="192"/>
    </row>
    <row r="140" spans="1:6" s="60" customFormat="1" outlineLevel="3" x14ac:dyDescent="0.3">
      <c r="A140" s="26" t="str">
        <f>'БазНорм (обр)'!A132</f>
        <v>Нож канцелярский</v>
      </c>
      <c r="B140" s="52">
        <f>'БазНорм (обр)'!C132</f>
        <v>1.3906271728549576E-2</v>
      </c>
      <c r="C140" s="61">
        <f>'БазНорм (обр)'!J132</f>
        <v>1</v>
      </c>
      <c r="D140" s="122">
        <f>'БазНорм (обр)'!K132</f>
        <v>68.13</v>
      </c>
      <c r="E140" s="122">
        <f t="shared" si="1"/>
        <v>0.94743429286608261</v>
      </c>
      <c r="F140" s="192"/>
    </row>
    <row r="141" spans="1:6" s="60" customFormat="1" outlineLevel="3" x14ac:dyDescent="0.3">
      <c r="A141" s="26" t="str">
        <f>'БазНорм (обр)'!A133</f>
        <v>Ножницы канц.</v>
      </c>
      <c r="B141" s="52">
        <f>'БазНорм (обр)'!C133</f>
        <v>6.9531358642747881E-3</v>
      </c>
      <c r="C141" s="61">
        <f>'БазНорм (обр)'!J133</f>
        <v>1</v>
      </c>
      <c r="D141" s="122">
        <f>'БазНорм (обр)'!K133</f>
        <v>99.089999999999989</v>
      </c>
      <c r="E141" s="122">
        <f t="shared" si="1"/>
        <v>0.6889862327909887</v>
      </c>
      <c r="F141" s="192"/>
    </row>
    <row r="142" spans="1:6" s="60" customFormat="1" outlineLevel="3" x14ac:dyDescent="0.3">
      <c r="A142" s="26" t="str">
        <f>'БазНорм (обр)'!A134</f>
        <v>Степлер</v>
      </c>
      <c r="B142" s="52">
        <f>'БазНорм (обр)'!C134</f>
        <v>6.9531358642747881E-3</v>
      </c>
      <c r="C142" s="61">
        <f>'БазНорм (обр)'!J134</f>
        <v>1</v>
      </c>
      <c r="D142" s="122">
        <f>'БазНорм (обр)'!K134</f>
        <v>236.27333333333331</v>
      </c>
      <c r="E142" s="122">
        <f t="shared" si="1"/>
        <v>1.6428405877717516</v>
      </c>
      <c r="F142" s="192"/>
    </row>
    <row r="143" spans="1:6" s="60" customFormat="1" outlineLevel="2" x14ac:dyDescent="0.3">
      <c r="A143" s="33" t="s">
        <v>67</v>
      </c>
      <c r="B143" s="51" t="s">
        <v>3</v>
      </c>
      <c r="C143" s="34" t="s">
        <v>3</v>
      </c>
      <c r="D143" s="73" t="s">
        <v>3</v>
      </c>
      <c r="E143" s="123">
        <f>SUM(E144:E161)</f>
        <v>11.626055295482733</v>
      </c>
      <c r="F143" s="192"/>
    </row>
    <row r="144" spans="1:6" s="60" customFormat="1" outlineLevel="3" x14ac:dyDescent="0.3">
      <c r="A144" s="26" t="str">
        <f>'БазНорм (обр)'!A136</f>
        <v>Йод р-р 5%-10 мл.</v>
      </c>
      <c r="B144" s="52">
        <f>'БазНорм (обр)'!C136</f>
        <v>2.4006721882126995E-2</v>
      </c>
      <c r="C144" s="61">
        <f>'БазНорм (обр)'!J136</f>
        <v>1</v>
      </c>
      <c r="D144" s="122">
        <f>'БазНорм (обр)'!K136</f>
        <v>10.666666666666666</v>
      </c>
      <c r="E144" s="122">
        <f t="shared" si="1"/>
        <v>0.25607170007602126</v>
      </c>
      <c r="F144" s="192"/>
    </row>
    <row r="145" spans="1:6" s="60" customFormat="1" outlineLevel="3" x14ac:dyDescent="0.3">
      <c r="A145" s="26" t="str">
        <f>'БазНорм (обр)'!A137</f>
        <v>Перекись водорода 3% 40 мл.</v>
      </c>
      <c r="B145" s="52">
        <f>'БазНорм (обр)'!C137</f>
        <v>3.6010082823190494E-2</v>
      </c>
      <c r="C145" s="61">
        <f>'БазНорм (обр)'!J137</f>
        <v>1</v>
      </c>
      <c r="D145" s="122">
        <f>'БазНорм (обр)'!K137</f>
        <v>6.666666666666667</v>
      </c>
      <c r="E145" s="122">
        <f t="shared" si="1"/>
        <v>0.24006721882126997</v>
      </c>
      <c r="F145" s="192"/>
    </row>
    <row r="146" spans="1:6" s="60" customFormat="1" outlineLevel="3" x14ac:dyDescent="0.3">
      <c r="A146" s="26" t="str">
        <f>'БазНорм (обр)'!A138</f>
        <v>Аммиака р-р-100 мл</v>
      </c>
      <c r="B146" s="52">
        <f>'БазНорм (обр)'!C138</f>
        <v>3.6010082823190494E-3</v>
      </c>
      <c r="C146" s="61">
        <f>'БазНорм (обр)'!J138</f>
        <v>1</v>
      </c>
      <c r="D146" s="122">
        <f>'БазНорм (обр)'!K138</f>
        <v>26</v>
      </c>
      <c r="E146" s="122">
        <f t="shared" ref="E146:E161" si="2">B146/C146*D146</f>
        <v>9.3626215340295277E-2</v>
      </c>
      <c r="F146" s="192"/>
    </row>
    <row r="147" spans="1:6" s="60" customFormat="1" ht="26" outlineLevel="3" x14ac:dyDescent="0.3">
      <c r="A147" s="26" t="str">
        <f>'БазНорм (обр)'!A139</f>
        <v>Уголь активированный 250мг №10</v>
      </c>
      <c r="B147" s="52">
        <f>'БазНорм (обр)'!C139</f>
        <v>1.2003360941063497E-2</v>
      </c>
      <c r="C147" s="61">
        <f>'БазНорм (обр)'!J139</f>
        <v>1</v>
      </c>
      <c r="D147" s="122">
        <f>'БазНорм (обр)'!K139</f>
        <v>8</v>
      </c>
      <c r="E147" s="122">
        <f t="shared" si="2"/>
        <v>9.6026887528507979E-2</v>
      </c>
      <c r="F147" s="192"/>
    </row>
    <row r="148" spans="1:6" s="60" customFormat="1" outlineLevel="3" x14ac:dyDescent="0.3">
      <c r="A148" s="26" t="str">
        <f>'БазНорм (обр)'!A140</f>
        <v>Бинт стерильный 5*10 см</v>
      </c>
      <c r="B148" s="52">
        <f>'БазНорм (обр)'!C140</f>
        <v>4.2011763293722242E-2</v>
      </c>
      <c r="C148" s="61">
        <f>'БазНорм (обр)'!J140</f>
        <v>1</v>
      </c>
      <c r="D148" s="122">
        <f>'БазНорм (обр)'!K140</f>
        <v>17</v>
      </c>
      <c r="E148" s="122">
        <f t="shared" si="2"/>
        <v>0.71419997599327811</v>
      </c>
      <c r="F148" s="192"/>
    </row>
    <row r="149" spans="1:6" s="60" customFormat="1" outlineLevel="3" x14ac:dyDescent="0.3">
      <c r="A149" s="26" t="str">
        <f>'БазНорм (обр)'!A141</f>
        <v>Бинт стерильный 7-14 см</v>
      </c>
      <c r="B149" s="52">
        <f>'БазНорм (обр)'!C141</f>
        <v>4.2011763293722242E-2</v>
      </c>
      <c r="C149" s="61">
        <f>'БазНорм (обр)'!J141</f>
        <v>1</v>
      </c>
      <c r="D149" s="122">
        <f>'БазНорм (обр)'!K141</f>
        <v>32</v>
      </c>
      <c r="E149" s="122">
        <f t="shared" si="2"/>
        <v>1.3443764253991117</v>
      </c>
      <c r="F149" s="192"/>
    </row>
    <row r="150" spans="1:6" s="60" customFormat="1" outlineLevel="3" x14ac:dyDescent="0.3">
      <c r="A150" s="26" t="str">
        <f>'БазНорм (обр)'!A142</f>
        <v>Вата хирург. стерильн. 250г</v>
      </c>
      <c r="B150" s="52">
        <f>'БазНорм (обр)'!C142</f>
        <v>2.4006721882126993E-3</v>
      </c>
      <c r="C150" s="61">
        <f>'БазНорм (обр)'!J142</f>
        <v>1</v>
      </c>
      <c r="D150" s="122">
        <f>'БазНорм (обр)'!K142</f>
        <v>115.33333333333333</v>
      </c>
      <c r="E150" s="122">
        <f t="shared" si="2"/>
        <v>0.27687752570719798</v>
      </c>
      <c r="F150" s="192"/>
    </row>
    <row r="151" spans="1:6" s="60" customFormat="1" ht="26" outlineLevel="3" x14ac:dyDescent="0.3">
      <c r="A151" s="26" t="str">
        <f>'БазНорм (обр)'!A143</f>
        <v>Салфетки стрерильные 16*14 №20</v>
      </c>
      <c r="B151" s="52">
        <f>'БазНорм (обр)'!C143</f>
        <v>2.4006721882126995E-2</v>
      </c>
      <c r="C151" s="61">
        <f>'БазНорм (обр)'!J143</f>
        <v>1</v>
      </c>
      <c r="D151" s="122">
        <f>'БазНорм (обр)'!K143</f>
        <v>30</v>
      </c>
      <c r="E151" s="122">
        <f t="shared" si="2"/>
        <v>0.72020165646380985</v>
      </c>
      <c r="F151" s="192"/>
    </row>
    <row r="152" spans="1:6" s="60" customFormat="1" outlineLevel="3" x14ac:dyDescent="0.3">
      <c r="A152" s="26" t="str">
        <f>'БазНорм (обр)'!A144</f>
        <v>Л/пласт. бактериц. 2,5*7,2 №1</v>
      </c>
      <c r="B152" s="52">
        <f>'БазНорм (обр)'!C144</f>
        <v>0.24006721882126994</v>
      </c>
      <c r="C152" s="61">
        <f>'БазНорм (обр)'!J144</f>
        <v>1</v>
      </c>
      <c r="D152" s="122">
        <f>'БазНорм (обр)'!K144</f>
        <v>3.5</v>
      </c>
      <c r="E152" s="122">
        <f t="shared" si="2"/>
        <v>0.84023526587444475</v>
      </c>
      <c r="F152" s="192"/>
    </row>
    <row r="153" spans="1:6" s="60" customFormat="1" outlineLevel="3" x14ac:dyDescent="0.3">
      <c r="A153" s="26" t="str">
        <f>'БазНорм (обр)'!A145</f>
        <v>Л/пласт,3*500</v>
      </c>
      <c r="B153" s="52">
        <f>'БазНорм (обр)'!C145</f>
        <v>2.4006721882126993E-3</v>
      </c>
      <c r="C153" s="61">
        <f>'БазНорм (обр)'!J145</f>
        <v>1</v>
      </c>
      <c r="D153" s="122">
        <f>'БазНорм (обр)'!K145</f>
        <v>37.666666666666664</v>
      </c>
      <c r="E153" s="122">
        <f t="shared" si="2"/>
        <v>9.0425319089345008E-2</v>
      </c>
      <c r="F153" s="192"/>
    </row>
    <row r="154" spans="1:6" s="60" customFormat="1" outlineLevel="3" x14ac:dyDescent="0.3">
      <c r="A154" s="26" t="str">
        <f>'БазНорм (обр)'!A146</f>
        <v>Маска трехсл.мед.№50</v>
      </c>
      <c r="B154" s="52">
        <f>'БазНорм (обр)'!C146</f>
        <v>2.4006721882126993E-3</v>
      </c>
      <c r="C154" s="61">
        <f>'БазНорм (обр)'!J146</f>
        <v>1</v>
      </c>
      <c r="D154" s="122">
        <f>'БазНорм (обр)'!K146</f>
        <v>150</v>
      </c>
      <c r="E154" s="122">
        <f t="shared" si="2"/>
        <v>0.36010082823190487</v>
      </c>
      <c r="F154" s="192"/>
    </row>
    <row r="155" spans="1:6" s="60" customFormat="1" outlineLevel="3" x14ac:dyDescent="0.3">
      <c r="A155" s="26" t="str">
        <f>'БазНорм (обр)'!A147</f>
        <v>Губка гемостатическая 5*5</v>
      </c>
      <c r="B155" s="52">
        <f>'БазНорм (обр)'!C147</f>
        <v>2.4006721882126993E-3</v>
      </c>
      <c r="C155" s="61">
        <f>'БазНорм (обр)'!J147</f>
        <v>1</v>
      </c>
      <c r="D155" s="122">
        <f>'БазНорм (обр)'!K147</f>
        <v>110</v>
      </c>
      <c r="E155" s="122">
        <f t="shared" si="2"/>
        <v>0.2640739407033969</v>
      </c>
      <c r="F155" s="192"/>
    </row>
    <row r="156" spans="1:6" s="60" customFormat="1" outlineLevel="3" x14ac:dyDescent="0.3">
      <c r="A156" s="26" t="str">
        <f>'БазНорм (обр)'!A148</f>
        <v>Левомеколь мазь 40г.</v>
      </c>
      <c r="B156" s="52">
        <f>'БазНорм (обр)'!C148</f>
        <v>3.6010082823190494E-3</v>
      </c>
      <c r="C156" s="61">
        <f>'БазНорм (обр)'!J148</f>
        <v>1</v>
      </c>
      <c r="D156" s="122">
        <f>'БазНорм (обр)'!K148</f>
        <v>150</v>
      </c>
      <c r="E156" s="122">
        <f t="shared" si="2"/>
        <v>0.54015124234785739</v>
      </c>
      <c r="F156" s="192"/>
    </row>
    <row r="157" spans="1:6" s="60" customFormat="1" outlineLevel="3" x14ac:dyDescent="0.3">
      <c r="A157" s="26" t="str">
        <f>'БазНорм (обр)'!A149</f>
        <v>Напальчник резиновый №5</v>
      </c>
      <c r="B157" s="52">
        <f>'БазНорм (обр)'!C149</f>
        <v>9.6026887528507972E-3</v>
      </c>
      <c r="C157" s="61">
        <f>'БазНорм (обр)'!J149</f>
        <v>1</v>
      </c>
      <c r="D157" s="122">
        <f>'БазНорм (обр)'!K149</f>
        <v>15</v>
      </c>
      <c r="E157" s="122">
        <f t="shared" si="2"/>
        <v>0.14404033129276195</v>
      </c>
      <c r="F157" s="192"/>
    </row>
    <row r="158" spans="1:6" s="60" customFormat="1" outlineLevel="3" x14ac:dyDescent="0.3">
      <c r="A158" s="26" t="str">
        <f>'БазНорм (обр)'!A150</f>
        <v>Пакет гипотермич. "Снежок"</v>
      </c>
      <c r="B158" s="52">
        <f>'БазНорм (обр)'!C150</f>
        <v>0.18005041411595246</v>
      </c>
      <c r="C158" s="61">
        <f>'БазНорм (обр)'!J150</f>
        <v>1</v>
      </c>
      <c r="D158" s="122">
        <f>'БазНорм (обр)'!K150</f>
        <v>23</v>
      </c>
      <c r="E158" s="122">
        <f t="shared" si="2"/>
        <v>4.1411595246669064</v>
      </c>
      <c r="F158" s="192"/>
    </row>
    <row r="159" spans="1:6" s="60" customFormat="1" outlineLevel="3" x14ac:dyDescent="0.3">
      <c r="A159" s="26" t="str">
        <f>'БазНорм (обр)'!A151</f>
        <v>Сульфацил-натрия 20%-5мл</v>
      </c>
      <c r="B159" s="52">
        <f>'БазНорм (обр)'!C151</f>
        <v>4.8013443764253986E-3</v>
      </c>
      <c r="C159" s="61">
        <f>'БазНорм (обр)'!J151</f>
        <v>1</v>
      </c>
      <c r="D159" s="122">
        <f>'БазНорм (обр)'!K151</f>
        <v>90</v>
      </c>
      <c r="E159" s="122">
        <f t="shared" si="2"/>
        <v>0.4321209938782859</v>
      </c>
      <c r="F159" s="192"/>
    </row>
    <row r="160" spans="1:6" s="60" customFormat="1" outlineLevel="3" x14ac:dyDescent="0.3">
      <c r="A160" s="26" t="str">
        <f>'БазНорм (обр)'!A152</f>
        <v>Перчатки латексные хир.стер.</v>
      </c>
      <c r="B160" s="52">
        <f>'БазНорм (обр)'!C152</f>
        <v>2.4006721882126995E-2</v>
      </c>
      <c r="C160" s="61">
        <f>'БазНорм (обр)'!J152</f>
        <v>1</v>
      </c>
      <c r="D160" s="122">
        <f>'БазНорм (обр)'!K152</f>
        <v>40</v>
      </c>
      <c r="E160" s="122">
        <f t="shared" si="2"/>
        <v>0.96026887528507976</v>
      </c>
      <c r="F160" s="192"/>
    </row>
    <row r="161" spans="1:6" s="60" customFormat="1" ht="26" outlineLevel="3" x14ac:dyDescent="0.3">
      <c r="A161" s="26" t="str">
        <f>'БазНорм (обр)'!A153</f>
        <v>Бриллиантовый зелен. 1%-10мл</v>
      </c>
      <c r="B161" s="52">
        <f>'БазНорм (обр)'!C153</f>
        <v>1.2003360941063497E-2</v>
      </c>
      <c r="C161" s="61">
        <f>'БазНорм (обр)'!J153</f>
        <v>1</v>
      </c>
      <c r="D161" s="122">
        <f>'БазНорм (обр)'!K153</f>
        <v>9.3333333333333339</v>
      </c>
      <c r="E161" s="122">
        <f t="shared" si="2"/>
        <v>0.11203136878325931</v>
      </c>
      <c r="F161" s="192"/>
    </row>
    <row r="162" spans="1:6" ht="30" customHeight="1" x14ac:dyDescent="0.3">
      <c r="A162" s="183" t="s">
        <v>11</v>
      </c>
      <c r="B162" s="183"/>
      <c r="C162" s="183"/>
      <c r="D162" s="183"/>
      <c r="E162" s="73">
        <f>E163+E172+E202+E204+E208+E212+E216+E213</f>
        <v>7800.7254723867909</v>
      </c>
      <c r="F162" s="192"/>
    </row>
    <row r="163" spans="1:6" ht="30" customHeight="1" outlineLevel="1" x14ac:dyDescent="0.3">
      <c r="A163" s="183" t="s">
        <v>12</v>
      </c>
      <c r="B163" s="183"/>
      <c r="C163" s="183"/>
      <c r="D163" s="183"/>
      <c r="E163" s="73">
        <f>SUM(E164:E171)</f>
        <v>6229.999088016968</v>
      </c>
      <c r="F163" s="192"/>
    </row>
    <row r="164" spans="1:6" outlineLevel="2" x14ac:dyDescent="0.3">
      <c r="A164" s="26" t="str">
        <f>'БазНорм (обр)'!A156</f>
        <v>Теплоэнергия (город)</v>
      </c>
      <c r="B164" s="52">
        <f>'БазНорм (обр)'!C156</f>
        <v>1.6197030752916226</v>
      </c>
      <c r="C164" s="61">
        <f>'БазНорм (обр)'!J156</f>
        <v>1</v>
      </c>
      <c r="D164" s="122">
        <f>'БазНорм (обр)'!K156</f>
        <v>3101.7699982977383</v>
      </c>
      <c r="E164" s="68">
        <f t="shared" ref="E164:E171" si="3">B164*D164</f>
        <v>5023.9464050901379</v>
      </c>
      <c r="F164" s="192"/>
    </row>
    <row r="165" spans="1:6" outlineLevel="2" x14ac:dyDescent="0.3">
      <c r="A165" s="26" t="str">
        <f>'БазНорм (обр)'!A157</f>
        <v>Теплоэнергия в горячей воде</v>
      </c>
      <c r="B165" s="52">
        <f>'БазНорм (обр)'!C157</f>
        <v>0</v>
      </c>
      <c r="C165" s="61">
        <f>'БазНорм (обр)'!J157</f>
        <v>1</v>
      </c>
      <c r="D165" s="122">
        <f>'БазНорм (обр)'!K157</f>
        <v>0</v>
      </c>
      <c r="E165" s="68">
        <f t="shared" si="3"/>
        <v>0</v>
      </c>
      <c r="F165" s="192"/>
    </row>
    <row r="166" spans="1:6" outlineLevel="2" x14ac:dyDescent="0.3">
      <c r="A166" s="26" t="str">
        <f>'БазНорм (обр)'!A158</f>
        <v>Теплоноситель</v>
      </c>
      <c r="B166" s="52">
        <f>'БазНорм (обр)'!C158</f>
        <v>3.4638388123011667</v>
      </c>
      <c r="C166" s="61">
        <f>'БазНорм (обр)'!J158</f>
        <v>1</v>
      </c>
      <c r="D166" s="122">
        <f>'БазНорм (обр)'!K158</f>
        <v>19.370000612294881</v>
      </c>
      <c r="E166" s="68">
        <f t="shared" si="3"/>
        <v>67.094559915164368</v>
      </c>
      <c r="F166" s="192"/>
    </row>
    <row r="167" spans="1:6" outlineLevel="2" x14ac:dyDescent="0.3">
      <c r="A167" s="26" t="str">
        <f>'БазНорм (обр)'!A159</f>
        <v>Электроэнергия (до 150)</v>
      </c>
      <c r="B167" s="52">
        <f>'БазНорм (обр)'!C159</f>
        <v>113.65853658536585</v>
      </c>
      <c r="C167" s="61">
        <f>'БазНорм (обр)'!J159</f>
        <v>1</v>
      </c>
      <c r="D167" s="122">
        <f>'БазНорм (обр)'!K159</f>
        <v>5.23</v>
      </c>
      <c r="E167" s="68">
        <f t="shared" si="3"/>
        <v>594.43414634146347</v>
      </c>
      <c r="F167" s="192"/>
    </row>
    <row r="168" spans="1:6" ht="26" outlineLevel="2" x14ac:dyDescent="0.3">
      <c r="A168" s="26" t="str">
        <f>'БазНорм (обр)'!A160</f>
        <v>Электроэнергия (от 150 до 670)</v>
      </c>
      <c r="B168" s="52">
        <f>'БазНорм (обр)'!C160</f>
        <v>57.739130434782609</v>
      </c>
      <c r="C168" s="61">
        <f>'БазНорм (обр)'!J160</f>
        <v>1</v>
      </c>
      <c r="D168" s="122">
        <f>'БазНорм (обр)'!K160</f>
        <v>5.1899999999999995</v>
      </c>
      <c r="E168" s="68">
        <f t="shared" si="3"/>
        <v>299.66608695652172</v>
      </c>
      <c r="F168" s="192"/>
    </row>
    <row r="169" spans="1:6" outlineLevel="2" x14ac:dyDescent="0.3">
      <c r="A169" s="26" t="str">
        <f>'БазНорм (обр)'!A161</f>
        <v>Холодное водоснабжение</v>
      </c>
      <c r="B169" s="52">
        <f>'БазНорм (обр)'!C161</f>
        <v>4.1823966065747618</v>
      </c>
      <c r="C169" s="61">
        <f>'БазНорм (обр)'!J161</f>
        <v>1</v>
      </c>
      <c r="D169" s="122">
        <f>'БазНорм (обр)'!K161</f>
        <v>19.55</v>
      </c>
      <c r="E169" s="68">
        <f t="shared" si="3"/>
        <v>81.765853658536599</v>
      </c>
      <c r="F169" s="192"/>
    </row>
    <row r="170" spans="1:6" outlineLevel="2" x14ac:dyDescent="0.3">
      <c r="A170" s="26" t="str">
        <f>'БазНорм (обр)'!A162</f>
        <v>Водоотведение</v>
      </c>
      <c r="B170" s="52">
        <f>'БазНорм (обр)'!C162</f>
        <v>6.7815482502651117</v>
      </c>
      <c r="C170" s="61">
        <f>'БазНорм (обр)'!J162</f>
        <v>1</v>
      </c>
      <c r="D170" s="122">
        <f>'БазНорм (обр)'!K162</f>
        <v>22.639999999999997</v>
      </c>
      <c r="E170" s="68">
        <f t="shared" si="3"/>
        <v>153.53425238600209</v>
      </c>
      <c r="F170" s="192"/>
    </row>
    <row r="171" spans="1:6" outlineLevel="2" x14ac:dyDescent="0.3">
      <c r="A171" s="26" t="str">
        <f>'БазНорм (обр)'!A163</f>
        <v>Сбросы загрязнений</v>
      </c>
      <c r="B171" s="52">
        <f>'БазНорм (обр)'!C163</f>
        <v>5.7232237539766704</v>
      </c>
      <c r="C171" s="61">
        <f>'БазНорм (обр)'!J163</f>
        <v>1</v>
      </c>
      <c r="D171" s="122">
        <f>'БазНорм (обр)'!K163</f>
        <v>1.67</v>
      </c>
      <c r="E171" s="68">
        <f t="shared" si="3"/>
        <v>9.5577836691410383</v>
      </c>
      <c r="F171" s="192"/>
    </row>
    <row r="172" spans="1:6" ht="30" customHeight="1" outlineLevel="1" x14ac:dyDescent="0.3">
      <c r="A172" s="183" t="s">
        <v>14</v>
      </c>
      <c r="B172" s="183"/>
      <c r="C172" s="183"/>
      <c r="D172" s="183"/>
      <c r="E172" s="73">
        <f>SUM(E173:E201)</f>
        <v>899.27834676564157</v>
      </c>
      <c r="F172" s="192"/>
    </row>
    <row r="173" spans="1:6" outlineLevel="2" x14ac:dyDescent="0.3">
      <c r="A173" s="26" t="str">
        <f>'БазНорм (обр)'!A165</f>
        <v>Дератизация</v>
      </c>
      <c r="B173" s="52">
        <f>'БазНорм (обр)'!C165</f>
        <v>0.93864262990455993</v>
      </c>
      <c r="C173" s="61">
        <f>'БазНорм (обр)'!J165</f>
        <v>1</v>
      </c>
      <c r="D173" s="122">
        <f>'БазНорм (обр)'!K165</f>
        <v>1.6499999999999997</v>
      </c>
      <c r="E173" s="68">
        <f t="shared" ref="E173:E203" si="4">B173*D173</f>
        <v>1.5487603393425236</v>
      </c>
      <c r="F173" s="192"/>
    </row>
    <row r="174" spans="1:6" outlineLevel="2" x14ac:dyDescent="0.3">
      <c r="A174" s="26" t="str">
        <f>'БазНорм (обр)'!A166</f>
        <v>Дезинсекция</v>
      </c>
      <c r="B174" s="52">
        <f>'БазНорм (обр)'!C166</f>
        <v>0.42417815482502652</v>
      </c>
      <c r="C174" s="61">
        <f>'БазНорм (обр)'!J166</f>
        <v>1</v>
      </c>
      <c r="D174" s="122">
        <f>'БазНорм (обр)'!K166</f>
        <v>3.64</v>
      </c>
      <c r="E174" s="68">
        <f t="shared" si="4"/>
        <v>1.5440084835630965</v>
      </c>
      <c r="F174" s="192"/>
    </row>
    <row r="175" spans="1:6" outlineLevel="2" x14ac:dyDescent="0.3">
      <c r="A175" s="26" t="str">
        <f>'БазНорм (обр)'!A167</f>
        <v>ТО КТС</v>
      </c>
      <c r="B175" s="52">
        <f>'БазНорм (обр)'!C167</f>
        <v>2.1208907741251328E-3</v>
      </c>
      <c r="C175" s="61">
        <f>'БазНорм (обр)'!J167</f>
        <v>1</v>
      </c>
      <c r="D175" s="122">
        <f>'БазНорм (обр)'!K167</f>
        <v>3997.2</v>
      </c>
      <c r="E175" s="68">
        <f t="shared" si="4"/>
        <v>8.4776246023329804</v>
      </c>
      <c r="F175" s="192"/>
    </row>
    <row r="176" spans="1:6" outlineLevel="2" x14ac:dyDescent="0.3">
      <c r="A176" s="26" t="str">
        <f>'БазНорм (обр)'!A168</f>
        <v>Охрана КТС</v>
      </c>
      <c r="B176" s="52">
        <f>'БазНорм (обр)'!C168</f>
        <v>0</v>
      </c>
      <c r="C176" s="61">
        <f>'БазНорм (обр)'!J168</f>
        <v>1</v>
      </c>
      <c r="D176" s="122">
        <f>'БазНорм (обр)'!K168</f>
        <v>1.69</v>
      </c>
      <c r="E176" s="68">
        <f t="shared" si="4"/>
        <v>0</v>
      </c>
      <c r="F176" s="192"/>
    </row>
    <row r="177" spans="1:6" outlineLevel="2" x14ac:dyDescent="0.3">
      <c r="A177" s="26" t="str">
        <f>'БазНорм (обр)'!A169</f>
        <v>Охрана КТС</v>
      </c>
      <c r="B177" s="52">
        <f>'БазНорм (обр)'!C169</f>
        <v>18.579003181336162</v>
      </c>
      <c r="C177" s="61">
        <f>'БазНорм (обр)'!J169</f>
        <v>1</v>
      </c>
      <c r="D177" s="122">
        <f>'БазНорм (обр)'!K169</f>
        <v>3.28</v>
      </c>
      <c r="E177" s="68">
        <f t="shared" si="4"/>
        <v>60.939130434782605</v>
      </c>
      <c r="F177" s="192"/>
    </row>
    <row r="178" spans="1:6" outlineLevel="2" x14ac:dyDescent="0.3">
      <c r="A178" s="26" t="str">
        <f>'БазНорм (обр)'!A170</f>
        <v>Охрана КТС</v>
      </c>
      <c r="B178" s="52">
        <f>'БазНорм (обр)'!C170</f>
        <v>0</v>
      </c>
      <c r="C178" s="61">
        <f>'БазНорм (обр)'!J170</f>
        <v>1</v>
      </c>
      <c r="D178" s="122">
        <f>'БазНорм (обр)'!K170</f>
        <v>5.48</v>
      </c>
      <c r="E178" s="68">
        <f t="shared" si="4"/>
        <v>0</v>
      </c>
      <c r="F178" s="192"/>
    </row>
    <row r="179" spans="1:6" outlineLevel="2" x14ac:dyDescent="0.3">
      <c r="A179" s="26" t="str">
        <f>'БазНорм (обр)'!A171</f>
        <v>Охрана КТС</v>
      </c>
      <c r="B179" s="52">
        <f>'БазНорм (обр)'!C171</f>
        <v>0</v>
      </c>
      <c r="C179" s="61">
        <f>'БазНорм (обр)'!J171</f>
        <v>1</v>
      </c>
      <c r="D179" s="122">
        <f>'БазНорм (обр)'!K171</f>
        <v>1.34</v>
      </c>
      <c r="E179" s="68">
        <f t="shared" si="4"/>
        <v>0</v>
      </c>
      <c r="F179" s="192"/>
    </row>
    <row r="180" spans="1:6" outlineLevel="2" x14ac:dyDescent="0.3">
      <c r="A180" s="26" t="str">
        <f>'БазНорм (обр)'!A172</f>
        <v>Охрана КТС</v>
      </c>
      <c r="B180" s="52">
        <f>'БазНорм (обр)'!C172</f>
        <v>0</v>
      </c>
      <c r="C180" s="61">
        <f>'БазНорм (обр)'!J172</f>
        <v>1</v>
      </c>
      <c r="D180" s="122">
        <f>'БазНорм (обр)'!K172</f>
        <v>1.64</v>
      </c>
      <c r="E180" s="68">
        <f t="shared" si="4"/>
        <v>0</v>
      </c>
      <c r="F180" s="192"/>
    </row>
    <row r="181" spans="1:6" outlineLevel="2" x14ac:dyDescent="0.3">
      <c r="A181" s="26" t="str">
        <f>'БазНорм (обр)'!A173</f>
        <v>Пожарная охрана</v>
      </c>
      <c r="B181" s="52">
        <f>'БазНорм (обр)'!C173</f>
        <v>18.579003181336162</v>
      </c>
      <c r="C181" s="61">
        <f>'БазНорм (обр)'!J173</f>
        <v>1</v>
      </c>
      <c r="D181" s="122">
        <f>'БазНорм (обр)'!K173</f>
        <v>5.27</v>
      </c>
      <c r="E181" s="68">
        <f t="shared" si="4"/>
        <v>97.911346765641568</v>
      </c>
      <c r="F181" s="192"/>
    </row>
    <row r="182" spans="1:6" outlineLevel="2" x14ac:dyDescent="0.3">
      <c r="A182" s="26" t="str">
        <f>'БазНорм (обр)'!A174</f>
        <v>ТО пожарной сигнализации</v>
      </c>
      <c r="B182" s="52">
        <f>'БазНорм (обр)'!C174</f>
        <v>0</v>
      </c>
      <c r="C182" s="61">
        <f>'БазНорм (обр)'!J174</f>
        <v>1</v>
      </c>
      <c r="D182" s="122">
        <f>'БазНорм (обр)'!K174</f>
        <v>103782</v>
      </c>
      <c r="E182" s="68">
        <f t="shared" si="4"/>
        <v>0</v>
      </c>
      <c r="F182" s="192"/>
    </row>
    <row r="183" spans="1:6" outlineLevel="2" x14ac:dyDescent="0.3">
      <c r="A183" s="26" t="str">
        <f>'БазНорм (обр)'!A175</f>
        <v>ТО пожарной сигнализации</v>
      </c>
      <c r="B183" s="52">
        <f>'БазНорм (обр)'!C175</f>
        <v>0</v>
      </c>
      <c r="C183" s="61">
        <f>'БазНорм (обр)'!J175</f>
        <v>1</v>
      </c>
      <c r="D183" s="122">
        <f>'БазНорм (обр)'!K175</f>
        <v>139884</v>
      </c>
      <c r="E183" s="68">
        <f t="shared" si="4"/>
        <v>0</v>
      </c>
      <c r="F183" s="192"/>
    </row>
    <row r="184" spans="1:6" outlineLevel="2" x14ac:dyDescent="0.3">
      <c r="A184" s="26" t="str">
        <f>'БазНорм (обр)'!A176</f>
        <v>ТО пожарной сигнализации</v>
      </c>
      <c r="B184" s="52">
        <f>'БазНорм (обр)'!C176</f>
        <v>1.0604453870625664E-3</v>
      </c>
      <c r="C184" s="61">
        <f>'БазНорм (обр)'!J176</f>
        <v>1</v>
      </c>
      <c r="D184" s="122">
        <f>'БазНорм (обр)'!K176</f>
        <v>93710.48</v>
      </c>
      <c r="E184" s="68">
        <f t="shared" si="4"/>
        <v>99.374846235418886</v>
      </c>
      <c r="F184" s="192"/>
    </row>
    <row r="185" spans="1:6" outlineLevel="2" x14ac:dyDescent="0.3">
      <c r="A185" s="26" t="str">
        <f>'БазНорм (обр)'!A177</f>
        <v>ТО пожарной сигнализации</v>
      </c>
      <c r="B185" s="52">
        <f>'БазНорм (обр)'!C177</f>
        <v>0</v>
      </c>
      <c r="C185" s="61">
        <f>'БазНорм (обр)'!J177</f>
        <v>1</v>
      </c>
      <c r="D185" s="122">
        <f>'БазНорм (обр)'!K177</f>
        <v>109874.40000000001</v>
      </c>
      <c r="E185" s="68">
        <f t="shared" si="4"/>
        <v>0</v>
      </c>
      <c r="F185" s="192"/>
    </row>
    <row r="186" spans="1:6" outlineLevel="2" x14ac:dyDescent="0.3">
      <c r="A186" s="26" t="str">
        <f>'БазНорм (обр)'!A178</f>
        <v>ТО пожарной сигнализации</v>
      </c>
      <c r="B186" s="52">
        <f>'БазНорм (обр)'!C178</f>
        <v>0</v>
      </c>
      <c r="C186" s="61">
        <f>'БазНорм (обр)'!J178</f>
        <v>1</v>
      </c>
      <c r="D186" s="122">
        <f>'БазНорм (обр)'!K178</f>
        <v>93710.399999999994</v>
      </c>
      <c r="E186" s="68">
        <f t="shared" si="4"/>
        <v>0</v>
      </c>
      <c r="F186" s="192"/>
    </row>
    <row r="187" spans="1:6" outlineLevel="2" x14ac:dyDescent="0.3">
      <c r="A187" s="26" t="str">
        <f>'БазНорм (обр)'!A179</f>
        <v>ТО пожарной сигнализации</v>
      </c>
      <c r="B187" s="52">
        <f>'БазНорм (обр)'!C179</f>
        <v>0</v>
      </c>
      <c r="C187" s="61">
        <f>'БазНорм (обр)'!J179</f>
        <v>1</v>
      </c>
      <c r="D187" s="122">
        <f>'БазНорм (обр)'!K179</f>
        <v>78717.600000000006</v>
      </c>
      <c r="E187" s="68">
        <f t="shared" si="4"/>
        <v>0</v>
      </c>
      <c r="F187" s="192"/>
    </row>
    <row r="188" spans="1:6" outlineLevel="2" x14ac:dyDescent="0.3">
      <c r="A188" s="26" t="str">
        <f>'БазНорм (обр)'!A180</f>
        <v>GSM Контакт</v>
      </c>
      <c r="B188" s="52">
        <f>'БазНорм (обр)'!C180</f>
        <v>0</v>
      </c>
      <c r="C188" s="61">
        <f>'БазНорм (обр)'!J180</f>
        <v>1</v>
      </c>
      <c r="D188" s="122">
        <f>'БазНорм (обр)'!K180</f>
        <v>575</v>
      </c>
      <c r="E188" s="68">
        <f t="shared" si="4"/>
        <v>0</v>
      </c>
      <c r="F188" s="192"/>
    </row>
    <row r="189" spans="1:6" outlineLevel="2" x14ac:dyDescent="0.3">
      <c r="A189" s="26" t="str">
        <f>'БазНорм (обр)'!A181</f>
        <v>ТО приборов учета тепла</v>
      </c>
      <c r="B189" s="52">
        <f>'БазНорм (обр)'!C181</f>
        <v>2.1208907741251328E-3</v>
      </c>
      <c r="C189" s="61">
        <f>'БазНорм (обр)'!J181</f>
        <v>1</v>
      </c>
      <c r="D189" s="122">
        <f>'БазНорм (обр)'!K181</f>
        <v>20721.88</v>
      </c>
      <c r="E189" s="68">
        <f t="shared" si="4"/>
        <v>43.948844114528107</v>
      </c>
      <c r="F189" s="192"/>
    </row>
    <row r="190" spans="1:6" ht="26" outlineLevel="2" x14ac:dyDescent="0.3">
      <c r="A190" s="26" t="str">
        <f>'БазНорм (обр)'!A182</f>
        <v>ТО автоматизированного теплового пункта</v>
      </c>
      <c r="B190" s="52">
        <f>'БазНорм (обр)'!C182</f>
        <v>2.1208907741251328E-3</v>
      </c>
      <c r="C190" s="61">
        <f>'БазНорм (обр)'!J182</f>
        <v>1</v>
      </c>
      <c r="D190" s="122">
        <f>'БазНорм (обр)'!K182</f>
        <v>17631.633333333335</v>
      </c>
      <c r="E190" s="68">
        <f t="shared" si="4"/>
        <v>37.39476846942383</v>
      </c>
      <c r="F190" s="192"/>
    </row>
    <row r="191" spans="1:6" outlineLevel="2" x14ac:dyDescent="0.3">
      <c r="A191" s="26" t="str">
        <f>'БазНорм (обр)'!A183</f>
        <v>ТО системы видеонаблюдения</v>
      </c>
      <c r="B191" s="52">
        <f>'БазНорм (обр)'!C183</f>
        <v>1.0604453870625664E-3</v>
      </c>
      <c r="C191" s="61">
        <f>'БазНорм (обр)'!J183</f>
        <v>1</v>
      </c>
      <c r="D191" s="122">
        <f>'БазНорм (обр)'!K183</f>
        <v>21200</v>
      </c>
      <c r="E191" s="68">
        <f t="shared" si="4"/>
        <v>22.481442205726406</v>
      </c>
      <c r="F191" s="192"/>
    </row>
    <row r="192" spans="1:6" outlineLevel="2" x14ac:dyDescent="0.3">
      <c r="A192" s="26" t="str">
        <f>'БазНорм (обр)'!A184</f>
        <v>ТО системы видеонаблюдения</v>
      </c>
      <c r="B192" s="52">
        <f>'БазНорм (обр)'!C184</f>
        <v>0</v>
      </c>
      <c r="C192" s="61">
        <f>'БазНорм (обр)'!J184</f>
        <v>1</v>
      </c>
      <c r="D192" s="122">
        <f>'БазНорм (обр)'!K184</f>
        <v>18000</v>
      </c>
      <c r="E192" s="68">
        <f t="shared" si="4"/>
        <v>0</v>
      </c>
      <c r="F192" s="192"/>
    </row>
    <row r="193" spans="1:6" outlineLevel="2" x14ac:dyDescent="0.3">
      <c r="A193" s="26" t="str">
        <f>'БазНорм (обр)'!A185</f>
        <v>ТО системы видеонаблюдения</v>
      </c>
      <c r="B193" s="52">
        <f>'БазНорм (обр)'!C185</f>
        <v>0</v>
      </c>
      <c r="C193" s="61">
        <f>'БазНорм (обр)'!J185</f>
        <v>1</v>
      </c>
      <c r="D193" s="122">
        <f>'БазНорм (обр)'!K185</f>
        <v>33000</v>
      </c>
      <c r="E193" s="68">
        <f t="shared" si="4"/>
        <v>0</v>
      </c>
      <c r="F193" s="192"/>
    </row>
    <row r="194" spans="1:6" outlineLevel="2" x14ac:dyDescent="0.3">
      <c r="A194" s="26" t="str">
        <f>'БазНорм (обр)'!A186</f>
        <v>Вывоз ТБО</v>
      </c>
      <c r="B194" s="52">
        <f>'БазНорм (обр)'!C186</f>
        <v>0.30965005302226933</v>
      </c>
      <c r="C194" s="61">
        <f>'БазНорм (обр)'!J186</f>
        <v>1</v>
      </c>
      <c r="D194" s="122">
        <f>'БазНорм (обр)'!K186</f>
        <v>651</v>
      </c>
      <c r="E194" s="68">
        <f t="shared" si="4"/>
        <v>201.58218451749732</v>
      </c>
      <c r="F194" s="192"/>
    </row>
    <row r="195" spans="1:6" outlineLevel="2" x14ac:dyDescent="0.3">
      <c r="A195" s="26" t="str">
        <f>'БазНорм (обр)'!A187</f>
        <v>Уборка снега</v>
      </c>
      <c r="B195" s="52">
        <f>'БазНорм (обр)'!C187</f>
        <v>0</v>
      </c>
      <c r="C195" s="61">
        <f>'БазНорм (обр)'!J187</f>
        <v>1</v>
      </c>
      <c r="D195" s="122">
        <f>'БазНорм (обр)'!K187</f>
        <v>1886.67</v>
      </c>
      <c r="E195" s="68">
        <f t="shared" si="4"/>
        <v>0</v>
      </c>
      <c r="F195" s="192"/>
    </row>
    <row r="196" spans="1:6" ht="26" outlineLevel="2" x14ac:dyDescent="0.3">
      <c r="A196" s="26" t="str">
        <f>'БазНорм (обр)'!A188</f>
        <v>Замеры сопротивлений изоляции проводки</v>
      </c>
      <c r="B196" s="52">
        <f>'БазНорм (обр)'!C188</f>
        <v>2.1208907741251328E-3</v>
      </c>
      <c r="C196" s="61">
        <f>'БазНорм (обр)'!J188</f>
        <v>1</v>
      </c>
      <c r="D196" s="122">
        <f>'БазНорм (обр)'!K188</f>
        <v>31336.333333333332</v>
      </c>
      <c r="E196" s="68">
        <f t="shared" si="4"/>
        <v>66.460940261576539</v>
      </c>
      <c r="F196" s="192"/>
    </row>
    <row r="197" spans="1:6" ht="26" outlineLevel="2" x14ac:dyDescent="0.3">
      <c r="A197" s="26" t="str">
        <f>'БазНорм (обр)'!A189</f>
        <v>Техническое обслуживание силового электрооборудования</v>
      </c>
      <c r="B197" s="52">
        <f>'БазНорм (обр)'!C189</f>
        <v>0</v>
      </c>
      <c r="C197" s="61">
        <f>'БазНорм (обр)'!J189</f>
        <v>1</v>
      </c>
      <c r="D197" s="122">
        <f>'БазНорм (обр)'!K189</f>
        <v>11356.666666666666</v>
      </c>
      <c r="E197" s="68">
        <f t="shared" si="4"/>
        <v>0</v>
      </c>
      <c r="F197" s="192"/>
    </row>
    <row r="198" spans="1:6" outlineLevel="2" x14ac:dyDescent="0.3">
      <c r="A198" s="26" t="str">
        <f>'БазНорм (обр)'!A190</f>
        <v>Прочистка канализации</v>
      </c>
      <c r="B198" s="52">
        <f>'БазНорм (обр)'!C190</f>
        <v>4.2417815482502655E-3</v>
      </c>
      <c r="C198" s="61">
        <f>'БазНорм (обр)'!J190</f>
        <v>1</v>
      </c>
      <c r="D198" s="122">
        <f>'БазНорм (обр)'!K190</f>
        <v>10489</v>
      </c>
      <c r="E198" s="68">
        <f t="shared" si="4"/>
        <v>44.492046659597037</v>
      </c>
      <c r="F198" s="192"/>
    </row>
    <row r="199" spans="1:6" outlineLevel="2" x14ac:dyDescent="0.3">
      <c r="A199" s="26" t="str">
        <f>'БазНорм (обр)'!A191</f>
        <v>Проверка качества огнезащиты</v>
      </c>
      <c r="B199" s="52">
        <f>'БазНорм (обр)'!C191</f>
        <v>2.1208907741251328E-3</v>
      </c>
      <c r="C199" s="61">
        <f>'БазНорм (обр)'!J191</f>
        <v>1</v>
      </c>
      <c r="D199" s="122">
        <f>'БазНорм (обр)'!K191</f>
        <v>5450.5466666666662</v>
      </c>
      <c r="E199" s="68">
        <f t="shared" si="4"/>
        <v>11.560014139271827</v>
      </c>
      <c r="F199" s="192"/>
    </row>
    <row r="200" spans="1:6" ht="39" outlineLevel="2" x14ac:dyDescent="0.3">
      <c r="A200" s="26" t="str">
        <f>'БазНорм (обр)'!A192</f>
        <v>Огнезащитная обработка чердачных деревянных конструкций</v>
      </c>
      <c r="B200" s="52">
        <f>'БазНорм (обр)'!C192</f>
        <v>3.9236479321314954</v>
      </c>
      <c r="C200" s="61">
        <f>'БазНорм (обр)'!J192</f>
        <v>1</v>
      </c>
      <c r="D200" s="122">
        <f>'БазНорм (обр)'!K192</f>
        <v>36.333333333333336</v>
      </c>
      <c r="E200" s="68">
        <f t="shared" si="4"/>
        <v>142.55920820077768</v>
      </c>
      <c r="F200" s="192"/>
    </row>
    <row r="201" spans="1:6" outlineLevel="2" x14ac:dyDescent="0.3">
      <c r="A201" s="26" t="str">
        <f>'БазНорм (обр)'!A193</f>
        <v>ТО грузового лифта</v>
      </c>
      <c r="B201" s="52">
        <f>'БазНорм (обр)'!C193</f>
        <v>1.0604453870625664E-3</v>
      </c>
      <c r="C201" s="61">
        <f>'БазНорм (обр)'!J193</f>
        <v>1</v>
      </c>
      <c r="D201" s="122">
        <f>'БазНорм (обр)'!K193</f>
        <v>55640</v>
      </c>
      <c r="E201" s="68">
        <f t="shared" si="4"/>
        <v>59.003181336161191</v>
      </c>
      <c r="F201" s="192"/>
    </row>
    <row r="202" spans="1:6" ht="30" customHeight="1" outlineLevel="1" x14ac:dyDescent="0.3">
      <c r="A202" s="183" t="s">
        <v>15</v>
      </c>
      <c r="B202" s="183"/>
      <c r="C202" s="183"/>
      <c r="D202" s="183"/>
      <c r="E202" s="73">
        <f>SUM(E203:E203)</f>
        <v>66.719688936019793</v>
      </c>
      <c r="F202" s="192"/>
    </row>
    <row r="203" spans="1:6" outlineLevel="2" x14ac:dyDescent="0.3">
      <c r="A203" s="26" t="str">
        <f>'БазНорм (обр)'!A195</f>
        <v>Ремонт МФУ</v>
      </c>
      <c r="B203" s="52">
        <f>'БазНорм (обр)'!C195</f>
        <v>2.6511134676564158E-2</v>
      </c>
      <c r="C203" s="61">
        <f>'БазНорм (обр)'!J195</f>
        <v>1</v>
      </c>
      <c r="D203" s="122">
        <f>'БазНорм (обр)'!K195</f>
        <v>2516.6666666666665</v>
      </c>
      <c r="E203" s="68">
        <f t="shared" si="4"/>
        <v>66.719688936019793</v>
      </c>
      <c r="F203" s="192"/>
    </row>
    <row r="204" spans="1:6" ht="30" customHeight="1" outlineLevel="1" x14ac:dyDescent="0.3">
      <c r="A204" s="183" t="s">
        <v>16</v>
      </c>
      <c r="B204" s="183"/>
      <c r="C204" s="183"/>
      <c r="D204" s="183"/>
      <c r="E204" s="73">
        <f>SUM(E205:E207)</f>
        <v>127.26148462354189</v>
      </c>
      <c r="F204" s="192"/>
    </row>
    <row r="205" spans="1:6" outlineLevel="2" x14ac:dyDescent="0.3">
      <c r="A205" s="26" t="str">
        <f>'БазНорм (обр)'!A197</f>
        <v>Местная связь</v>
      </c>
      <c r="B205" s="52">
        <f>'БазНорм (обр)'!C197</f>
        <v>1.2725344644750797E-2</v>
      </c>
      <c r="C205" s="61">
        <f>'БазНорм (обр)'!J197</f>
        <v>1</v>
      </c>
      <c r="D205" s="122">
        <f>'БазНорм (обр)'!K197</f>
        <v>4109.3499999999995</v>
      </c>
      <c r="E205" s="68">
        <f>B205*D205</f>
        <v>52.29289501590668</v>
      </c>
      <c r="F205" s="192"/>
    </row>
    <row r="206" spans="1:6" outlineLevel="2" x14ac:dyDescent="0.3">
      <c r="A206" s="26" t="str">
        <f>'БазНорм (обр)'!A198</f>
        <v>Связь МН и МГ</v>
      </c>
      <c r="B206" s="52">
        <f>'БазНорм (обр)'!C198</f>
        <v>1.2725344644750797E-2</v>
      </c>
      <c r="C206" s="61">
        <f>'БазНорм (обр)'!J198</f>
        <v>1</v>
      </c>
      <c r="D206" s="122">
        <f>'БазНорм (обр)'!K198</f>
        <v>31.271666666666665</v>
      </c>
      <c r="E206" s="68">
        <f>B206*D206</f>
        <v>0.39794273594909868</v>
      </c>
      <c r="F206" s="192"/>
    </row>
    <row r="207" spans="1:6" outlineLevel="2" x14ac:dyDescent="0.3">
      <c r="A207" s="26" t="str">
        <f>'БазНорм (обр)'!A199</f>
        <v>Интернет</v>
      </c>
      <c r="B207" s="52">
        <f>'БазНорм (обр)'!C199</f>
        <v>1.2725344644750797E-2</v>
      </c>
      <c r="C207" s="61">
        <f>'БазНорм (обр)'!J199</f>
        <v>1</v>
      </c>
      <c r="D207" s="122">
        <f>'БазНорм (обр)'!K199</f>
        <v>5860.0099999999993</v>
      </c>
      <c r="E207" s="68">
        <f>B207*D207</f>
        <v>74.570646871686108</v>
      </c>
      <c r="F207" s="192"/>
    </row>
    <row r="208" spans="1:6" ht="30" customHeight="1" outlineLevel="1" x14ac:dyDescent="0.3">
      <c r="A208" s="183" t="s">
        <v>17</v>
      </c>
      <c r="B208" s="183"/>
      <c r="C208" s="183"/>
      <c r="D208" s="183"/>
      <c r="E208" s="73">
        <v>0</v>
      </c>
      <c r="F208" s="192"/>
    </row>
    <row r="209" spans="1:6" outlineLevel="2" x14ac:dyDescent="0.3">
      <c r="A209" s="57"/>
      <c r="B209" s="57"/>
      <c r="C209" s="57"/>
      <c r="D209" s="57"/>
      <c r="E209" s="57"/>
      <c r="F209" s="192"/>
    </row>
    <row r="210" spans="1:6" outlineLevel="2" x14ac:dyDescent="0.3">
      <c r="A210" s="57"/>
      <c r="B210" s="57"/>
      <c r="C210" s="57"/>
      <c r="D210" s="57"/>
      <c r="E210" s="57"/>
      <c r="F210" s="192"/>
    </row>
    <row r="211" spans="1:6" outlineLevel="2" x14ac:dyDescent="0.3">
      <c r="A211" s="57"/>
      <c r="B211" s="57"/>
      <c r="C211" s="57"/>
      <c r="D211" s="57"/>
      <c r="E211" s="57"/>
      <c r="F211" s="192"/>
    </row>
    <row r="212" spans="1:6" ht="30" customHeight="1" outlineLevel="1" x14ac:dyDescent="0.3">
      <c r="A212" s="183" t="s">
        <v>20</v>
      </c>
      <c r="B212" s="183"/>
      <c r="C212" s="183"/>
      <c r="D212" s="183"/>
      <c r="E212" s="73">
        <v>0</v>
      </c>
      <c r="F212" s="192"/>
    </row>
    <row r="213" spans="1:6" ht="26" outlineLevel="2" x14ac:dyDescent="0.3">
      <c r="A213" s="131" t="str">
        <f>'БазНорм (обр)'!A205</f>
        <v>Административно-управленческий персонал</v>
      </c>
      <c r="B213" s="64">
        <f>'БазНорм (обр)'!C205</f>
        <v>5.3022269353128317E-3</v>
      </c>
      <c r="C213" s="68">
        <f>'БазНорм (обр)'!J205</f>
        <v>1</v>
      </c>
      <c r="D213" s="68">
        <f>'БазНорм (обр)'!K205</f>
        <v>36009.629999999997</v>
      </c>
      <c r="E213" s="68">
        <f>B213/C213*D213</f>
        <v>190.93123011664898</v>
      </c>
      <c r="F213" s="192"/>
    </row>
    <row r="214" spans="1:6" outlineLevel="2" x14ac:dyDescent="0.3">
      <c r="A214" s="57"/>
      <c r="B214" s="57"/>
      <c r="C214" s="57"/>
      <c r="D214" s="57"/>
      <c r="E214" s="57"/>
      <c r="F214" s="192"/>
    </row>
    <row r="215" spans="1:6" outlineLevel="2" x14ac:dyDescent="0.3">
      <c r="A215" s="57"/>
      <c r="B215" s="57"/>
      <c r="C215" s="57"/>
      <c r="D215" s="57"/>
      <c r="E215" s="57"/>
      <c r="F215" s="192"/>
    </row>
    <row r="216" spans="1:6" ht="16.5" customHeight="1" outlineLevel="1" x14ac:dyDescent="0.3">
      <c r="A216" s="183" t="s">
        <v>23</v>
      </c>
      <c r="B216" s="183"/>
      <c r="C216" s="183"/>
      <c r="D216" s="183"/>
      <c r="E216" s="73">
        <f>E217+E218+E219+E220+E221+E222+E223+E224+E225+E226+E227+E228+E229+E230+E231+E232+E233+E234+E235+E236+E237+E238+E239+E240+E259+E263+E293+E297</f>
        <v>286.53563392797093</v>
      </c>
      <c r="F216" s="192"/>
    </row>
    <row r="217" spans="1:6" ht="26" outlineLevel="2" x14ac:dyDescent="0.3">
      <c r="A217" s="26" t="str">
        <f>'БазНорм (обр)'!A209</f>
        <v>Исследование воды после гидропромывки</v>
      </c>
      <c r="B217" s="52">
        <f>'БазНорм (обр)'!C209</f>
        <v>2.1208907741251328E-3</v>
      </c>
      <c r="C217" s="61">
        <f>'БазНорм (обр)'!J209</f>
        <v>1</v>
      </c>
      <c r="D217" s="122">
        <f>'БазНорм (обр)'!K209</f>
        <v>2795.78</v>
      </c>
      <c r="E217" s="125">
        <f>B217*D217</f>
        <v>5.929544008483564</v>
      </c>
      <c r="F217" s="192"/>
    </row>
    <row r="218" spans="1:6" outlineLevel="2" x14ac:dyDescent="0.3">
      <c r="A218" s="26" t="str">
        <f>'БазНорм (обр)'!A210</f>
        <v>Исследование воды</v>
      </c>
      <c r="B218" s="52">
        <f>'БазНорм (обр)'!C210</f>
        <v>2.1208907741251328E-3</v>
      </c>
      <c r="C218" s="61">
        <f>'БазНорм (обр)'!J210</f>
        <v>1</v>
      </c>
      <c r="D218" s="122">
        <f>'БазНорм (обр)'!K210</f>
        <v>2918.92</v>
      </c>
      <c r="E218" s="125">
        <f t="shared" ref="E218:E239" si="5">B218*D218</f>
        <v>6.1907104984093326</v>
      </c>
      <c r="F218" s="192"/>
    </row>
    <row r="219" spans="1:6" ht="104" outlineLevel="2" x14ac:dyDescent="0.3">
      <c r="A219" s="26" t="str">
        <f>'БазНорм (обр)'!A211</f>
        <v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v>
      </c>
      <c r="B219" s="52">
        <f>'БазНорм (обр)'!C211</f>
        <v>0</v>
      </c>
      <c r="C219" s="61">
        <f>'БазНорм (обр)'!J211</f>
        <v>1</v>
      </c>
      <c r="D219" s="122">
        <f>'БазНорм (обр)'!K211</f>
        <v>20639.89</v>
      </c>
      <c r="E219" s="125">
        <f t="shared" si="5"/>
        <v>0</v>
      </c>
      <c r="F219" s="192"/>
    </row>
    <row r="220" spans="1:6" outlineLevel="2" x14ac:dyDescent="0.3">
      <c r="A220" s="26" t="str">
        <f>'БазНорм (обр)'!A212</f>
        <v>Замеры ЭМП</v>
      </c>
      <c r="B220" s="52">
        <f>'БазНорм (обр)'!C212</f>
        <v>0</v>
      </c>
      <c r="C220" s="61">
        <f>'БазНорм (обр)'!J212</f>
        <v>1</v>
      </c>
      <c r="D220" s="122">
        <f>'БазНорм (обр)'!K212</f>
        <v>3080.48</v>
      </c>
      <c r="E220" s="125">
        <f t="shared" si="5"/>
        <v>0</v>
      </c>
      <c r="F220" s="192"/>
    </row>
    <row r="221" spans="1:6" outlineLevel="2" x14ac:dyDescent="0.3">
      <c r="A221" s="26" t="str">
        <f>'БазНорм (обр)'!A213</f>
        <v>Зарядка огнетушителей</v>
      </c>
      <c r="B221" s="52">
        <f>'БазНорм (обр)'!C213</f>
        <v>0</v>
      </c>
      <c r="C221" s="61">
        <f>'БазНорм (обр)'!J213</f>
        <v>1</v>
      </c>
      <c r="D221" s="122">
        <f>'БазНорм (обр)'!K213</f>
        <v>439</v>
      </c>
      <c r="E221" s="125">
        <f t="shared" si="5"/>
        <v>0</v>
      </c>
      <c r="F221" s="192"/>
    </row>
    <row r="222" spans="1:6" ht="26" outlineLevel="2" x14ac:dyDescent="0.3">
      <c r="A222" s="26" t="str">
        <f>'БазНорм (обр)'!A214</f>
        <v>Испытание эл/защитных средств (перчатки)</v>
      </c>
      <c r="B222" s="52">
        <f>'БазНорм (обр)'!C214</f>
        <v>0</v>
      </c>
      <c r="C222" s="61">
        <f>'БазНорм (обр)'!J214</f>
        <v>1</v>
      </c>
      <c r="D222" s="122">
        <f>'БазНорм (обр)'!K214</f>
        <v>268.53333333333336</v>
      </c>
      <c r="E222" s="125">
        <f t="shared" si="5"/>
        <v>0</v>
      </c>
      <c r="F222" s="192"/>
    </row>
    <row r="223" spans="1:6" outlineLevel="2" x14ac:dyDescent="0.3">
      <c r="A223" s="26" t="str">
        <f>'БазНорм (обр)'!A215</f>
        <v>Демеркуризация ламп</v>
      </c>
      <c r="B223" s="52">
        <f>'БазНорм (обр)'!C215</f>
        <v>0</v>
      </c>
      <c r="C223" s="61">
        <f>'БазНорм (обр)'!J215</f>
        <v>1</v>
      </c>
      <c r="D223" s="122">
        <f>'БазНорм (обр)'!K215</f>
        <v>21.433333333333334</v>
      </c>
      <c r="E223" s="125">
        <f t="shared" si="5"/>
        <v>0</v>
      </c>
      <c r="F223" s="192"/>
    </row>
    <row r="224" spans="1:6" outlineLevel="2" x14ac:dyDescent="0.3">
      <c r="A224" s="26" t="str">
        <f>'БазНорм (обр)'!A216</f>
        <v>Испытание пожарных кранов</v>
      </c>
      <c r="B224" s="52">
        <f>'БазНорм (обр)'!C216</f>
        <v>0</v>
      </c>
      <c r="C224" s="61">
        <f>'БазНорм (обр)'!J216</f>
        <v>1</v>
      </c>
      <c r="D224" s="122">
        <f>'БазНорм (обр)'!K216</f>
        <v>910</v>
      </c>
      <c r="E224" s="125">
        <f t="shared" si="5"/>
        <v>0</v>
      </c>
      <c r="F224" s="192"/>
    </row>
    <row r="225" spans="1:6" outlineLevel="2" x14ac:dyDescent="0.3">
      <c r="A225" s="26" t="str">
        <f>'БазНорм (обр)'!A217</f>
        <v>Поверка ростомеры металл.</v>
      </c>
      <c r="B225" s="52">
        <f>'БазНорм (обр)'!C217</f>
        <v>0</v>
      </c>
      <c r="C225" s="61">
        <f>'БазНорм (обр)'!J217</f>
        <v>1</v>
      </c>
      <c r="D225" s="122">
        <f>'БазНорм (обр)'!K217</f>
        <v>164.72666666666666</v>
      </c>
      <c r="E225" s="125">
        <f t="shared" si="5"/>
        <v>0</v>
      </c>
      <c r="F225" s="192"/>
    </row>
    <row r="226" spans="1:6" ht="26" outlineLevel="2" x14ac:dyDescent="0.3">
      <c r="A226" s="26" t="str">
        <f>'БазНорм (обр)'!A218</f>
        <v>Поверка приборов учета тепловой энергии</v>
      </c>
      <c r="B226" s="52">
        <f>'БазНорм (обр)'!C218</f>
        <v>0</v>
      </c>
      <c r="C226" s="61">
        <f>'БазНорм (обр)'!J218</f>
        <v>1</v>
      </c>
      <c r="D226" s="122">
        <f>'БазНорм (обр)'!K218</f>
        <v>5833.34</v>
      </c>
      <c r="E226" s="125">
        <f t="shared" si="5"/>
        <v>0</v>
      </c>
      <c r="F226" s="192"/>
    </row>
    <row r="227" spans="1:6" outlineLevel="2" x14ac:dyDescent="0.3">
      <c r="A227" s="26" t="str">
        <f>'БазНорм (обр)'!A219</f>
        <v>Поверка весы торговые</v>
      </c>
      <c r="B227" s="52">
        <f>'БазНорм (обр)'!C219</f>
        <v>0</v>
      </c>
      <c r="C227" s="61">
        <f>'БазНорм (обр)'!J219</f>
        <v>1</v>
      </c>
      <c r="D227" s="122">
        <f>'БазНорм (обр)'!K219</f>
        <v>805.14</v>
      </c>
      <c r="E227" s="125">
        <f t="shared" si="5"/>
        <v>0</v>
      </c>
      <c r="F227" s="192"/>
    </row>
    <row r="228" spans="1:6" outlineLevel="2" x14ac:dyDescent="0.3">
      <c r="A228" s="26" t="str">
        <f>'БазНорм (обр)'!A220</f>
        <v>Поверка весы медицинские</v>
      </c>
      <c r="B228" s="52">
        <f>'БазНорм (обр)'!C220</f>
        <v>0</v>
      </c>
      <c r="C228" s="61">
        <f>'БазНорм (обр)'!J220</f>
        <v>1</v>
      </c>
      <c r="D228" s="122">
        <f>'БазНорм (обр)'!K220</f>
        <v>754.68999999999994</v>
      </c>
      <c r="E228" s="125">
        <f t="shared" si="5"/>
        <v>0</v>
      </c>
      <c r="F228" s="192"/>
    </row>
    <row r="229" spans="1:6" ht="26" outlineLevel="2" x14ac:dyDescent="0.3">
      <c r="A229" s="26" t="str">
        <f>'БазНорм (обр)'!A221</f>
        <v>Весы настольные циферблатные</v>
      </c>
      <c r="B229" s="52">
        <f>'БазНорм (обр)'!C221</f>
        <v>0</v>
      </c>
      <c r="C229" s="61">
        <f>'БазНорм (обр)'!J221</f>
        <v>1</v>
      </c>
      <c r="D229" s="122">
        <f>'БазНорм (обр)'!K221</f>
        <v>726.59666666666669</v>
      </c>
      <c r="E229" s="125">
        <f t="shared" si="5"/>
        <v>0</v>
      </c>
      <c r="F229" s="192"/>
    </row>
    <row r="230" spans="1:6" ht="26" outlineLevel="2" x14ac:dyDescent="0.3">
      <c r="A230" s="26" t="str">
        <f>'БазНорм (обр)'!A222</f>
        <v>Поверка торговые гири 5 и 6 класса</v>
      </c>
      <c r="B230" s="52">
        <f>'БазНорм (обр)'!C222</f>
        <v>0</v>
      </c>
      <c r="C230" s="61">
        <f>'БазНорм (обр)'!J222</f>
        <v>1</v>
      </c>
      <c r="D230" s="122">
        <f>'БазНорм (обр)'!K222</f>
        <v>213.02</v>
      </c>
      <c r="E230" s="125">
        <f t="shared" si="5"/>
        <v>0</v>
      </c>
      <c r="F230" s="192"/>
    </row>
    <row r="231" spans="1:6" outlineLevel="2" x14ac:dyDescent="0.3">
      <c r="A231" s="26" t="str">
        <f>'БазНорм (обр)'!A223</f>
        <v>Поверка манометры</v>
      </c>
      <c r="B231" s="52">
        <f>'БазНорм (обр)'!C223</f>
        <v>0</v>
      </c>
      <c r="C231" s="61">
        <f>'БазНорм (обр)'!J223</f>
        <v>1</v>
      </c>
      <c r="D231" s="122">
        <f>'БазНорм (обр)'!K223</f>
        <v>224.4</v>
      </c>
      <c r="E231" s="125">
        <f t="shared" si="5"/>
        <v>0</v>
      </c>
      <c r="F231" s="192"/>
    </row>
    <row r="232" spans="1:6" outlineLevel="2" x14ac:dyDescent="0.3">
      <c r="A232" s="26" t="str">
        <f>'БазНорм (обр)'!A224</f>
        <v>ТО медицинской техники</v>
      </c>
      <c r="B232" s="52">
        <f>'БазНорм (обр)'!C224</f>
        <v>0</v>
      </c>
      <c r="C232" s="61">
        <f>'БазНорм (обр)'!J224</f>
        <v>1</v>
      </c>
      <c r="D232" s="122">
        <f>'БазНорм (обр)'!K224</f>
        <v>203.1372549019608</v>
      </c>
      <c r="E232" s="125">
        <f t="shared" si="5"/>
        <v>0</v>
      </c>
      <c r="F232" s="192"/>
    </row>
    <row r="233" spans="1:6" ht="26" outlineLevel="2" x14ac:dyDescent="0.3">
      <c r="A233" s="26" t="str">
        <f>'БазНорм (обр)'!A225</f>
        <v>Поверка Гигрометры психрометрические</v>
      </c>
      <c r="B233" s="52">
        <f>'БазНорм (обр)'!C225</f>
        <v>0</v>
      </c>
      <c r="C233" s="61">
        <f>'БазНорм (обр)'!J225</f>
        <v>1</v>
      </c>
      <c r="D233" s="122">
        <f>'БазНорм (обр)'!K225</f>
        <v>292.6466666666667</v>
      </c>
      <c r="E233" s="125">
        <f t="shared" si="5"/>
        <v>0</v>
      </c>
      <c r="F233" s="192"/>
    </row>
    <row r="234" spans="1:6" outlineLevel="2" x14ac:dyDescent="0.3">
      <c r="A234" s="26" t="str">
        <f>'БазНорм (обр)'!A226</f>
        <v>Поверка тонометры</v>
      </c>
      <c r="B234" s="52">
        <f>'БазНорм (обр)'!C226</f>
        <v>0</v>
      </c>
      <c r="C234" s="61">
        <f>'БазНорм (обр)'!J226</f>
        <v>1</v>
      </c>
      <c r="D234" s="122">
        <f>'БазНорм (обр)'!K226</f>
        <v>452.95666666666665</v>
      </c>
      <c r="E234" s="125">
        <f t="shared" si="5"/>
        <v>0</v>
      </c>
      <c r="F234" s="192"/>
    </row>
    <row r="235" spans="1:6" ht="26" outlineLevel="2" x14ac:dyDescent="0.3">
      <c r="A235" s="26" t="str">
        <f>'БазНорм (обр)'!A227</f>
        <v>Поверка весы электронные напольные</v>
      </c>
      <c r="B235" s="52">
        <f>'БазНорм (обр)'!C227</f>
        <v>0</v>
      </c>
      <c r="C235" s="61">
        <f>'БазНорм (обр)'!J227</f>
        <v>1</v>
      </c>
      <c r="D235" s="122">
        <f>'БазНорм (обр)'!K227</f>
        <v>1856.5366666666669</v>
      </c>
      <c r="E235" s="125">
        <f t="shared" si="5"/>
        <v>0</v>
      </c>
      <c r="F235" s="192"/>
    </row>
    <row r="236" spans="1:6" outlineLevel="2" x14ac:dyDescent="0.3">
      <c r="A236" s="26" t="str">
        <f>'БазНорм (обр)'!A228</f>
        <v>Поверка весы напольные</v>
      </c>
      <c r="B236" s="52">
        <f>'БазНорм (обр)'!C228</f>
        <v>0</v>
      </c>
      <c r="C236" s="61">
        <f>'БазНорм (обр)'!J228</f>
        <v>1</v>
      </c>
      <c r="D236" s="122">
        <f>'БазНорм (обр)'!K228</f>
        <v>869.09666666666669</v>
      </c>
      <c r="E236" s="125">
        <f t="shared" si="5"/>
        <v>0</v>
      </c>
      <c r="F236" s="192"/>
    </row>
    <row r="237" spans="1:6" ht="26" outlineLevel="2" x14ac:dyDescent="0.3">
      <c r="A237" s="26" t="str">
        <f>'БазНорм (обр)'!A229</f>
        <v>Поверка секундомеры механические</v>
      </c>
      <c r="B237" s="52">
        <f>'БазНорм (обр)'!C229</f>
        <v>0</v>
      </c>
      <c r="C237" s="61">
        <f>'БазНорм (обр)'!J229</f>
        <v>1</v>
      </c>
      <c r="D237" s="122">
        <f>'БазНорм (обр)'!K229</f>
        <v>288.40000000000003</v>
      </c>
      <c r="E237" s="125">
        <f t="shared" si="5"/>
        <v>0</v>
      </c>
      <c r="F237" s="192"/>
    </row>
    <row r="238" spans="1:6" ht="26" outlineLevel="2" x14ac:dyDescent="0.3">
      <c r="A238" s="26" t="str">
        <f>'БазНорм (обр)'!A230</f>
        <v>Поверка динамометры кистевые</v>
      </c>
      <c r="B238" s="52">
        <f>'БазНорм (обр)'!C230</f>
        <v>0</v>
      </c>
      <c r="C238" s="61">
        <f>'БазНорм (обр)'!J230</f>
        <v>1</v>
      </c>
      <c r="D238" s="122">
        <f>'БазНорм (обр)'!K230</f>
        <v>548.16</v>
      </c>
      <c r="E238" s="125">
        <f t="shared" si="5"/>
        <v>0</v>
      </c>
      <c r="F238" s="192"/>
    </row>
    <row r="239" spans="1:6" outlineLevel="2" x14ac:dyDescent="0.3">
      <c r="A239" s="26" t="str">
        <f>'БазНорм (обр)'!A231</f>
        <v>Курсы по теплоустановкам</v>
      </c>
      <c r="B239" s="52">
        <f>'БазНорм (обр)'!C231</f>
        <v>4.2417815482502655E-3</v>
      </c>
      <c r="C239" s="61">
        <f>'БазНорм (обр)'!J231</f>
        <v>1</v>
      </c>
      <c r="D239" s="122">
        <f>'БазНорм (обр)'!K231</f>
        <v>4466.666666666667</v>
      </c>
      <c r="E239" s="125">
        <f t="shared" si="5"/>
        <v>18.946624248851187</v>
      </c>
      <c r="F239" s="192"/>
    </row>
    <row r="240" spans="1:6" s="60" customFormat="1" outlineLevel="2" x14ac:dyDescent="0.3">
      <c r="A240" s="33" t="s">
        <v>64</v>
      </c>
      <c r="B240" s="51" t="s">
        <v>3</v>
      </c>
      <c r="C240" s="126" t="s">
        <v>3</v>
      </c>
      <c r="D240" s="127" t="s">
        <v>3</v>
      </c>
      <c r="E240" s="127">
        <f>SUM(E241:E258)</f>
        <v>48.875433015199718</v>
      </c>
      <c r="F240" s="192"/>
    </row>
    <row r="241" spans="1:6" outlineLevel="3" x14ac:dyDescent="0.3">
      <c r="A241" s="26" t="str">
        <f>'БазНорм (обр)'!A233</f>
        <v>Доска разделочная</v>
      </c>
      <c r="B241" s="52">
        <f>'БазНорм (обр)'!C233</f>
        <v>0</v>
      </c>
      <c r="C241" s="61">
        <f>'БазНорм (обр)'!J233</f>
        <v>1</v>
      </c>
      <c r="D241" s="122">
        <f>'БазНорм (обр)'!K233</f>
        <v>378</v>
      </c>
      <c r="E241" s="125">
        <f>B241/C241*D241</f>
        <v>0</v>
      </c>
      <c r="F241" s="192"/>
    </row>
    <row r="242" spans="1:6" outlineLevel="3" x14ac:dyDescent="0.3">
      <c r="A242" s="26" t="str">
        <f>'БазНорм (обр)'!A234</f>
        <v xml:space="preserve">Блюдце </v>
      </c>
      <c r="B242" s="52">
        <f>'БазНорм (обр)'!C234</f>
        <v>0</v>
      </c>
      <c r="C242" s="61">
        <f>'БазНорм (обр)'!J234</f>
        <v>1</v>
      </c>
      <c r="D242" s="122">
        <f>'БазНорм (обр)'!K234</f>
        <v>80</v>
      </c>
      <c r="E242" s="125">
        <f>B242/C242*D242</f>
        <v>0</v>
      </c>
      <c r="F242" s="192"/>
    </row>
    <row r="243" spans="1:6" outlineLevel="3" x14ac:dyDescent="0.3">
      <c r="A243" s="26" t="str">
        <f>'БазНорм (обр)'!A235</f>
        <v>Тарелка маленькая</v>
      </c>
      <c r="B243" s="52">
        <f>'БазНорм (обр)'!C235</f>
        <v>0</v>
      </c>
      <c r="C243" s="61">
        <f>'БазНорм (обр)'!J235</f>
        <v>1</v>
      </c>
      <c r="D243" s="122">
        <f>'БазНорм (обр)'!K235</f>
        <v>100</v>
      </c>
      <c r="E243" s="125">
        <f t="shared" ref="E243:E262" si="6">B243/C243*D243</f>
        <v>0</v>
      </c>
      <c r="F243" s="192"/>
    </row>
    <row r="244" spans="1:6" outlineLevel="3" x14ac:dyDescent="0.3">
      <c r="A244" s="26" t="str">
        <f>'БазНорм (обр)'!A236</f>
        <v>Тарелка мелкая</v>
      </c>
      <c r="B244" s="52">
        <f>'БазНорм (обр)'!C236</f>
        <v>0.53022269353128315</v>
      </c>
      <c r="C244" s="61">
        <f>'БазНорм (обр)'!J236</f>
        <v>1</v>
      </c>
      <c r="D244" s="122">
        <f>'БазНорм (обр)'!K236</f>
        <v>27.416666666666668</v>
      </c>
      <c r="E244" s="125">
        <f t="shared" si="6"/>
        <v>14.536938847649347</v>
      </c>
      <c r="F244" s="192"/>
    </row>
    <row r="245" spans="1:6" outlineLevel="3" x14ac:dyDescent="0.3">
      <c r="A245" s="26" t="str">
        <f>'БазНорм (обр)'!A237</f>
        <v>Тарелка глубокая</v>
      </c>
      <c r="B245" s="52">
        <f>'БазНорм (обр)'!C237</f>
        <v>0.33934252386002123</v>
      </c>
      <c r="C245" s="61">
        <f>'БазНорм (обр)'!J237</f>
        <v>1</v>
      </c>
      <c r="D245" s="122">
        <f>'БазНорм (обр)'!K237</f>
        <v>34.39</v>
      </c>
      <c r="E245" s="125">
        <f t="shared" si="6"/>
        <v>11.66998939554613</v>
      </c>
      <c r="F245" s="192"/>
    </row>
    <row r="246" spans="1:6" outlineLevel="3" x14ac:dyDescent="0.3">
      <c r="A246" s="26" t="str">
        <f>'БазНорм (обр)'!A238</f>
        <v>Ложка столовая</v>
      </c>
      <c r="B246" s="52">
        <f>'БазНорм (обр)'!C238</f>
        <v>0.21633085896076351</v>
      </c>
      <c r="C246" s="61">
        <f>'БазНорм (обр)'!J238</f>
        <v>1</v>
      </c>
      <c r="D246" s="122">
        <f>'БазНорм (обр)'!K238</f>
        <v>14.466666666666667</v>
      </c>
      <c r="E246" s="125">
        <f t="shared" si="6"/>
        <v>3.1295864262990456</v>
      </c>
      <c r="F246" s="192"/>
    </row>
    <row r="247" spans="1:6" outlineLevel="3" x14ac:dyDescent="0.3">
      <c r="A247" s="26" t="str">
        <f>'БазНорм (обр)'!A239</f>
        <v>Вилка столовая</v>
      </c>
      <c r="B247" s="52">
        <f>'БазНорм (обр)'!C239</f>
        <v>0.21633085896076351</v>
      </c>
      <c r="C247" s="61">
        <f>'БазНорм (обр)'!J239</f>
        <v>1</v>
      </c>
      <c r="D247" s="122">
        <f>'БазНорм (обр)'!K239</f>
        <v>14.466666666666667</v>
      </c>
      <c r="E247" s="125">
        <f t="shared" si="6"/>
        <v>3.1295864262990456</v>
      </c>
      <c r="F247" s="192"/>
    </row>
    <row r="248" spans="1:6" outlineLevel="3" x14ac:dyDescent="0.3">
      <c r="A248" s="26" t="str">
        <f>'БазНорм (обр)'!A240</f>
        <v>Таз 12 л.</v>
      </c>
      <c r="B248" s="52">
        <f>'БазНорм (обр)'!C240</f>
        <v>0</v>
      </c>
      <c r="C248" s="61">
        <f>'БазНорм (обр)'!J240</f>
        <v>1</v>
      </c>
      <c r="D248" s="122">
        <f>'БазНорм (обр)'!K240</f>
        <v>1158</v>
      </c>
      <c r="E248" s="125">
        <f t="shared" si="6"/>
        <v>0</v>
      </c>
      <c r="F248" s="192"/>
    </row>
    <row r="249" spans="1:6" outlineLevel="3" x14ac:dyDescent="0.3">
      <c r="A249" s="26" t="str">
        <f>'БазНорм (обр)'!A241</f>
        <v>Таз 5 л</v>
      </c>
      <c r="B249" s="52">
        <f>'БазНорм (обр)'!C241</f>
        <v>0</v>
      </c>
      <c r="C249" s="61">
        <f>'БазНорм (обр)'!J241</f>
        <v>1</v>
      </c>
      <c r="D249" s="122">
        <f>'БазНорм (обр)'!K241</f>
        <v>90.1</v>
      </c>
      <c r="E249" s="125">
        <f t="shared" si="6"/>
        <v>0</v>
      </c>
      <c r="F249" s="192"/>
    </row>
    <row r="250" spans="1:6" outlineLevel="3" x14ac:dyDescent="0.3">
      <c r="A250" s="26" t="str">
        <f>'БазНорм (обр)'!A242</f>
        <v>Противень</v>
      </c>
      <c r="B250" s="52">
        <f>'БазНорм (обр)'!C242</f>
        <v>0</v>
      </c>
      <c r="C250" s="61">
        <f>'БазНорм (обр)'!J242</f>
        <v>1</v>
      </c>
      <c r="D250" s="122">
        <f>'БазНорм (обр)'!K242</f>
        <v>676</v>
      </c>
      <c r="E250" s="125">
        <f t="shared" si="6"/>
        <v>0</v>
      </c>
      <c r="F250" s="192"/>
    </row>
    <row r="251" spans="1:6" outlineLevel="3" x14ac:dyDescent="0.3">
      <c r="A251" s="26" t="str">
        <f>'БазНорм (обр)'!A243</f>
        <v>Лоток для мяса</v>
      </c>
      <c r="B251" s="52">
        <f>'БазНорм (обр)'!C243</f>
        <v>0</v>
      </c>
      <c r="C251" s="61">
        <f>'БазНорм (обр)'!J243</f>
        <v>1</v>
      </c>
      <c r="D251" s="122">
        <f>'БазНорм (обр)'!K243</f>
        <v>1885.5</v>
      </c>
      <c r="E251" s="125">
        <f t="shared" si="6"/>
        <v>0</v>
      </c>
      <c r="F251" s="192"/>
    </row>
    <row r="252" spans="1:6" outlineLevel="3" x14ac:dyDescent="0.3">
      <c r="A252" s="26" t="str">
        <f>'БазНорм (обр)'!A244</f>
        <v>Лоток глубокий</v>
      </c>
      <c r="B252" s="52">
        <f>'БазНорм (обр)'!C244</f>
        <v>0</v>
      </c>
      <c r="C252" s="61">
        <f>'БазНорм (обр)'!J244</f>
        <v>1</v>
      </c>
      <c r="D252" s="122">
        <f>'БазНорм (обр)'!K244</f>
        <v>862</v>
      </c>
      <c r="E252" s="125">
        <f t="shared" si="6"/>
        <v>0</v>
      </c>
      <c r="F252" s="192"/>
    </row>
    <row r="253" spans="1:6" outlineLevel="3" x14ac:dyDescent="0.3">
      <c r="A253" s="26" t="str">
        <f>'БазНорм (обр)'!A245</f>
        <v>Кастрюля 15 л.</v>
      </c>
      <c r="B253" s="52">
        <f>'БазНорм (обр)'!C245</f>
        <v>0</v>
      </c>
      <c r="C253" s="61">
        <f>'БазНорм (обр)'!J245</f>
        <v>1</v>
      </c>
      <c r="D253" s="122">
        <f>'БазНорм (обр)'!K245</f>
        <v>2631</v>
      </c>
      <c r="E253" s="125">
        <f t="shared" si="6"/>
        <v>0</v>
      </c>
      <c r="F253" s="192"/>
    </row>
    <row r="254" spans="1:6" outlineLevel="3" x14ac:dyDescent="0.3">
      <c r="A254" s="26" t="str">
        <f>'БазНорм (обр)'!A246</f>
        <v>Кастрюля 20 л.</v>
      </c>
      <c r="B254" s="52">
        <f>'БазНорм (обр)'!C246</f>
        <v>0</v>
      </c>
      <c r="C254" s="61">
        <f>'БазНорм (обр)'!J246</f>
        <v>1</v>
      </c>
      <c r="D254" s="122">
        <f>'БазНорм (обр)'!K246</f>
        <v>1430.1</v>
      </c>
      <c r="E254" s="125">
        <f t="shared" si="6"/>
        <v>0</v>
      </c>
      <c r="F254" s="192"/>
    </row>
    <row r="255" spans="1:6" outlineLevel="3" x14ac:dyDescent="0.3">
      <c r="A255" s="26" t="str">
        <f>'БазНорм (обр)'!A247</f>
        <v>Корзина для стаканов и чашек</v>
      </c>
      <c r="B255" s="52">
        <f>'БазНорм (обр)'!C247</f>
        <v>0</v>
      </c>
      <c r="C255" s="61">
        <f>'БазНорм (обр)'!J247</f>
        <v>1</v>
      </c>
      <c r="D255" s="122">
        <f>'БазНорм (обр)'!K247</f>
        <v>2178</v>
      </c>
      <c r="E255" s="125">
        <f t="shared" si="6"/>
        <v>0</v>
      </c>
      <c r="F255" s="192"/>
    </row>
    <row r="256" spans="1:6" outlineLevel="3" x14ac:dyDescent="0.3">
      <c r="A256" s="26" t="str">
        <f>'БазНорм (обр)'!A248</f>
        <v>Стакан граненый</v>
      </c>
      <c r="B256" s="52">
        <f>'БазНорм (обр)'!C248</f>
        <v>0.22905620360551432</v>
      </c>
      <c r="C256" s="61">
        <f>'БазНорм (обр)'!J248</f>
        <v>1</v>
      </c>
      <c r="D256" s="122">
        <f>'БазНорм (обр)'!K248</f>
        <v>18</v>
      </c>
      <c r="E256" s="125">
        <f t="shared" si="6"/>
        <v>4.1230116648992574</v>
      </c>
      <c r="F256" s="192"/>
    </row>
    <row r="257" spans="1:6" outlineLevel="3" x14ac:dyDescent="0.3">
      <c r="A257" s="26" t="str">
        <f>'БазНорм (обр)'!A249</f>
        <v>Сито</v>
      </c>
      <c r="B257" s="52">
        <f>'БазНорм (обр)'!C249</f>
        <v>0</v>
      </c>
      <c r="C257" s="61">
        <f>'БазНорм (обр)'!J249</f>
        <v>1</v>
      </c>
      <c r="D257" s="122">
        <f>'БазНорм (обр)'!K249</f>
        <v>1642</v>
      </c>
      <c r="E257" s="125">
        <f t="shared" si="6"/>
        <v>0</v>
      </c>
      <c r="F257" s="192"/>
    </row>
    <row r="258" spans="1:6" outlineLevel="3" x14ac:dyDescent="0.3">
      <c r="A258" s="26" t="str">
        <f>'БазНорм (обр)'!A250</f>
        <v>Нож повара</v>
      </c>
      <c r="B258" s="52">
        <f>'БазНорм (обр)'!C250</f>
        <v>6.3626723223753979E-3</v>
      </c>
      <c r="C258" s="61">
        <f>'БазНорм (обр)'!J250</f>
        <v>1</v>
      </c>
      <c r="D258" s="122">
        <f>'БазНорм (обр)'!K250</f>
        <v>1931</v>
      </c>
      <c r="E258" s="125">
        <f t="shared" si="6"/>
        <v>12.286320254506894</v>
      </c>
      <c r="F258" s="192"/>
    </row>
    <row r="259" spans="1:6" s="60" customFormat="1" outlineLevel="2" x14ac:dyDescent="0.3">
      <c r="A259" s="33" t="s">
        <v>480</v>
      </c>
      <c r="B259" s="51" t="s">
        <v>3</v>
      </c>
      <c r="C259" s="126" t="s">
        <v>3</v>
      </c>
      <c r="D259" s="127" t="s">
        <v>3</v>
      </c>
      <c r="E259" s="127">
        <f>SUM(E260:E262)</f>
        <v>0</v>
      </c>
      <c r="F259" s="192"/>
    </row>
    <row r="260" spans="1:6" outlineLevel="3" x14ac:dyDescent="0.3">
      <c r="A260" s="26" t="str">
        <f>'БазНорм (обр)'!A252</f>
        <v>Посудомоечная машина</v>
      </c>
      <c r="B260" s="52">
        <f>'БазНорм (обр)'!C252</f>
        <v>0</v>
      </c>
      <c r="C260" s="61">
        <f>'БазНорм (обр)'!J252</f>
        <v>5</v>
      </c>
      <c r="D260" s="122">
        <f>'БазНорм (обр)'!K252</f>
        <v>130726.66666666667</v>
      </c>
      <c r="E260" s="125">
        <f t="shared" si="6"/>
        <v>0</v>
      </c>
      <c r="F260" s="192"/>
    </row>
    <row r="261" spans="1:6" ht="26" outlineLevel="3" x14ac:dyDescent="0.3">
      <c r="A261" s="26" t="str">
        <f>'БазНорм (обр)'!A253</f>
        <v>Холодильная камера 2х дверная Полюс-R 1400"</v>
      </c>
      <c r="B261" s="52">
        <f>'БазНорм (обр)'!C253</f>
        <v>0</v>
      </c>
      <c r="C261" s="61">
        <f>'БазНорм (обр)'!J253</f>
        <v>5</v>
      </c>
      <c r="D261" s="122">
        <f>'БазНорм (обр)'!K253</f>
        <v>104000</v>
      </c>
      <c r="E261" s="125">
        <f t="shared" si="6"/>
        <v>0</v>
      </c>
      <c r="F261" s="192"/>
    </row>
    <row r="262" spans="1:6" ht="26" outlineLevel="3" x14ac:dyDescent="0.3">
      <c r="A262" s="26" t="str">
        <f>'БазНорм (обр)'!A254</f>
        <v>Холодильная камера 1 дверная, "Полюс-R700"</v>
      </c>
      <c r="B262" s="52">
        <f>'БазНорм (обр)'!C254</f>
        <v>0</v>
      </c>
      <c r="C262" s="61">
        <f>'БазНорм (обр)'!J254</f>
        <v>5</v>
      </c>
      <c r="D262" s="122">
        <f>'БазНорм (обр)'!K254</f>
        <v>64500</v>
      </c>
      <c r="E262" s="125">
        <f t="shared" si="6"/>
        <v>0</v>
      </c>
      <c r="F262" s="192"/>
    </row>
    <row r="263" spans="1:6" s="60" customFormat="1" ht="26" outlineLevel="2" x14ac:dyDescent="0.3">
      <c r="A263" s="33" t="s">
        <v>68</v>
      </c>
      <c r="B263" s="51" t="s">
        <v>3</v>
      </c>
      <c r="C263" s="126" t="s">
        <v>3</v>
      </c>
      <c r="D263" s="127" t="s">
        <v>3</v>
      </c>
      <c r="E263" s="127">
        <f>SUM(E264:E292)</f>
        <v>206.5933221570271</v>
      </c>
      <c r="F263" s="192"/>
    </row>
    <row r="264" spans="1:6" outlineLevel="3" x14ac:dyDescent="0.3">
      <c r="A264" s="26" t="str">
        <f>'БазНорм (обр)'!A256</f>
        <v>Мыло хозяйственное</v>
      </c>
      <c r="B264" s="52">
        <f>'БазНорм (обр)'!C256</f>
        <v>0.41911148365465217</v>
      </c>
      <c r="C264" s="61">
        <f>'БазНорм (обр)'!J256</f>
        <v>1</v>
      </c>
      <c r="D264" s="122">
        <f>'БазНорм (обр)'!K256</f>
        <v>17.466666666666665</v>
      </c>
      <c r="E264" s="125">
        <f t="shared" ref="E264:E292" si="7">B264*D264</f>
        <v>7.3204805811679243</v>
      </c>
      <c r="F264" s="192"/>
    </row>
    <row r="265" spans="1:6" outlineLevel="3" x14ac:dyDescent="0.3">
      <c r="A265" s="26" t="str">
        <f>'БазНорм (обр)'!A257</f>
        <v>Мыло детское</v>
      </c>
      <c r="B265" s="52">
        <f>'БазНорм (обр)'!C257</f>
        <v>0.41911148365465217</v>
      </c>
      <c r="C265" s="61">
        <f>'БазНорм (обр)'!J257</f>
        <v>1</v>
      </c>
      <c r="D265" s="122">
        <f>'БазНорм (обр)'!K257</f>
        <v>12.933333333333332</v>
      </c>
      <c r="E265" s="125">
        <f t="shared" si="7"/>
        <v>5.4205085219335007</v>
      </c>
      <c r="F265" s="192"/>
    </row>
    <row r="266" spans="1:6" outlineLevel="3" x14ac:dyDescent="0.3">
      <c r="A266" s="26" t="str">
        <f>'БазНорм (обр)'!A258</f>
        <v>Порошок стиральный 0,4 кг.</v>
      </c>
      <c r="B266" s="52">
        <f>'БазНорм (обр)'!C258</f>
        <v>0.15088013411567477</v>
      </c>
      <c r="C266" s="61">
        <f>'БазНорм (обр)'!J258</f>
        <v>1</v>
      </c>
      <c r="D266" s="122">
        <f>'БазНорм (обр)'!K258</f>
        <v>36.5</v>
      </c>
      <c r="E266" s="125">
        <f t="shared" si="7"/>
        <v>5.5071248952221294</v>
      </c>
      <c r="F266" s="192"/>
    </row>
    <row r="267" spans="1:6" outlineLevel="3" x14ac:dyDescent="0.3">
      <c r="A267" s="26" t="str">
        <f>'БазНорм (обр)'!A259</f>
        <v>Порошок стиральный 1,8 кг.</v>
      </c>
      <c r="B267" s="52">
        <f>'БазНорм (обр)'!C259</f>
        <v>0</v>
      </c>
      <c r="C267" s="61">
        <f>'БазНорм (обр)'!J259</f>
        <v>1</v>
      </c>
      <c r="D267" s="122">
        <f>'БазНорм (обр)'!K259</f>
        <v>143.66666666666666</v>
      </c>
      <c r="E267" s="125">
        <f t="shared" si="7"/>
        <v>0</v>
      </c>
      <c r="F267" s="192"/>
    </row>
    <row r="268" spans="1:6" outlineLevel="3" x14ac:dyDescent="0.3">
      <c r="A268" s="26" t="str">
        <f>'БазНорм (обр)'!A260</f>
        <v>Сода кальценированная 0,4 кг</v>
      </c>
      <c r="B268" s="52">
        <f>'БазНорм (обр)'!C260</f>
        <v>0.25146689019279128</v>
      </c>
      <c r="C268" s="61">
        <f>'БазНорм (обр)'!J260</f>
        <v>1</v>
      </c>
      <c r="D268" s="122">
        <f>'БазНорм (обр)'!K260</f>
        <v>19.166666666666668</v>
      </c>
      <c r="E268" s="125">
        <f t="shared" si="7"/>
        <v>4.8197820620284997</v>
      </c>
      <c r="F268" s="192"/>
    </row>
    <row r="269" spans="1:6" outlineLevel="3" x14ac:dyDescent="0.3">
      <c r="A269" s="26" t="str">
        <f>'БазНорм (обр)'!A261</f>
        <v>Паста чистящая</v>
      </c>
      <c r="B269" s="52">
        <f>'БазНорм (обр)'!C261</f>
        <v>0.16764459346186086</v>
      </c>
      <c r="C269" s="61">
        <f>'БазНорм (обр)'!J261</f>
        <v>1</v>
      </c>
      <c r="D269" s="122">
        <f>'БазНорм (обр)'!K261</f>
        <v>20.099999999999998</v>
      </c>
      <c r="E269" s="125">
        <f t="shared" si="7"/>
        <v>3.3696563285834031</v>
      </c>
      <c r="F269" s="192"/>
    </row>
    <row r="270" spans="1:6" ht="26" outlineLevel="3" x14ac:dyDescent="0.3">
      <c r="A270" s="26" t="str">
        <f>'БазНорм (обр)'!A262</f>
        <v>Средство для мытья плит 0,75 л.</v>
      </c>
      <c r="B270" s="52">
        <f>'БазНорм (обр)'!C262</f>
        <v>0</v>
      </c>
      <c r="C270" s="61">
        <f>'БазНорм (обр)'!J262</f>
        <v>1</v>
      </c>
      <c r="D270" s="122">
        <f>'БазНорм (обр)'!K262</f>
        <v>39.166666666666664</v>
      </c>
      <c r="E270" s="125">
        <f t="shared" si="7"/>
        <v>0</v>
      </c>
      <c r="F270" s="192"/>
    </row>
    <row r="271" spans="1:6" outlineLevel="3" x14ac:dyDescent="0.3">
      <c r="A271" s="26" t="str">
        <f>'БазНорм (обр)'!A263</f>
        <v xml:space="preserve">Средсто для мытья посуды </v>
      </c>
      <c r="B271" s="52">
        <f>'БазНорм (обр)'!C263</f>
        <v>0</v>
      </c>
      <c r="C271" s="61">
        <f>'БазНорм (обр)'!J263</f>
        <v>1</v>
      </c>
      <c r="D271" s="122">
        <f>'БазНорм (обр)'!K263</f>
        <v>101.66666666666667</v>
      </c>
      <c r="E271" s="125">
        <f t="shared" si="7"/>
        <v>0</v>
      </c>
      <c r="F271" s="192"/>
    </row>
    <row r="272" spans="1:6" ht="26" outlineLevel="3" x14ac:dyDescent="0.3">
      <c r="A272" s="26" t="str">
        <f>'БазНорм (обр)'!A264</f>
        <v>Чистящий порошок Пемолюкс 0,45 кг</v>
      </c>
      <c r="B272" s="52">
        <f>'БазНорм (обр)'!C264</f>
        <v>0.16764459346186086</v>
      </c>
      <c r="C272" s="61">
        <f>'БазНорм (обр)'!J264</f>
        <v>1</v>
      </c>
      <c r="D272" s="122">
        <f>'БазНорм (обр)'!K264</f>
        <v>32.666666666666664</v>
      </c>
      <c r="E272" s="125">
        <f t="shared" si="7"/>
        <v>5.4763900530874547</v>
      </c>
      <c r="F272" s="192"/>
    </row>
    <row r="273" spans="1:6" ht="26" outlineLevel="3" x14ac:dyDescent="0.3">
      <c r="A273" s="26" t="str">
        <f>'БазНорм (обр)'!A265</f>
        <v>Моющее средство для посудомоечной машины 2,5 кг.</v>
      </c>
      <c r="B273" s="52">
        <f>'БазНорм (обр)'!C265</f>
        <v>0</v>
      </c>
      <c r="C273" s="61">
        <f>'БазНорм (обр)'!J265</f>
        <v>1</v>
      </c>
      <c r="D273" s="122">
        <f>'БазНорм (обр)'!K265</f>
        <v>415</v>
      </c>
      <c r="E273" s="125">
        <f t="shared" si="7"/>
        <v>0</v>
      </c>
      <c r="F273" s="192"/>
    </row>
    <row r="274" spans="1:6" ht="26" outlineLevel="3" x14ac:dyDescent="0.3">
      <c r="A274" s="26" t="str">
        <f>'БазНорм (обр)'!A266</f>
        <v>Чистящий псредство Доместос 1 л.</v>
      </c>
      <c r="B274" s="52">
        <f>'БазНорм (обр)'!C266</f>
        <v>0</v>
      </c>
      <c r="C274" s="61">
        <f>'БазНорм (обр)'!J266</f>
        <v>1</v>
      </c>
      <c r="D274" s="122">
        <f>'БазНорм (обр)'!K266</f>
        <v>110.33333333333333</v>
      </c>
      <c r="E274" s="125">
        <f t="shared" si="7"/>
        <v>0</v>
      </c>
      <c r="F274" s="192"/>
    </row>
    <row r="275" spans="1:6" outlineLevel="3" x14ac:dyDescent="0.3">
      <c r="A275" s="26" t="str">
        <f>'БазНорм (обр)'!A267</f>
        <v>Чистящее средство 0,6 л.</v>
      </c>
      <c r="B275" s="52">
        <f>'БазНорм (обр)'!C267</f>
        <v>0</v>
      </c>
      <c r="C275" s="61">
        <f>'БазНорм (обр)'!J267</f>
        <v>1</v>
      </c>
      <c r="D275" s="122">
        <f>'БазНорм (обр)'!K267</f>
        <v>58.333333333333336</v>
      </c>
      <c r="E275" s="125">
        <f t="shared" si="7"/>
        <v>0</v>
      </c>
      <c r="F275" s="192"/>
    </row>
    <row r="276" spans="1:6" ht="26" outlineLevel="3" x14ac:dyDescent="0.3">
      <c r="A276" s="26" t="str">
        <f>'БазНорм (обр)'!A268</f>
        <v>Средство для мытья стекол 0,5 л.</v>
      </c>
      <c r="B276" s="52">
        <f>'БазНорм (обр)'!C268</f>
        <v>0</v>
      </c>
      <c r="C276" s="61">
        <f>'БазНорм (обр)'!J268</f>
        <v>1</v>
      </c>
      <c r="D276" s="122">
        <f>'БазНорм (обр)'!K268</f>
        <v>105.33333333333333</v>
      </c>
      <c r="E276" s="125">
        <f t="shared" si="7"/>
        <v>0</v>
      </c>
      <c r="F276" s="192"/>
    </row>
    <row r="277" spans="1:6" ht="26" outlineLevel="3" x14ac:dyDescent="0.3">
      <c r="A277" s="26" t="str">
        <f>'БазНорм (обр)'!A269</f>
        <v>Кондиционер для белья Ленор 1 л.</v>
      </c>
      <c r="B277" s="52">
        <f>'БазНорм (обр)'!C269</f>
        <v>0</v>
      </c>
      <c r="C277" s="61">
        <f>'БазНорм (обр)'!J269</f>
        <v>1</v>
      </c>
      <c r="D277" s="122">
        <f>'БазНорм (обр)'!K269</f>
        <v>120.66666666666667</v>
      </c>
      <c r="E277" s="125">
        <f t="shared" si="7"/>
        <v>0</v>
      </c>
      <c r="F277" s="192"/>
    </row>
    <row r="278" spans="1:6" outlineLevel="3" x14ac:dyDescent="0.3">
      <c r="A278" s="26" t="str">
        <f>'БазНорм (обр)'!A270</f>
        <v>Отбеливатель 1 л.</v>
      </c>
      <c r="B278" s="52">
        <f>'БазНорм (обр)'!C270</f>
        <v>0</v>
      </c>
      <c r="C278" s="61">
        <f>'БазНорм (обр)'!J270</f>
        <v>1</v>
      </c>
      <c r="D278" s="122">
        <f>'БазНорм (обр)'!K270</f>
        <v>61.933333333333337</v>
      </c>
      <c r="E278" s="125">
        <f t="shared" si="7"/>
        <v>0</v>
      </c>
      <c r="F278" s="192"/>
    </row>
    <row r="279" spans="1:6" outlineLevel="3" x14ac:dyDescent="0.3">
      <c r="A279" s="26" t="str">
        <f>'БазНорм (обр)'!A271</f>
        <v>Чистящее средсво для ванн 1 л.</v>
      </c>
      <c r="B279" s="52">
        <f>'БазНорм (обр)'!C271</f>
        <v>0</v>
      </c>
      <c r="C279" s="61">
        <f>'БазНорм (обр)'!J271</f>
        <v>1</v>
      </c>
      <c r="D279" s="122">
        <f>'БазНорм (обр)'!K271</f>
        <v>136.46666666666667</v>
      </c>
      <c r="E279" s="125">
        <f t="shared" si="7"/>
        <v>0</v>
      </c>
      <c r="F279" s="192"/>
    </row>
    <row r="280" spans="1:6" outlineLevel="3" x14ac:dyDescent="0.3">
      <c r="A280" s="26" t="str">
        <f>'БазНорм (обр)'!A272</f>
        <v>Жидкое мыло детское</v>
      </c>
      <c r="B280" s="52">
        <f>'БазНорм (обр)'!C272</f>
        <v>6.286672254819782E-2</v>
      </c>
      <c r="C280" s="61">
        <f>'БазНорм (обр)'!J272</f>
        <v>1</v>
      </c>
      <c r="D280" s="122">
        <f>'БазНорм (обр)'!K272</f>
        <v>56.233333333333327</v>
      </c>
      <c r="E280" s="125">
        <f t="shared" si="7"/>
        <v>3.5352053646269903</v>
      </c>
      <c r="F280" s="192"/>
    </row>
    <row r="281" spans="1:6" outlineLevel="3" x14ac:dyDescent="0.3">
      <c r="A281" s="26" t="str">
        <f>'БазНорм (обр)'!A273</f>
        <v>Жидкое мыло детское 5 л.</v>
      </c>
      <c r="B281" s="52">
        <f>'БазНорм (обр)'!C273</f>
        <v>0</v>
      </c>
      <c r="C281" s="61">
        <f>'БазНорм (обр)'!J273</f>
        <v>1</v>
      </c>
      <c r="D281" s="122">
        <f>'БазНорм (обр)'!K273</f>
        <v>331.66666666666669</v>
      </c>
      <c r="E281" s="125">
        <f t="shared" si="7"/>
        <v>0</v>
      </c>
      <c r="F281" s="192"/>
    </row>
    <row r="282" spans="1:6" outlineLevel="3" x14ac:dyDescent="0.3">
      <c r="A282" s="26" t="str">
        <f>'БазНорм (обр)'!A274</f>
        <v>Освежитель воздуха</v>
      </c>
      <c r="B282" s="52">
        <f>'БазНорм (обр)'!C274</f>
        <v>0</v>
      </c>
      <c r="C282" s="61">
        <f>'БазНорм (обр)'!J274</f>
        <v>1</v>
      </c>
      <c r="D282" s="122">
        <f>'БазНорм (обр)'!K274</f>
        <v>52.333333333333336</v>
      </c>
      <c r="E282" s="125">
        <f t="shared" si="7"/>
        <v>0</v>
      </c>
      <c r="F282" s="192"/>
    </row>
    <row r="283" spans="1:6" outlineLevel="3" x14ac:dyDescent="0.3">
      <c r="A283" s="26" t="str">
        <f>'БазНорм (обр)'!A275</f>
        <v>Ди-хлор 300 шт.</v>
      </c>
      <c r="B283" s="52">
        <f>'БазНорм (обр)'!C275</f>
        <v>3.7720033528918694E-2</v>
      </c>
      <c r="C283" s="61">
        <f>'БазНорм (обр)'!J275</f>
        <v>1</v>
      </c>
      <c r="D283" s="122">
        <f>'БазНорм (обр)'!K275</f>
        <v>533.33333333333337</v>
      </c>
      <c r="E283" s="125">
        <f t="shared" si="7"/>
        <v>20.117351215423305</v>
      </c>
      <c r="F283" s="192"/>
    </row>
    <row r="284" spans="1:6" outlineLevel="3" x14ac:dyDescent="0.3">
      <c r="A284" s="26" t="str">
        <f>'БазНорм (обр)'!A276</f>
        <v>Хлорамин</v>
      </c>
      <c r="B284" s="52">
        <f>'БазНорм (обр)'!C276</f>
        <v>0</v>
      </c>
      <c r="C284" s="61">
        <f>'БазНорм (обр)'!J276</f>
        <v>1</v>
      </c>
      <c r="D284" s="122">
        <f>'БазНорм (обр)'!K276</f>
        <v>165.66666666666666</v>
      </c>
      <c r="E284" s="125">
        <f t="shared" si="7"/>
        <v>0</v>
      </c>
      <c r="F284" s="192"/>
    </row>
    <row r="285" spans="1:6" outlineLevel="3" x14ac:dyDescent="0.3">
      <c r="A285" s="26" t="str">
        <f>'БазНорм (обр)'!A277</f>
        <v>Средство для мытья окон</v>
      </c>
      <c r="B285" s="52">
        <f>'БазНорм (обр)'!C277</f>
        <v>3.143336127409891E-2</v>
      </c>
      <c r="C285" s="61">
        <f>'БазНорм (обр)'!J277</f>
        <v>1</v>
      </c>
      <c r="D285" s="122">
        <f>'БазНорм (обр)'!K277</f>
        <v>56</v>
      </c>
      <c r="E285" s="125">
        <f t="shared" si="7"/>
        <v>1.760268231349539</v>
      </c>
      <c r="F285" s="192"/>
    </row>
    <row r="286" spans="1:6" outlineLevel="3" x14ac:dyDescent="0.3">
      <c r="A286" s="26" t="str">
        <f>'БазНорм (обр)'!A278</f>
        <v>Оптимакс 1 л.</v>
      </c>
      <c r="B286" s="52">
        <f>'БазНорм (обр)'!C278</f>
        <v>6.286672254819782E-2</v>
      </c>
      <c r="C286" s="61">
        <f>'БазНорм (обр)'!J278</f>
        <v>1</v>
      </c>
      <c r="D286" s="122">
        <f>'БазНорм (обр)'!K278</f>
        <v>333.33333333333331</v>
      </c>
      <c r="E286" s="125">
        <f t="shared" si="7"/>
        <v>20.955574182732605</v>
      </c>
      <c r="F286" s="192"/>
    </row>
    <row r="287" spans="1:6" outlineLevel="3" x14ac:dyDescent="0.3">
      <c r="A287" s="26" t="str">
        <f>'БазНорм (обр)'!A279</f>
        <v>Жавель солид</v>
      </c>
      <c r="B287" s="52">
        <f>'БазНорм (обр)'!C279</f>
        <v>0</v>
      </c>
      <c r="C287" s="61">
        <f>'БазНорм (обр)'!J279</f>
        <v>1</v>
      </c>
      <c r="D287" s="122">
        <f>'БазНорм (обр)'!K279</f>
        <v>760</v>
      </c>
      <c r="E287" s="125">
        <f t="shared" si="7"/>
        <v>0</v>
      </c>
      <c r="F287" s="192"/>
    </row>
    <row r="288" spans="1:6" outlineLevel="3" x14ac:dyDescent="0.3">
      <c r="A288" s="26" t="str">
        <f>'БазНорм (обр)'!A280</f>
        <v>Химический индикатор 50 шт.</v>
      </c>
      <c r="B288" s="52">
        <f>'БазНорм (обр)'!C280</f>
        <v>0</v>
      </c>
      <c r="C288" s="61">
        <f>'БазНорм (обр)'!J280</f>
        <v>1</v>
      </c>
      <c r="D288" s="122">
        <f>'БазНорм (обр)'!K280</f>
        <v>610</v>
      </c>
      <c r="E288" s="125">
        <f t="shared" si="7"/>
        <v>0</v>
      </c>
      <c r="F288" s="192"/>
    </row>
    <row r="289" spans="1:6" outlineLevel="3" x14ac:dyDescent="0.3">
      <c r="A289" s="26" t="str">
        <f>'БазНорм (обр)'!A281</f>
        <v>Средство САНФОР 750 мл</v>
      </c>
      <c r="B289" s="52">
        <f>'БазНорм (обр)'!C281</f>
        <v>6.286672254819782E-2</v>
      </c>
      <c r="C289" s="61">
        <f>'БазНорм (обр)'!J281</f>
        <v>1</v>
      </c>
      <c r="D289" s="122">
        <f>'БазНорм (обр)'!K281</f>
        <v>131.66666666666666</v>
      </c>
      <c r="E289" s="125">
        <f t="shared" si="7"/>
        <v>8.2774518021793799</v>
      </c>
      <c r="F289" s="192"/>
    </row>
    <row r="290" spans="1:6" ht="26" outlineLevel="3" x14ac:dyDescent="0.3">
      <c r="A290" s="26" t="str">
        <f>'БазНорм (обр)'!A282</f>
        <v>Средство для чистки туалетов (САНОКС)</v>
      </c>
      <c r="B290" s="52">
        <f>'БазНорм (обр)'!C282</f>
        <v>0</v>
      </c>
      <c r="C290" s="61">
        <f>'БазНорм (обр)'!J282</f>
        <v>1</v>
      </c>
      <c r="D290" s="122">
        <f>'БазНорм (обр)'!K282</f>
        <v>64.84</v>
      </c>
      <c r="E290" s="125">
        <f t="shared" si="7"/>
        <v>0</v>
      </c>
      <c r="F290" s="192"/>
    </row>
    <row r="291" spans="1:6" ht="26" outlineLevel="3" x14ac:dyDescent="0.3">
      <c r="A291" s="26" t="str">
        <f>'БазНорм (обр)'!A283</f>
        <v>Средство дизенфицирующее Дихлор(300 таблеток)</v>
      </c>
      <c r="B291" s="52">
        <f>'БазНорм (обр)'!C283</f>
        <v>3.143336127409891E-2</v>
      </c>
      <c r="C291" s="61">
        <f>'БазНорм (обр)'!J283</f>
        <v>1</v>
      </c>
      <c r="D291" s="122">
        <f>'БазНорм (обр)'!K283</f>
        <v>792</v>
      </c>
      <c r="E291" s="125">
        <f t="shared" si="7"/>
        <v>24.895222129086338</v>
      </c>
      <c r="F291" s="192"/>
    </row>
    <row r="292" spans="1:6" outlineLevel="3" x14ac:dyDescent="0.3">
      <c r="A292" s="26" t="str">
        <f>'БазНорм (обр)'!A284</f>
        <v>Средство для мытья пола 5 л</v>
      </c>
      <c r="B292" s="52">
        <f>'БазНорм (обр)'!C284</f>
        <v>6.286672254819782E-2</v>
      </c>
      <c r="C292" s="61">
        <f>'БазНорм (обр)'!J284</f>
        <v>1</v>
      </c>
      <c r="D292" s="122">
        <f>'БазНорм (обр)'!K284</f>
        <v>1513.3333333333333</v>
      </c>
      <c r="E292" s="125">
        <f t="shared" si="7"/>
        <v>95.138306789606034</v>
      </c>
      <c r="F292" s="192"/>
    </row>
    <row r="293" spans="1:6" s="60" customFormat="1" outlineLevel="2" x14ac:dyDescent="0.3">
      <c r="A293" s="33" t="s">
        <v>31</v>
      </c>
      <c r="B293" s="51" t="s">
        <v>3</v>
      </c>
      <c r="C293" s="126" t="s">
        <v>3</v>
      </c>
      <c r="D293" s="127" t="s">
        <v>3</v>
      </c>
      <c r="E293" s="127">
        <f>SUM(E294:E296)</f>
        <v>0</v>
      </c>
      <c r="F293" s="192"/>
    </row>
    <row r="294" spans="1:6" ht="26" outlineLevel="3" x14ac:dyDescent="0.3">
      <c r="A294" s="26" t="str">
        <f>'БазНорм (обр)'!A286</f>
        <v>Спец одежда. Костюм мужской</v>
      </c>
      <c r="B294" s="52">
        <f>'БазНорм (обр)'!C286</f>
        <v>0</v>
      </c>
      <c r="C294" s="61">
        <f>'БазНорм (обр)'!J286</f>
        <v>1</v>
      </c>
      <c r="D294" s="122">
        <f>'БазНорм (обр)'!K286</f>
        <v>3978.3333333333335</v>
      </c>
      <c r="E294" s="125">
        <f>B294/C294*D294</f>
        <v>0</v>
      </c>
      <c r="F294" s="192"/>
    </row>
    <row r="295" spans="1:6" outlineLevel="3" x14ac:dyDescent="0.3">
      <c r="A295" s="26" t="str">
        <f>'БазНорм (обр)'!A287</f>
        <v>Спец одежда. Халат женскй</v>
      </c>
      <c r="B295" s="52">
        <f>'БазНорм (обр)'!C287</f>
        <v>0</v>
      </c>
      <c r="C295" s="61">
        <f>'БазНорм (обр)'!J287</f>
        <v>1</v>
      </c>
      <c r="D295" s="122">
        <f>'БазНорм (обр)'!K287</f>
        <v>870</v>
      </c>
      <c r="E295" s="125">
        <f>B295/C295*D295</f>
        <v>0</v>
      </c>
      <c r="F295" s="192"/>
    </row>
    <row r="296" spans="1:6" outlineLevel="3" x14ac:dyDescent="0.3">
      <c r="A296" s="26" t="str">
        <f>'БазНорм (обр)'!A288</f>
        <v>Халат капроновый рабочий</v>
      </c>
      <c r="B296" s="52">
        <f>'БазНорм (обр)'!C288</f>
        <v>0</v>
      </c>
      <c r="C296" s="61">
        <f>'БазНорм (обр)'!J288</f>
        <v>1</v>
      </c>
      <c r="D296" s="122">
        <f>'БазНорм (обр)'!K288</f>
        <v>791.33333333333337</v>
      </c>
      <c r="E296" s="125">
        <f>B296/C296*D296</f>
        <v>0</v>
      </c>
      <c r="F296" s="192"/>
    </row>
    <row r="297" spans="1:6" ht="52" outlineLevel="2" x14ac:dyDescent="0.3">
      <c r="A297" s="33" t="s">
        <v>479</v>
      </c>
      <c r="B297" s="51" t="s">
        <v>3</v>
      </c>
      <c r="C297" s="126" t="s">
        <v>3</v>
      </c>
      <c r="D297" s="127" t="s">
        <v>3</v>
      </c>
      <c r="E297" s="127">
        <f>SUM(E298:E341)</f>
        <v>0</v>
      </c>
      <c r="F297" s="192"/>
    </row>
    <row r="298" spans="1:6" ht="26" outlineLevel="3" x14ac:dyDescent="0.3">
      <c r="A298" s="26" t="str">
        <f>'БазНорм (обр)'!A290</f>
        <v>Ножовка по металлу 300мм(5 см,полотен)</v>
      </c>
      <c r="B298" s="52">
        <f>'БазНорм (обр)'!C290</f>
        <v>0</v>
      </c>
      <c r="C298" s="61">
        <f>'БазНорм (обр)'!J290</f>
        <v>1</v>
      </c>
      <c r="D298" s="122">
        <f>'БазНорм (обр)'!K290</f>
        <v>283.33333333333331</v>
      </c>
      <c r="E298" s="125">
        <f t="shared" ref="E298:E307" si="8">B298/C298*D298</f>
        <v>0</v>
      </c>
      <c r="F298" s="192"/>
    </row>
    <row r="299" spans="1:6" outlineLevel="3" x14ac:dyDescent="0.3">
      <c r="A299" s="26" t="str">
        <f>'БазНорм (обр)'!A291</f>
        <v>Ножовка по дереву 350мм</v>
      </c>
      <c r="B299" s="52">
        <f>'БазНорм (обр)'!C291</f>
        <v>0</v>
      </c>
      <c r="C299" s="61">
        <f>'БазНорм (обр)'!J291</f>
        <v>1</v>
      </c>
      <c r="D299" s="122">
        <f>'БазНорм (обр)'!K291</f>
        <v>483.34</v>
      </c>
      <c r="E299" s="125">
        <f t="shared" si="8"/>
        <v>0</v>
      </c>
      <c r="F299" s="192"/>
    </row>
    <row r="300" spans="1:6" outlineLevel="3" x14ac:dyDescent="0.3">
      <c r="A300" s="26" t="str">
        <f>'БазНорм (обр)'!A292</f>
        <v>Стамеска  16мм</v>
      </c>
      <c r="B300" s="52">
        <f>'БазНорм (обр)'!C292</f>
        <v>0</v>
      </c>
      <c r="C300" s="61">
        <f>'БазНорм (обр)'!J292</f>
        <v>1</v>
      </c>
      <c r="D300" s="122">
        <f>'БазНорм (обр)'!K292</f>
        <v>233.33333333333334</v>
      </c>
      <c r="E300" s="125">
        <f t="shared" si="8"/>
        <v>0</v>
      </c>
      <c r="F300" s="192"/>
    </row>
    <row r="301" spans="1:6" outlineLevel="3" x14ac:dyDescent="0.3">
      <c r="A301" s="26" t="str">
        <f>'БазНорм (обр)'!A293</f>
        <v>Молоток</v>
      </c>
      <c r="B301" s="52">
        <f>'БазНорм (обр)'!C293</f>
        <v>0</v>
      </c>
      <c r="C301" s="61">
        <f>'БазНорм (обр)'!J293</f>
        <v>1</v>
      </c>
      <c r="D301" s="122">
        <f>'БазНорм (обр)'!K293</f>
        <v>230</v>
      </c>
      <c r="E301" s="125">
        <f t="shared" si="8"/>
        <v>0</v>
      </c>
      <c r="F301" s="192"/>
    </row>
    <row r="302" spans="1:6" outlineLevel="3" x14ac:dyDescent="0.3">
      <c r="A302" s="26" t="str">
        <f>'БазНорм (обр)'!A294</f>
        <v>Набор напильников</v>
      </c>
      <c r="B302" s="52">
        <f>'БазНорм (обр)'!C294</f>
        <v>0</v>
      </c>
      <c r="C302" s="61">
        <f>'БазНорм (обр)'!J294</f>
        <v>1</v>
      </c>
      <c r="D302" s="122">
        <f>'БазНорм (обр)'!K294</f>
        <v>1846.6666666666667</v>
      </c>
      <c r="E302" s="125">
        <f t="shared" si="8"/>
        <v>0</v>
      </c>
      <c r="F302" s="192"/>
    </row>
    <row r="303" spans="1:6" outlineLevel="3" x14ac:dyDescent="0.3">
      <c r="A303" s="26" t="str">
        <f>'БазНорм (обр)'!A295</f>
        <v>Ведро пластик 10л</v>
      </c>
      <c r="B303" s="52">
        <f>'БазНорм (обр)'!C295</f>
        <v>0</v>
      </c>
      <c r="C303" s="61">
        <f>'БазНорм (обр)'!J295</f>
        <v>1</v>
      </c>
      <c r="D303" s="122">
        <f>'БазНорм (обр)'!K295</f>
        <v>153.66666666666666</v>
      </c>
      <c r="E303" s="125">
        <f t="shared" si="8"/>
        <v>0</v>
      </c>
      <c r="F303" s="192"/>
    </row>
    <row r="304" spans="1:6" outlineLevel="3" x14ac:dyDescent="0.3">
      <c r="A304" s="26" t="str">
        <f>'БазНорм (обр)'!A296</f>
        <v>Ведро оцинкованное 15л</v>
      </c>
      <c r="B304" s="52">
        <f>'БазНорм (обр)'!C296</f>
        <v>0</v>
      </c>
      <c r="C304" s="61">
        <f>'БазНорм (обр)'!J296</f>
        <v>1</v>
      </c>
      <c r="D304" s="122">
        <f>'БазНорм (обр)'!K296</f>
        <v>232</v>
      </c>
      <c r="E304" s="125">
        <f t="shared" si="8"/>
        <v>0</v>
      </c>
      <c r="F304" s="192"/>
    </row>
    <row r="305" spans="1:6" outlineLevel="3" x14ac:dyDescent="0.3">
      <c r="A305" s="26" t="str">
        <f>'БазНорм (обр)'!A297</f>
        <v>Ерш унитазный</v>
      </c>
      <c r="B305" s="52">
        <f>'БазНорм (обр)'!C297</f>
        <v>0</v>
      </c>
      <c r="C305" s="61">
        <f>'БазНорм (обр)'!J297</f>
        <v>1</v>
      </c>
      <c r="D305" s="122">
        <f>'БазНорм (обр)'!K297</f>
        <v>57.666666666666664</v>
      </c>
      <c r="E305" s="125">
        <f t="shared" si="8"/>
        <v>0</v>
      </c>
      <c r="F305" s="192"/>
    </row>
    <row r="306" spans="1:6" outlineLevel="3" x14ac:dyDescent="0.3">
      <c r="A306" s="26" t="str">
        <f>'БазНорм (обр)'!A298</f>
        <v xml:space="preserve">Замок врезной </v>
      </c>
      <c r="B306" s="52">
        <f>'БазНорм (обр)'!C298</f>
        <v>0</v>
      </c>
      <c r="C306" s="61">
        <f>'БазНорм (обр)'!J298</f>
        <v>1</v>
      </c>
      <c r="D306" s="122">
        <f>'БазНорм (обр)'!K298</f>
        <v>239.26666666666665</v>
      </c>
      <c r="E306" s="125">
        <f t="shared" si="8"/>
        <v>0</v>
      </c>
      <c r="F306" s="192"/>
    </row>
    <row r="307" spans="1:6" outlineLevel="3" x14ac:dyDescent="0.3">
      <c r="A307" s="26" t="str">
        <f>'БазНорм (обр)'!A299</f>
        <v>Замок навесной</v>
      </c>
      <c r="B307" s="52">
        <f>'БазНорм (обр)'!C299</f>
        <v>0</v>
      </c>
      <c r="C307" s="61">
        <f>'БазНорм (обр)'!J299</f>
        <v>1</v>
      </c>
      <c r="D307" s="122">
        <f>'БазНорм (обр)'!K299</f>
        <v>455</v>
      </c>
      <c r="E307" s="125">
        <f t="shared" si="8"/>
        <v>0</v>
      </c>
      <c r="F307" s="192"/>
    </row>
    <row r="308" spans="1:6" outlineLevel="3" x14ac:dyDescent="0.3">
      <c r="A308" s="26" t="str">
        <f>'БазНорм (обр)'!A300</f>
        <v>Изолента</v>
      </c>
      <c r="B308" s="52">
        <f>'БазНорм (обр)'!C300</f>
        <v>0</v>
      </c>
      <c r="C308" s="61">
        <f>'БазНорм (обр)'!J300</f>
        <v>1</v>
      </c>
      <c r="D308" s="122">
        <f>'БазНорм (обр)'!K300</f>
        <v>49.333333333333336</v>
      </c>
      <c r="E308" s="125">
        <f>B308*D308</f>
        <v>0</v>
      </c>
      <c r="F308" s="192"/>
    </row>
    <row r="309" spans="1:6" outlineLevel="3" x14ac:dyDescent="0.3">
      <c r="A309" s="26" t="str">
        <f>'БазНорм (обр)'!A301</f>
        <v>Лопата снеговая с черенком</v>
      </c>
      <c r="B309" s="52">
        <f>'БазНорм (обр)'!C301</f>
        <v>0</v>
      </c>
      <c r="C309" s="61">
        <f>'БазНорм (обр)'!J301</f>
        <v>1</v>
      </c>
      <c r="D309" s="122">
        <f>'БазНорм (обр)'!K301</f>
        <v>504.33333333333331</v>
      </c>
      <c r="E309" s="125">
        <f>B309/C309*D309</f>
        <v>0</v>
      </c>
      <c r="F309" s="192"/>
    </row>
    <row r="310" spans="1:6" outlineLevel="3" x14ac:dyDescent="0.3">
      <c r="A310" s="26" t="str">
        <f>'БазНорм (обр)'!A302</f>
        <v>Лопата совковая с черенком</v>
      </c>
      <c r="B310" s="52">
        <f>'БазНорм (обр)'!C302</f>
        <v>0</v>
      </c>
      <c r="C310" s="61">
        <f>'БазНорм (обр)'!J302</f>
        <v>1</v>
      </c>
      <c r="D310" s="122">
        <f>'БазНорм (обр)'!K302</f>
        <v>212.66666666666666</v>
      </c>
      <c r="E310" s="125">
        <f>B310/C310*D310</f>
        <v>0</v>
      </c>
      <c r="F310" s="192"/>
    </row>
    <row r="311" spans="1:6" outlineLevel="3" x14ac:dyDescent="0.3">
      <c r="A311" s="26" t="str">
        <f>'БазНорм (обр)'!A303</f>
        <v>Лопата штыковая с черенком</v>
      </c>
      <c r="B311" s="52">
        <f>'БазНорм (обр)'!C303</f>
        <v>0</v>
      </c>
      <c r="C311" s="61">
        <f>'БазНорм (обр)'!J303</f>
        <v>1</v>
      </c>
      <c r="D311" s="122">
        <f>'БазНорм (обр)'!K303</f>
        <v>532.33333333333337</v>
      </c>
      <c r="E311" s="125">
        <f>B311/C311*D311</f>
        <v>0</v>
      </c>
      <c r="F311" s="192"/>
    </row>
    <row r="312" spans="1:6" outlineLevel="3" x14ac:dyDescent="0.3">
      <c r="A312" s="26" t="str">
        <f>'БазНорм (обр)'!A304</f>
        <v>Мешок п/п зеленый</v>
      </c>
      <c r="B312" s="52">
        <f>'БазНорм (обр)'!C304</f>
        <v>0</v>
      </c>
      <c r="C312" s="61">
        <f>'БазНорм (обр)'!J304</f>
        <v>1</v>
      </c>
      <c r="D312" s="122">
        <f>'БазНорм (обр)'!K304</f>
        <v>28.710000000000004</v>
      </c>
      <c r="E312" s="125">
        <f>B312*D312</f>
        <v>0</v>
      </c>
      <c r="F312" s="192"/>
    </row>
    <row r="313" spans="1:6" outlineLevel="3" x14ac:dyDescent="0.3">
      <c r="A313" s="26" t="str">
        <f>'БазНорм (обр)'!A305</f>
        <v>Насадка на швабру</v>
      </c>
      <c r="B313" s="52">
        <f>'БазНорм (обр)'!C305</f>
        <v>0</v>
      </c>
      <c r="C313" s="61">
        <f>'БазНорм (обр)'!J305</f>
        <v>1</v>
      </c>
      <c r="D313" s="122">
        <f>'БазНорм (обр)'!K305</f>
        <v>159.5</v>
      </c>
      <c r="E313" s="125">
        <f>B313*D313</f>
        <v>0</v>
      </c>
      <c r="F313" s="192"/>
    </row>
    <row r="314" spans="1:6" outlineLevel="3" x14ac:dyDescent="0.3">
      <c r="A314" s="26" t="str">
        <f>'БазНорм (обр)'!A306</f>
        <v>Швабра для пола</v>
      </c>
      <c r="B314" s="52">
        <f>'БазНорм (обр)'!C306</f>
        <v>0</v>
      </c>
      <c r="C314" s="61">
        <f>'БазНорм (обр)'!J306</f>
        <v>1</v>
      </c>
      <c r="D314" s="122">
        <f>'БазНорм (обр)'!K306</f>
        <v>307.39999999999998</v>
      </c>
      <c r="E314" s="125">
        <f>B314/C314*D314</f>
        <v>0</v>
      </c>
      <c r="F314" s="192"/>
    </row>
    <row r="315" spans="1:6" outlineLevel="3" x14ac:dyDescent="0.3">
      <c r="A315" s="26" t="str">
        <f>'БазНорм (обр)'!A307</f>
        <v>Веник пластик</v>
      </c>
      <c r="B315" s="52">
        <f>'БазНорм (обр)'!C307</f>
        <v>0</v>
      </c>
      <c r="C315" s="61">
        <f>'БазНорм (обр)'!J307</f>
        <v>1</v>
      </c>
      <c r="D315" s="122">
        <f>'БазНорм (обр)'!K307</f>
        <v>177.43333333333331</v>
      </c>
      <c r="E315" s="125">
        <f>B315/C315*D315</f>
        <v>0</v>
      </c>
      <c r="F315" s="192"/>
    </row>
    <row r="316" spans="1:6" ht="26" outlineLevel="3" x14ac:dyDescent="0.3">
      <c r="A316" s="26" t="str">
        <f>'БазНорм (обр)'!A308</f>
        <v>Пакеты для мусора 120 л черные</v>
      </c>
      <c r="B316" s="52">
        <f>'БазНорм (обр)'!C308</f>
        <v>0</v>
      </c>
      <c r="C316" s="61">
        <f>'БазНорм (обр)'!J308</f>
        <v>1</v>
      </c>
      <c r="D316" s="122">
        <f>'БазНорм (обр)'!K308</f>
        <v>18</v>
      </c>
      <c r="E316" s="125">
        <f t="shared" ref="E316:E323" si="9">B316*D316</f>
        <v>0</v>
      </c>
      <c r="F316" s="192"/>
    </row>
    <row r="317" spans="1:6" outlineLevel="3" x14ac:dyDescent="0.3">
      <c r="A317" s="26" t="str">
        <f>'БазНорм (обр)'!A309</f>
        <v>Пакеты для мусора 30л.*50 шт.</v>
      </c>
      <c r="B317" s="52">
        <f>'БазНорм (обр)'!C309</f>
        <v>0</v>
      </c>
      <c r="C317" s="61">
        <f>'БазНорм (обр)'!J309</f>
        <v>1</v>
      </c>
      <c r="D317" s="122">
        <f>'БазНорм (обр)'!K309</f>
        <v>63.6</v>
      </c>
      <c r="E317" s="125">
        <f t="shared" si="9"/>
        <v>0</v>
      </c>
      <c r="F317" s="192"/>
    </row>
    <row r="318" spans="1:6" ht="26" outlineLevel="3" x14ac:dyDescent="0.3">
      <c r="A318" s="26" t="str">
        <f>'БазНорм (обр)'!A310</f>
        <v>Пакеты для мусора 120 л. *10 шт.</v>
      </c>
      <c r="B318" s="52">
        <f>'БазНорм (обр)'!C310</f>
        <v>0</v>
      </c>
      <c r="C318" s="61">
        <f>'БазНорм (обр)'!J310</f>
        <v>1</v>
      </c>
      <c r="D318" s="122">
        <f>'БазНорм (обр)'!K310</f>
        <v>85.066666666666663</v>
      </c>
      <c r="E318" s="125">
        <f t="shared" si="9"/>
        <v>0</v>
      </c>
      <c r="F318" s="192"/>
    </row>
    <row r="319" spans="1:6" outlineLevel="3" x14ac:dyDescent="0.3">
      <c r="A319" s="26" t="str">
        <f>'БазНорм (обр)'!A311</f>
        <v>Перчатки латексные</v>
      </c>
      <c r="B319" s="52">
        <f>'БазНорм (обр)'!C311</f>
        <v>0</v>
      </c>
      <c r="C319" s="61">
        <f>'БазНорм (обр)'!J311</f>
        <v>1</v>
      </c>
      <c r="D319" s="122">
        <f>'БазНорм (обр)'!K311</f>
        <v>60.666666666666664</v>
      </c>
      <c r="E319" s="125">
        <f t="shared" si="9"/>
        <v>0</v>
      </c>
      <c r="F319" s="192"/>
    </row>
    <row r="320" spans="1:6" outlineLevel="3" x14ac:dyDescent="0.3">
      <c r="A320" s="26" t="str">
        <f>'БазНорм (обр)'!A312</f>
        <v>Перчатки резиновые НЭП</v>
      </c>
      <c r="B320" s="52">
        <f>'БазНорм (обр)'!C312</f>
        <v>0</v>
      </c>
      <c r="C320" s="61">
        <f>'БазНорм (обр)'!J312</f>
        <v>1</v>
      </c>
      <c r="D320" s="122">
        <f>'БазНорм (обр)'!K312</f>
        <v>63.6</v>
      </c>
      <c r="E320" s="125">
        <f t="shared" si="9"/>
        <v>0</v>
      </c>
      <c r="F320" s="192"/>
    </row>
    <row r="321" spans="1:6" outlineLevel="3" x14ac:dyDescent="0.3">
      <c r="A321" s="26" t="str">
        <f>'БазНорм (обр)'!A313</f>
        <v>Перчатки ХБ ПВХ</v>
      </c>
      <c r="B321" s="52">
        <f>'БазНорм (обр)'!C313</f>
        <v>0</v>
      </c>
      <c r="C321" s="61">
        <f>'БазНорм (обр)'!J313</f>
        <v>1</v>
      </c>
      <c r="D321" s="122">
        <f>'БазНорм (обр)'!K313</f>
        <v>30.599999999999998</v>
      </c>
      <c r="E321" s="125">
        <f t="shared" si="9"/>
        <v>0</v>
      </c>
      <c r="F321" s="192"/>
    </row>
    <row r="322" spans="1:6" outlineLevel="3" x14ac:dyDescent="0.3">
      <c r="A322" s="26" t="str">
        <f>'БазНорм (обр)'!A314</f>
        <v>Полотно вафельное</v>
      </c>
      <c r="B322" s="52">
        <f>'БазНорм (обр)'!C314</f>
        <v>0</v>
      </c>
      <c r="C322" s="61">
        <f>'БазНорм (обр)'!J314</f>
        <v>1</v>
      </c>
      <c r="D322" s="122">
        <f>'БазНорм (обр)'!K314</f>
        <v>110.66666666666667</v>
      </c>
      <c r="E322" s="125">
        <f t="shared" si="9"/>
        <v>0</v>
      </c>
      <c r="F322" s="192"/>
    </row>
    <row r="323" spans="1:6" outlineLevel="3" x14ac:dyDescent="0.3">
      <c r="A323" s="26" t="str">
        <f>'БазНорм (обр)'!A315</f>
        <v>Полотенечная ткань</v>
      </c>
      <c r="B323" s="52">
        <f>'БазНорм (обр)'!C315</f>
        <v>0</v>
      </c>
      <c r="C323" s="61">
        <f>'БазНорм (обр)'!J315</f>
        <v>1</v>
      </c>
      <c r="D323" s="122">
        <f>'БазНорм (обр)'!K315</f>
        <v>74.2</v>
      </c>
      <c r="E323" s="125">
        <f t="shared" si="9"/>
        <v>0</v>
      </c>
      <c r="F323" s="192"/>
    </row>
    <row r="324" spans="1:6" outlineLevel="3" x14ac:dyDescent="0.3">
      <c r="A324" s="26" t="str">
        <f>'БазНорм (обр)'!A316</f>
        <v>Полотно для мытья пола</v>
      </c>
      <c r="B324" s="52">
        <f>'БазНорм (обр)'!C316</f>
        <v>0</v>
      </c>
      <c r="C324" s="61">
        <f>'БазНорм (обр)'!J316</f>
        <v>1</v>
      </c>
      <c r="D324" s="122">
        <f>'БазНорм (обр)'!K316</f>
        <v>126.33333333333333</v>
      </c>
      <c r="E324" s="125">
        <f t="shared" ref="E324:E334" si="10">B324/C324*D324</f>
        <v>0</v>
      </c>
      <c r="F324" s="192"/>
    </row>
    <row r="325" spans="1:6" outlineLevel="3" x14ac:dyDescent="0.3">
      <c r="A325" s="26" t="str">
        <f>'БазНорм (обр)'!A317</f>
        <v>Швабра отжим. губ с ведром</v>
      </c>
      <c r="B325" s="52">
        <f>'БазНорм (обр)'!C317</f>
        <v>0</v>
      </c>
      <c r="C325" s="61">
        <f>'БазНорм (обр)'!J317</f>
        <v>1</v>
      </c>
      <c r="D325" s="122">
        <f>'БазНорм (обр)'!K317</f>
        <v>850.66666666666663</v>
      </c>
      <c r="E325" s="125">
        <f t="shared" si="10"/>
        <v>0</v>
      </c>
      <c r="F325" s="192"/>
    </row>
    <row r="326" spans="1:6" outlineLevel="3" x14ac:dyDescent="0.3">
      <c r="A326" s="26" t="str">
        <f>'БазНорм (обр)'!A318</f>
        <v>Перфоратор аккумуляторный</v>
      </c>
      <c r="B326" s="52">
        <f>'БазНорм (обр)'!C318</f>
        <v>0</v>
      </c>
      <c r="C326" s="61">
        <f>'БазНорм (обр)'!J318</f>
        <v>5</v>
      </c>
      <c r="D326" s="122">
        <f>'БазНорм (обр)'!K318</f>
        <v>10852</v>
      </c>
      <c r="E326" s="125">
        <f t="shared" si="10"/>
        <v>0</v>
      </c>
      <c r="F326" s="192"/>
    </row>
    <row r="327" spans="1:6" outlineLevel="3" x14ac:dyDescent="0.3">
      <c r="A327" s="26" t="str">
        <f>'БазНорм (обр)'!A319</f>
        <v>Бензиновый триммер</v>
      </c>
      <c r="B327" s="52">
        <f>'БазНорм (обр)'!C319</f>
        <v>0</v>
      </c>
      <c r="C327" s="61">
        <f>'БазНорм (обр)'!J319</f>
        <v>5</v>
      </c>
      <c r="D327" s="122">
        <f>'БазНорм (обр)'!K319</f>
        <v>7200</v>
      </c>
      <c r="E327" s="125">
        <f t="shared" si="10"/>
        <v>0</v>
      </c>
      <c r="F327" s="192"/>
    </row>
    <row r="328" spans="1:6" outlineLevel="3" x14ac:dyDescent="0.3">
      <c r="A328" s="26" t="str">
        <f>'БазНорм (обр)'!A320</f>
        <v xml:space="preserve">Рубанок HAMMER </v>
      </c>
      <c r="B328" s="52">
        <f>'БазНорм (обр)'!C320</f>
        <v>0</v>
      </c>
      <c r="C328" s="61">
        <f>'БазНорм (обр)'!J320</f>
        <v>5</v>
      </c>
      <c r="D328" s="122">
        <f>'БазНорм (обр)'!K320</f>
        <v>12600</v>
      </c>
      <c r="E328" s="125">
        <f t="shared" si="10"/>
        <v>0</v>
      </c>
      <c r="F328" s="192"/>
    </row>
    <row r="329" spans="1:6" outlineLevel="3" x14ac:dyDescent="0.3">
      <c r="A329" s="26" t="str">
        <f>'БазНорм (обр)'!A321</f>
        <v>Пила циркулярная HAMMER</v>
      </c>
      <c r="B329" s="52">
        <f>'БазНорм (обр)'!C321</f>
        <v>0</v>
      </c>
      <c r="C329" s="61">
        <f>'БазНорм (обр)'!J321</f>
        <v>5</v>
      </c>
      <c r="D329" s="122">
        <f>'БазНорм (обр)'!K321</f>
        <v>9483.3333333333339</v>
      </c>
      <c r="E329" s="125">
        <f t="shared" si="10"/>
        <v>0</v>
      </c>
      <c r="F329" s="192"/>
    </row>
    <row r="330" spans="1:6" outlineLevel="3" x14ac:dyDescent="0.3">
      <c r="A330" s="26" t="str">
        <f>'БазНорм (обр)'!A322</f>
        <v>Точило HAMMER</v>
      </c>
      <c r="B330" s="52">
        <f>'БазНорм (обр)'!C322</f>
        <v>0</v>
      </c>
      <c r="C330" s="61">
        <f>'БазНорм (обр)'!J322</f>
        <v>5</v>
      </c>
      <c r="D330" s="122">
        <f>'БазНорм (обр)'!K322</f>
        <v>6900</v>
      </c>
      <c r="E330" s="125">
        <f t="shared" si="10"/>
        <v>0</v>
      </c>
      <c r="F330" s="192"/>
    </row>
    <row r="331" spans="1:6" ht="26" outlineLevel="3" x14ac:dyDescent="0.3">
      <c r="A331" s="26" t="str">
        <f>'БазНорм (обр)'!A323</f>
        <v>Набор сверл по металлу от 1 до 10(19шт)</v>
      </c>
      <c r="B331" s="52">
        <f>'БазНорм (обр)'!C323</f>
        <v>0</v>
      </c>
      <c r="C331" s="61">
        <f>'БазНорм (обр)'!J323</f>
        <v>1</v>
      </c>
      <c r="D331" s="122">
        <f>'БазНорм (обр)'!K323</f>
        <v>843.33333333333337</v>
      </c>
      <c r="E331" s="125">
        <f t="shared" si="10"/>
        <v>0</v>
      </c>
      <c r="F331" s="192"/>
    </row>
    <row r="332" spans="1:6" ht="26" outlineLevel="3" x14ac:dyDescent="0.3">
      <c r="A332" s="26" t="str">
        <f>'БазНорм (обр)'!A324</f>
        <v>Тряпкодержатель с салфеткой для пола усиленный</v>
      </c>
      <c r="B332" s="52">
        <f>'БазНорм (обр)'!C324</f>
        <v>0</v>
      </c>
      <c r="C332" s="61">
        <f>'БазНорм (обр)'!J324</f>
        <v>1</v>
      </c>
      <c r="D332" s="122">
        <f>'БазНорм (обр)'!K324</f>
        <v>689.67</v>
      </c>
      <c r="E332" s="125">
        <f t="shared" si="10"/>
        <v>0</v>
      </c>
      <c r="F332" s="192"/>
    </row>
    <row r="333" spans="1:6" outlineLevel="3" x14ac:dyDescent="0.3">
      <c r="A333" s="26" t="str">
        <f>'БазНорм (обр)'!A325</f>
        <v>Замки навесные маленькие</v>
      </c>
      <c r="B333" s="52">
        <f>'БазНорм (обр)'!C325</f>
        <v>0</v>
      </c>
      <c r="C333" s="61">
        <f>'БазНорм (обр)'!J325</f>
        <v>1</v>
      </c>
      <c r="D333" s="122">
        <f>'БазНорм (обр)'!K325</f>
        <v>242.66666666666666</v>
      </c>
      <c r="E333" s="125">
        <f t="shared" si="10"/>
        <v>0</v>
      </c>
      <c r="F333" s="192"/>
    </row>
    <row r="334" spans="1:6" outlineLevel="3" x14ac:dyDescent="0.3">
      <c r="A334" s="26" t="str">
        <f>'БазНорм (обр)'!A326</f>
        <v>Замки навесные большие</v>
      </c>
      <c r="B334" s="52">
        <f>'БазНорм (обр)'!C326</f>
        <v>0</v>
      </c>
      <c r="C334" s="61">
        <f>'БазНорм (обр)'!J326</f>
        <v>1</v>
      </c>
      <c r="D334" s="122">
        <f>'БазНорм (обр)'!K326</f>
        <v>483.66666666666669</v>
      </c>
      <c r="E334" s="125">
        <f t="shared" si="10"/>
        <v>0</v>
      </c>
      <c r="F334" s="192"/>
    </row>
    <row r="335" spans="1:6" outlineLevel="3" x14ac:dyDescent="0.3">
      <c r="A335" s="26" t="str">
        <f>'БазНорм (обр)'!A327</f>
        <v>Знаки вспомогательные</v>
      </c>
      <c r="B335" s="52">
        <f>'БазНорм (обр)'!C327</f>
        <v>0</v>
      </c>
      <c r="C335" s="61">
        <f>'БазНорм (обр)'!J327</f>
        <v>1</v>
      </c>
      <c r="D335" s="122">
        <f>'БазНорм (обр)'!K327</f>
        <v>42.300000000000004</v>
      </c>
      <c r="E335" s="125">
        <f t="shared" ref="E335:E341" si="11">B335*D335</f>
        <v>0</v>
      </c>
      <c r="F335" s="192"/>
    </row>
    <row r="336" spans="1:6" outlineLevel="3" x14ac:dyDescent="0.3">
      <c r="A336" s="26" t="str">
        <f>'БазНорм (обр)'!A328</f>
        <v>Знаки эвакуационные</v>
      </c>
      <c r="B336" s="52">
        <f>'БазНорм (обр)'!C328</f>
        <v>0</v>
      </c>
      <c r="C336" s="61">
        <f>'БазНорм (обр)'!J328</f>
        <v>1</v>
      </c>
      <c r="D336" s="122">
        <f>'БазНорм (обр)'!K328</f>
        <v>101.33333333333333</v>
      </c>
      <c r="E336" s="125">
        <f t="shared" si="11"/>
        <v>0</v>
      </c>
      <c r="F336" s="192"/>
    </row>
    <row r="337" spans="1:6" outlineLevel="3" x14ac:dyDescent="0.3">
      <c r="A337" s="26" t="str">
        <f>'БазНорм (обр)'!A329</f>
        <v>Бумага туалетная</v>
      </c>
      <c r="B337" s="52">
        <f>'БазНорм (обр)'!C329</f>
        <v>0</v>
      </c>
      <c r="C337" s="61">
        <f>'БазНорм (обр)'!J329</f>
        <v>1</v>
      </c>
      <c r="D337" s="122">
        <f>'БазНорм (обр)'!K329</f>
        <v>8.73</v>
      </c>
      <c r="E337" s="125">
        <f t="shared" si="11"/>
        <v>0</v>
      </c>
      <c r="F337" s="192"/>
    </row>
    <row r="338" spans="1:6" outlineLevel="3" x14ac:dyDescent="0.3">
      <c r="A338" s="26" t="str">
        <f>'БазНорм (обр)'!A330</f>
        <v>Бумажные полотенца 2 шт.</v>
      </c>
      <c r="B338" s="52">
        <f>'БазНорм (обр)'!C330</f>
        <v>0</v>
      </c>
      <c r="C338" s="61">
        <f>'БазНорм (обр)'!J330</f>
        <v>1</v>
      </c>
      <c r="D338" s="122">
        <f>'БазНорм (обр)'!K330</f>
        <v>50.82</v>
      </c>
      <c r="E338" s="125">
        <f t="shared" si="11"/>
        <v>0</v>
      </c>
      <c r="F338" s="192"/>
    </row>
    <row r="339" spans="1:6" outlineLevel="3" x14ac:dyDescent="0.3">
      <c r="A339" s="26" t="str">
        <f>'БазНорм (обр)'!A331</f>
        <v>Салфетки</v>
      </c>
      <c r="B339" s="52">
        <f>'БазНорм (обр)'!C331</f>
        <v>0</v>
      </c>
      <c r="C339" s="61">
        <f>'БазНорм (обр)'!J331</f>
        <v>1</v>
      </c>
      <c r="D339" s="122">
        <f>'БазНорм (обр)'!K331</f>
        <v>20.37</v>
      </c>
      <c r="E339" s="125">
        <f t="shared" si="11"/>
        <v>0</v>
      </c>
      <c r="F339" s="192"/>
    </row>
    <row r="340" spans="1:6" outlineLevel="3" x14ac:dyDescent="0.3">
      <c r="A340" s="26" t="str">
        <f>'БазНорм (обр)'!A332</f>
        <v>Салфетки из микрофибры</v>
      </c>
      <c r="B340" s="52">
        <f>'БазНорм (обр)'!C332</f>
        <v>0</v>
      </c>
      <c r="C340" s="61">
        <f>'БазНорм (обр)'!J332</f>
        <v>1</v>
      </c>
      <c r="D340" s="122">
        <f>'БазНорм (обр)'!K332</f>
        <v>92.34</v>
      </c>
      <c r="E340" s="125">
        <f t="shared" si="11"/>
        <v>0</v>
      </c>
      <c r="F340" s="192"/>
    </row>
    <row r="341" spans="1:6" outlineLevel="3" x14ac:dyDescent="0.3">
      <c r="A341" s="26" t="str">
        <f>'БазНорм (обр)'!A333</f>
        <v>Платочки бумажные</v>
      </c>
      <c r="B341" s="52">
        <f>'БазНорм (обр)'!C333</f>
        <v>0</v>
      </c>
      <c r="C341" s="61">
        <f>'БазНорм (обр)'!J333</f>
        <v>1</v>
      </c>
      <c r="D341" s="122">
        <f>'БазНорм (обр)'!K333</f>
        <v>5.3</v>
      </c>
      <c r="E341" s="125">
        <f t="shared" si="11"/>
        <v>0</v>
      </c>
      <c r="F341" s="193"/>
    </row>
    <row r="342" spans="1:6" x14ac:dyDescent="0.3">
      <c r="A342" s="194" t="s">
        <v>101</v>
      </c>
      <c r="B342" s="194"/>
      <c r="C342" s="194"/>
      <c r="D342" s="194"/>
      <c r="E342" s="73">
        <f>E11+E162</f>
        <v>9939.2645635508125</v>
      </c>
      <c r="F342" s="57"/>
    </row>
  </sheetData>
  <mergeCells count="18">
    <mergeCell ref="A342:D342"/>
    <mergeCell ref="A163:D163"/>
    <mergeCell ref="A172:D172"/>
    <mergeCell ref="A202:D202"/>
    <mergeCell ref="A204:D204"/>
    <mergeCell ref="A208:D208"/>
    <mergeCell ref="A216:D216"/>
    <mergeCell ref="A212:D212"/>
    <mergeCell ref="A4:F4"/>
    <mergeCell ref="A5:F5"/>
    <mergeCell ref="A9:F9"/>
    <mergeCell ref="A10:F10"/>
    <mergeCell ref="A11:D11"/>
    <mergeCell ref="F11:F341"/>
    <mergeCell ref="A12:D12"/>
    <mergeCell ref="A15:D15"/>
    <mergeCell ref="A87:D87"/>
    <mergeCell ref="A162:D162"/>
  </mergeCells>
  <phoneticPr fontId="20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  <rowBreaks count="11" manualBreakCount="11">
    <brk id="22" max="5" man="1"/>
    <brk id="47" max="5" man="1"/>
    <brk id="77" max="5" man="1"/>
    <brk id="102" max="5" man="1"/>
    <brk id="134" max="5" man="1"/>
    <brk id="162" max="5" man="1"/>
    <brk id="189" max="5" man="1"/>
    <brk id="215" max="5" man="1"/>
    <brk id="233" max="5" man="1"/>
    <brk id="262" max="5" man="1"/>
    <brk id="292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63"/>
  <sheetViews>
    <sheetView view="pageBreakPreview" zoomScale="85" zoomScaleNormal="100" zoomScaleSheetLayoutView="85" workbookViewId="0">
      <selection activeCell="D2" sqref="D2"/>
    </sheetView>
  </sheetViews>
  <sheetFormatPr defaultColWidth="8.81640625" defaultRowHeight="13" outlineLevelRow="3" x14ac:dyDescent="0.3"/>
  <cols>
    <col min="1" max="1" width="30.7265625" style="53" customWidth="1"/>
    <col min="2" max="2" width="28.81640625" style="53" customWidth="1"/>
    <col min="3" max="4" width="30.7265625" style="53" customWidth="1"/>
    <col min="5" max="16384" width="8.81640625" style="53"/>
  </cols>
  <sheetData>
    <row r="1" spans="1:4" ht="14.5" customHeight="1" x14ac:dyDescent="0.3">
      <c r="D1" s="157" t="s">
        <v>119</v>
      </c>
    </row>
    <row r="2" spans="1:4" ht="48.5" customHeight="1" x14ac:dyDescent="0.3">
      <c r="D2" s="158" t="s">
        <v>557</v>
      </c>
    </row>
    <row r="4" spans="1:4" x14ac:dyDescent="0.3">
      <c r="A4" s="182" t="s">
        <v>69</v>
      </c>
      <c r="B4" s="182"/>
      <c r="C4" s="182"/>
      <c r="D4" s="182"/>
    </row>
    <row r="5" spans="1:4" x14ac:dyDescent="0.3">
      <c r="A5" s="182" t="s">
        <v>70</v>
      </c>
      <c r="B5" s="182"/>
      <c r="C5" s="182"/>
      <c r="D5" s="182"/>
    </row>
    <row r="6" spans="1:4" x14ac:dyDescent="0.3">
      <c r="A6" s="182" t="s">
        <v>71</v>
      </c>
      <c r="B6" s="182"/>
      <c r="C6" s="182"/>
      <c r="D6" s="182"/>
    </row>
    <row r="7" spans="1:4" x14ac:dyDescent="0.3">
      <c r="A7" s="182" t="s">
        <v>72</v>
      </c>
      <c r="B7" s="182"/>
      <c r="C7" s="182"/>
      <c r="D7" s="182"/>
    </row>
    <row r="8" spans="1:4" x14ac:dyDescent="0.3">
      <c r="A8" s="8"/>
    </row>
    <row r="9" spans="1:4" ht="16.5" customHeight="1" x14ac:dyDescent="0.3">
      <c r="A9" s="56" t="s">
        <v>73</v>
      </c>
      <c r="B9" s="56" t="s">
        <v>74</v>
      </c>
      <c r="C9" s="56" t="s">
        <v>75</v>
      </c>
      <c r="D9" s="56" t="s">
        <v>76</v>
      </c>
    </row>
    <row r="10" spans="1:4" x14ac:dyDescent="0.3">
      <c r="A10" s="56">
        <v>1</v>
      </c>
      <c r="B10" s="56">
        <v>2</v>
      </c>
      <c r="C10" s="56">
        <v>3</v>
      </c>
      <c r="D10" s="56">
        <v>4</v>
      </c>
    </row>
    <row r="11" spans="1:4" x14ac:dyDescent="0.3">
      <c r="A11" s="184" t="s">
        <v>77</v>
      </c>
      <c r="B11" s="184"/>
      <c r="C11" s="184"/>
      <c r="D11" s="184"/>
    </row>
    <row r="12" spans="1:4" x14ac:dyDescent="0.3">
      <c r="A12" s="194" t="s">
        <v>517</v>
      </c>
      <c r="B12" s="194"/>
      <c r="C12" s="194"/>
      <c r="D12" s="194"/>
    </row>
    <row r="13" spans="1:4" x14ac:dyDescent="0.3">
      <c r="A13" s="184" t="s">
        <v>78</v>
      </c>
      <c r="B13" s="184"/>
      <c r="C13" s="184"/>
      <c r="D13" s="184"/>
    </row>
    <row r="14" spans="1:4" ht="20.25" customHeight="1" x14ac:dyDescent="0.3">
      <c r="A14" s="197" t="s">
        <v>516</v>
      </c>
      <c r="B14" s="198"/>
      <c r="C14" s="198"/>
      <c r="D14" s="199"/>
    </row>
    <row r="15" spans="1:4" x14ac:dyDescent="0.3">
      <c r="A15" s="183" t="s">
        <v>79</v>
      </c>
      <c r="B15" s="183"/>
      <c r="C15" s="183"/>
      <c r="D15" s="183"/>
    </row>
    <row r="16" spans="1:4" ht="12.75" customHeight="1" outlineLevel="1" x14ac:dyDescent="0.3">
      <c r="A16" s="183" t="s">
        <v>80</v>
      </c>
      <c r="B16" s="183"/>
      <c r="C16" s="183"/>
      <c r="D16" s="183"/>
    </row>
    <row r="17" spans="1:4" ht="12.75" customHeight="1" outlineLevel="2" x14ac:dyDescent="0.3">
      <c r="A17" s="57" t="s">
        <v>509</v>
      </c>
      <c r="B17" s="56" t="s">
        <v>57</v>
      </c>
      <c r="C17" s="64">
        <v>3.5087719298245615E-3</v>
      </c>
      <c r="D17" s="191"/>
    </row>
    <row r="18" spans="1:4" ht="12.75" customHeight="1" outlineLevel="2" x14ac:dyDescent="0.3">
      <c r="A18" s="57" t="s">
        <v>510</v>
      </c>
      <c r="B18" s="56" t="s">
        <v>57</v>
      </c>
      <c r="C18" s="64">
        <v>3.7894736842105266E-2</v>
      </c>
      <c r="D18" s="192"/>
    </row>
    <row r="19" spans="1:4" ht="12.75" customHeight="1" outlineLevel="2" x14ac:dyDescent="0.3">
      <c r="A19" s="57" t="s">
        <v>511</v>
      </c>
      <c r="B19" s="56" t="s">
        <v>57</v>
      </c>
      <c r="C19" s="64">
        <v>4.7368421052631582E-3</v>
      </c>
      <c r="D19" s="192"/>
    </row>
    <row r="20" spans="1:4" ht="12.75" customHeight="1" outlineLevel="2" x14ac:dyDescent="0.3">
      <c r="A20" s="57" t="s">
        <v>512</v>
      </c>
      <c r="B20" s="56" t="s">
        <v>57</v>
      </c>
      <c r="C20" s="64">
        <v>4.7368421052631582E-3</v>
      </c>
      <c r="D20" s="193"/>
    </row>
    <row r="21" spans="1:4" ht="12.75" customHeight="1" outlineLevel="1" x14ac:dyDescent="0.3">
      <c r="A21" s="183" t="s">
        <v>81</v>
      </c>
      <c r="B21" s="183"/>
      <c r="C21" s="183"/>
      <c r="D21" s="183"/>
    </row>
    <row r="22" spans="1:4" ht="39" customHeight="1" outlineLevel="2" x14ac:dyDescent="0.3">
      <c r="A22" s="26" t="s">
        <v>514</v>
      </c>
      <c r="B22" s="56" t="s">
        <v>57</v>
      </c>
      <c r="C22" s="52">
        <v>1</v>
      </c>
      <c r="D22" s="181"/>
    </row>
    <row r="23" spans="1:4" ht="38.25" customHeight="1" outlineLevel="2" x14ac:dyDescent="0.3">
      <c r="A23" s="26"/>
      <c r="B23" s="27"/>
      <c r="C23" s="52"/>
      <c r="D23" s="181"/>
    </row>
    <row r="24" spans="1:4" ht="12.75" customHeight="1" outlineLevel="1" x14ac:dyDescent="0.3">
      <c r="A24" s="183" t="s">
        <v>82</v>
      </c>
      <c r="B24" s="183"/>
      <c r="C24" s="183"/>
      <c r="D24" s="183"/>
    </row>
    <row r="25" spans="1:4" ht="12.75" customHeight="1" outlineLevel="3" x14ac:dyDescent="0.3">
      <c r="A25" s="37"/>
      <c r="B25" s="27"/>
      <c r="C25" s="52"/>
      <c r="D25" s="181"/>
    </row>
    <row r="26" spans="1:4" ht="12.75" customHeight="1" outlineLevel="3" x14ac:dyDescent="0.3">
      <c r="A26" s="37"/>
      <c r="B26" s="27"/>
      <c r="C26" s="52"/>
      <c r="D26" s="181"/>
    </row>
    <row r="27" spans="1:4" ht="12.75" customHeight="1" outlineLevel="3" x14ac:dyDescent="0.3">
      <c r="A27" s="37"/>
      <c r="B27" s="27"/>
      <c r="C27" s="52"/>
      <c r="D27" s="181"/>
    </row>
    <row r="28" spans="1:4" ht="12.75" customHeight="1" x14ac:dyDescent="0.3">
      <c r="A28" s="179" t="s">
        <v>83</v>
      </c>
      <c r="B28" s="179"/>
      <c r="C28" s="179"/>
      <c r="D28" s="179"/>
    </row>
    <row r="29" spans="1:4" outlineLevel="1" x14ac:dyDescent="0.3">
      <c r="A29" s="179" t="s">
        <v>84</v>
      </c>
      <c r="B29" s="179"/>
      <c r="C29" s="179"/>
      <c r="D29" s="179"/>
    </row>
    <row r="30" spans="1:4" outlineLevel="2" x14ac:dyDescent="0.3">
      <c r="A30" s="43"/>
      <c r="B30" s="44"/>
      <c r="C30" s="64"/>
      <c r="D30" s="180"/>
    </row>
    <row r="31" spans="1:4" outlineLevel="2" x14ac:dyDescent="0.3">
      <c r="A31" s="43"/>
      <c r="B31" s="44"/>
      <c r="C31" s="64"/>
      <c r="D31" s="181"/>
    </row>
    <row r="32" spans="1:4" outlineLevel="2" x14ac:dyDescent="0.3">
      <c r="A32" s="43"/>
      <c r="B32" s="44"/>
      <c r="C32" s="64"/>
      <c r="D32" s="181"/>
    </row>
    <row r="33" spans="1:4" ht="12.75" customHeight="1" outlineLevel="1" x14ac:dyDescent="0.3">
      <c r="A33" s="179" t="s">
        <v>85</v>
      </c>
      <c r="B33" s="179"/>
      <c r="C33" s="179"/>
      <c r="D33" s="179"/>
    </row>
    <row r="34" spans="1:4" ht="13.5" customHeight="1" outlineLevel="2" x14ac:dyDescent="0.3">
      <c r="A34" s="26"/>
      <c r="B34" s="27"/>
      <c r="C34" s="64"/>
      <c r="D34" s="180"/>
    </row>
    <row r="35" spans="1:4" ht="13.5" customHeight="1" outlineLevel="2" x14ac:dyDescent="0.3">
      <c r="A35" s="26"/>
      <c r="B35" s="27"/>
      <c r="C35" s="64"/>
      <c r="D35" s="181"/>
    </row>
    <row r="36" spans="1:4" ht="13.5" customHeight="1" outlineLevel="2" x14ac:dyDescent="0.3">
      <c r="A36" s="26"/>
      <c r="B36" s="27"/>
      <c r="C36" s="64"/>
      <c r="D36" s="181"/>
    </row>
    <row r="37" spans="1:4" ht="12.75" customHeight="1" outlineLevel="1" x14ac:dyDescent="0.3">
      <c r="A37" s="179" t="s">
        <v>86</v>
      </c>
      <c r="B37" s="179"/>
      <c r="C37" s="179"/>
      <c r="D37" s="179"/>
    </row>
    <row r="38" spans="1:4" ht="12.75" customHeight="1" outlineLevel="2" x14ac:dyDescent="0.3">
      <c r="A38" s="57"/>
      <c r="B38" s="27"/>
      <c r="C38" s="64"/>
      <c r="D38" s="118"/>
    </row>
    <row r="39" spans="1:4" outlineLevel="1" x14ac:dyDescent="0.3">
      <c r="A39" s="179" t="s">
        <v>87</v>
      </c>
      <c r="B39" s="179"/>
      <c r="C39" s="179"/>
      <c r="D39" s="179"/>
    </row>
    <row r="40" spans="1:4" ht="12.75" customHeight="1" outlineLevel="2" x14ac:dyDescent="0.3">
      <c r="A40" s="57"/>
      <c r="B40" s="27"/>
      <c r="C40" s="64"/>
      <c r="D40" s="180"/>
    </row>
    <row r="41" spans="1:4" ht="12.75" customHeight="1" outlineLevel="2" x14ac:dyDescent="0.3">
      <c r="A41" s="57"/>
      <c r="B41" s="27"/>
      <c r="C41" s="64"/>
      <c r="D41" s="181"/>
    </row>
    <row r="42" spans="1:4" ht="12.75" customHeight="1" outlineLevel="2" x14ac:dyDescent="0.3">
      <c r="A42" s="57"/>
      <c r="B42" s="27"/>
      <c r="C42" s="64"/>
      <c r="D42" s="181"/>
    </row>
    <row r="43" spans="1:4" outlineLevel="1" x14ac:dyDescent="0.3">
      <c r="A43" s="179" t="s">
        <v>88</v>
      </c>
      <c r="B43" s="179"/>
      <c r="C43" s="179"/>
      <c r="D43" s="179"/>
    </row>
    <row r="44" spans="1:4" ht="12.75" customHeight="1" outlineLevel="2" x14ac:dyDescent="0.3">
      <c r="A44" s="57"/>
      <c r="B44" s="57"/>
      <c r="C44" s="57"/>
      <c r="D44" s="57"/>
    </row>
    <row r="45" spans="1:4" ht="12.75" customHeight="1" outlineLevel="2" x14ac:dyDescent="0.3">
      <c r="A45" s="57"/>
      <c r="B45" s="57"/>
      <c r="C45" s="57"/>
      <c r="D45" s="57"/>
    </row>
    <row r="46" spans="1:4" ht="12.75" customHeight="1" outlineLevel="1" x14ac:dyDescent="0.3">
      <c r="A46" s="179" t="s">
        <v>89</v>
      </c>
      <c r="B46" s="179"/>
      <c r="C46" s="179"/>
      <c r="D46" s="179"/>
    </row>
    <row r="47" spans="1:4" ht="13.5" customHeight="1" outlineLevel="2" x14ac:dyDescent="0.3">
      <c r="A47" s="57"/>
      <c r="B47" s="57"/>
      <c r="C47" s="57"/>
      <c r="D47" s="57"/>
    </row>
    <row r="48" spans="1:4" ht="13.5" customHeight="1" outlineLevel="2" x14ac:dyDescent="0.3">
      <c r="A48" s="57"/>
      <c r="B48" s="57"/>
      <c r="C48" s="57"/>
      <c r="D48" s="57"/>
    </row>
    <row r="49" spans="1:4" ht="13.5" customHeight="1" outlineLevel="2" x14ac:dyDescent="0.3">
      <c r="A49" s="57"/>
      <c r="B49" s="57"/>
      <c r="C49" s="57"/>
      <c r="D49" s="57"/>
    </row>
    <row r="50" spans="1:4" ht="13.5" customHeight="1" outlineLevel="2" x14ac:dyDescent="0.3">
      <c r="A50" s="57"/>
      <c r="B50" s="57"/>
      <c r="C50" s="57"/>
      <c r="D50" s="57"/>
    </row>
    <row r="51" spans="1:4" ht="13.5" customHeight="1" outlineLevel="2" x14ac:dyDescent="0.3">
      <c r="A51" s="57"/>
      <c r="B51" s="57"/>
      <c r="C51" s="57"/>
      <c r="D51" s="57"/>
    </row>
    <row r="52" spans="1:4" ht="12.75" customHeight="1" outlineLevel="2" x14ac:dyDescent="0.3">
      <c r="A52" s="57"/>
      <c r="B52" s="57"/>
      <c r="C52" s="57"/>
      <c r="D52" s="57"/>
    </row>
    <row r="53" spans="1:4" ht="12.75" customHeight="1" outlineLevel="1" x14ac:dyDescent="0.3">
      <c r="A53" s="179" t="s">
        <v>90</v>
      </c>
      <c r="B53" s="179"/>
      <c r="C53" s="179"/>
      <c r="D53" s="179"/>
    </row>
    <row r="54" spans="1:4" ht="12.75" customHeight="1" outlineLevel="2" x14ac:dyDescent="0.3">
      <c r="A54" s="69"/>
      <c r="B54" s="70"/>
      <c r="C54" s="71"/>
      <c r="D54" s="180"/>
    </row>
    <row r="55" spans="1:4" ht="25.5" customHeight="1" outlineLevel="2" x14ac:dyDescent="0.3">
      <c r="A55" s="26"/>
      <c r="B55" s="27"/>
      <c r="C55" s="52"/>
      <c r="D55" s="181"/>
    </row>
    <row r="56" spans="1:4" ht="12.75" customHeight="1" outlineLevel="2" x14ac:dyDescent="0.3">
      <c r="A56" s="26"/>
      <c r="B56" s="27"/>
      <c r="C56" s="52"/>
      <c r="D56" s="181"/>
    </row>
    <row r="57" spans="1:4" x14ac:dyDescent="0.3">
      <c r="A57" s="8"/>
    </row>
    <row r="58" spans="1:4" ht="37.5" customHeight="1" x14ac:dyDescent="0.3">
      <c r="A58" s="8" t="s">
        <v>91</v>
      </c>
      <c r="B58" s="58"/>
      <c r="C58" s="58"/>
    </row>
    <row r="59" spans="1:4" ht="17.25" customHeight="1" x14ac:dyDescent="0.3">
      <c r="A59" s="188" t="s">
        <v>92</v>
      </c>
      <c r="B59" s="188"/>
      <c r="C59" s="188"/>
      <c r="D59" s="188"/>
    </row>
    <row r="60" spans="1:4" ht="44.25" customHeight="1" x14ac:dyDescent="0.3">
      <c r="A60" s="188" t="s">
        <v>93</v>
      </c>
      <c r="B60" s="188"/>
      <c r="C60" s="188"/>
      <c r="D60" s="188"/>
    </row>
    <row r="61" spans="1:4" ht="42.75" customHeight="1" x14ac:dyDescent="0.3">
      <c r="A61" s="188" t="s">
        <v>93</v>
      </c>
      <c r="B61" s="188"/>
      <c r="C61" s="188"/>
      <c r="D61" s="188"/>
    </row>
    <row r="62" spans="1:4" ht="19.899999999999999" customHeight="1" x14ac:dyDescent="0.3">
      <c r="A62" s="188" t="s">
        <v>94</v>
      </c>
      <c r="B62" s="188"/>
      <c r="C62" s="188"/>
      <c r="D62" s="188"/>
    </row>
    <row r="63" spans="1:4" ht="36.65" customHeight="1" x14ac:dyDescent="0.3">
      <c r="A63" s="188" t="s">
        <v>95</v>
      </c>
      <c r="B63" s="188"/>
      <c r="C63" s="188"/>
      <c r="D63" s="188"/>
    </row>
  </sheetData>
  <mergeCells count="32">
    <mergeCell ref="A63:D63"/>
    <mergeCell ref="A53:D53"/>
    <mergeCell ref="D54:D56"/>
    <mergeCell ref="A59:D59"/>
    <mergeCell ref="A60:D60"/>
    <mergeCell ref="A61:D61"/>
    <mergeCell ref="A62:D62"/>
    <mergeCell ref="A46:D46"/>
    <mergeCell ref="A4:D4"/>
    <mergeCell ref="A5:D5"/>
    <mergeCell ref="A6:D6"/>
    <mergeCell ref="A7:D7"/>
    <mergeCell ref="D34:D36"/>
    <mergeCell ref="A43:D43"/>
    <mergeCell ref="D40:D42"/>
    <mergeCell ref="A33:D33"/>
    <mergeCell ref="A24:D24"/>
    <mergeCell ref="A37:D37"/>
    <mergeCell ref="A39:D39"/>
    <mergeCell ref="D30:D32"/>
    <mergeCell ref="D25:D27"/>
    <mergeCell ref="A28:D28"/>
    <mergeCell ref="A29:D29"/>
    <mergeCell ref="D17:D20"/>
    <mergeCell ref="A11:D11"/>
    <mergeCell ref="A21:D21"/>
    <mergeCell ref="D22:D23"/>
    <mergeCell ref="A16:D16"/>
    <mergeCell ref="A12:D12"/>
    <mergeCell ref="A13:D13"/>
    <mergeCell ref="A14:D14"/>
    <mergeCell ref="A15:D15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67"/>
  <sheetViews>
    <sheetView view="pageBreakPreview" zoomScale="85" zoomScaleNormal="100" zoomScaleSheetLayoutView="85" workbookViewId="0">
      <pane ySplit="8" topLeftCell="A45" activePane="bottomLeft" state="frozen"/>
      <selection activeCell="M35" sqref="M35"/>
      <selection pane="bottomLeft" activeCell="A35" sqref="A35:D35"/>
    </sheetView>
  </sheetViews>
  <sheetFormatPr defaultColWidth="9.1796875" defaultRowHeight="13" outlineLevelRow="3" x14ac:dyDescent="0.3"/>
  <cols>
    <col min="1" max="6" width="25.7265625" style="53" customWidth="1"/>
    <col min="7" max="16384" width="9.1796875" style="53"/>
  </cols>
  <sheetData>
    <row r="1" spans="1:6" x14ac:dyDescent="0.3">
      <c r="A1" s="74"/>
      <c r="F1" s="54" t="s">
        <v>96</v>
      </c>
    </row>
    <row r="2" spans="1:6" ht="14.5" customHeight="1" x14ac:dyDescent="0.3">
      <c r="A2" s="74"/>
      <c r="F2" s="55" t="s">
        <v>97</v>
      </c>
    </row>
    <row r="3" spans="1:6" x14ac:dyDescent="0.3">
      <c r="A3" s="8"/>
    </row>
    <row r="4" spans="1:6" x14ac:dyDescent="0.3">
      <c r="A4" s="182" t="s">
        <v>98</v>
      </c>
      <c r="B4" s="182"/>
      <c r="C4" s="182"/>
      <c r="D4" s="182"/>
      <c r="E4" s="182"/>
      <c r="F4" s="182"/>
    </row>
    <row r="5" spans="1:6" x14ac:dyDescent="0.3">
      <c r="A5" s="182" t="s">
        <v>99</v>
      </c>
      <c r="B5" s="182"/>
      <c r="C5" s="182"/>
      <c r="D5" s="182"/>
      <c r="E5" s="182"/>
      <c r="F5" s="182"/>
    </row>
    <row r="6" spans="1:6" x14ac:dyDescent="0.3">
      <c r="A6" s="8"/>
    </row>
    <row r="7" spans="1:6" ht="26" x14ac:dyDescent="0.3">
      <c r="A7" s="72" t="s">
        <v>0</v>
      </c>
      <c r="B7" s="72" t="s">
        <v>58</v>
      </c>
      <c r="C7" s="72" t="s">
        <v>60</v>
      </c>
      <c r="D7" s="72" t="s">
        <v>61</v>
      </c>
      <c r="E7" s="72" t="s">
        <v>62</v>
      </c>
      <c r="F7" s="72" t="s">
        <v>100</v>
      </c>
    </row>
    <row r="8" spans="1:6" x14ac:dyDescent="0.3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</row>
    <row r="9" spans="1:6" ht="28.9" customHeight="1" x14ac:dyDescent="0.3">
      <c r="A9" s="200" t="s">
        <v>518</v>
      </c>
      <c r="B9" s="200"/>
      <c r="C9" s="200"/>
      <c r="D9" s="200"/>
      <c r="E9" s="200"/>
      <c r="F9" s="200"/>
    </row>
    <row r="10" spans="1:6" ht="28.9" customHeight="1" x14ac:dyDescent="0.3">
      <c r="A10" s="190" t="s">
        <v>548</v>
      </c>
      <c r="B10" s="190"/>
      <c r="C10" s="190"/>
      <c r="D10" s="190"/>
      <c r="E10" s="190"/>
      <c r="F10" s="190"/>
    </row>
    <row r="11" spans="1:6" ht="30" customHeight="1" x14ac:dyDescent="0.3">
      <c r="A11" s="183" t="s">
        <v>4</v>
      </c>
      <c r="B11" s="183"/>
      <c r="C11" s="183"/>
      <c r="D11" s="183"/>
      <c r="E11" s="73">
        <f>E12+E17+E20</f>
        <v>718.99619599999994</v>
      </c>
      <c r="F11" s="191" t="s">
        <v>135</v>
      </c>
    </row>
    <row r="12" spans="1:6" ht="30" customHeight="1" outlineLevel="1" x14ac:dyDescent="0.3">
      <c r="A12" s="183" t="s">
        <v>5</v>
      </c>
      <c r="B12" s="183"/>
      <c r="C12" s="183"/>
      <c r="D12" s="183"/>
      <c r="E12" s="73">
        <f>SUM(E13:E16)</f>
        <v>568.99619599999994</v>
      </c>
      <c r="F12" s="192"/>
    </row>
    <row r="13" spans="1:6" outlineLevel="2" x14ac:dyDescent="0.3">
      <c r="A13" s="57" t="s">
        <v>509</v>
      </c>
      <c r="B13" s="64">
        <f>'БазНорм (лагеря)'!C5</f>
        <v>3.5087719298245615E-3</v>
      </c>
      <c r="C13" s="68">
        <f>'БазНорм (лагеря)'!J5</f>
        <v>1</v>
      </c>
      <c r="D13" s="68">
        <f>'БазНорм (лагеря)'!K5</f>
        <v>13411.248829999999</v>
      </c>
      <c r="E13" s="68">
        <f>B13*D13</f>
        <v>47.057013438596485</v>
      </c>
      <c r="F13" s="192"/>
    </row>
    <row r="14" spans="1:6" outlineLevel="2" x14ac:dyDescent="0.3">
      <c r="A14" s="57" t="s">
        <v>510</v>
      </c>
      <c r="B14" s="64">
        <f>'БазНорм (лагеря)'!C6</f>
        <v>3.7894736842105266E-2</v>
      </c>
      <c r="C14" s="68">
        <f>'БазНорм (лагеря)'!J6</f>
        <v>1</v>
      </c>
      <c r="D14" s="68">
        <f>'БазНорм (лагеря)'!K6</f>
        <v>11687.607599999998</v>
      </c>
      <c r="E14" s="68">
        <f>B14*D14</f>
        <v>442.89881431578942</v>
      </c>
      <c r="F14" s="192"/>
    </row>
    <row r="15" spans="1:6" outlineLevel="2" x14ac:dyDescent="0.3">
      <c r="A15" s="57" t="s">
        <v>511</v>
      </c>
      <c r="B15" s="64">
        <f>'БазНорм (лагеря)'!C7</f>
        <v>4.7368421052631582E-3</v>
      </c>
      <c r="C15" s="68">
        <f>'БазНорм (лагеря)'!J7</f>
        <v>1</v>
      </c>
      <c r="D15" s="68">
        <f>'БазНорм (лагеря)'!K7</f>
        <v>8354.4336370370347</v>
      </c>
      <c r="E15" s="68">
        <f>B15*D15</f>
        <v>39.573633017543848</v>
      </c>
      <c r="F15" s="192"/>
    </row>
    <row r="16" spans="1:6" outlineLevel="2" x14ac:dyDescent="0.3">
      <c r="A16" s="57" t="s">
        <v>512</v>
      </c>
      <c r="B16" s="64">
        <f>'БазНорм (лагеря)'!C8</f>
        <v>4.7368421052631582E-3</v>
      </c>
      <c r="C16" s="68">
        <f>'БазНорм (лагеря)'!J8</f>
        <v>1</v>
      </c>
      <c r="D16" s="68">
        <f>'БазНорм (лагеря)'!K8</f>
        <v>8331.8663259259247</v>
      </c>
      <c r="E16" s="68">
        <f>B16*D16</f>
        <v>39.466735228070171</v>
      </c>
      <c r="F16" s="192"/>
    </row>
    <row r="17" spans="1:6" ht="45" customHeight="1" outlineLevel="1" x14ac:dyDescent="0.3">
      <c r="A17" s="183" t="s">
        <v>6</v>
      </c>
      <c r="B17" s="183"/>
      <c r="C17" s="183"/>
      <c r="D17" s="183"/>
      <c r="E17" s="73">
        <f>E18+E19</f>
        <v>150</v>
      </c>
      <c r="F17" s="192"/>
    </row>
    <row r="18" spans="1:6" s="75" customFormat="1" ht="76.5" customHeight="1" outlineLevel="2" x14ac:dyDescent="0.3">
      <c r="A18" s="26" t="s">
        <v>514</v>
      </c>
      <c r="B18" s="52">
        <f>1710/285</f>
        <v>6</v>
      </c>
      <c r="C18" s="61">
        <v>1</v>
      </c>
      <c r="D18" s="122">
        <f>'БазНорм (лагеря)'!K11</f>
        <v>25</v>
      </c>
      <c r="E18" s="122">
        <f>B18*D18</f>
        <v>150</v>
      </c>
      <c r="F18" s="192"/>
    </row>
    <row r="19" spans="1:6" s="75" customFormat="1" outlineLevel="2" x14ac:dyDescent="0.3">
      <c r="A19" s="26"/>
      <c r="B19" s="52"/>
      <c r="C19" s="61"/>
      <c r="D19" s="122"/>
      <c r="E19" s="122">
        <f>B19*D19</f>
        <v>0</v>
      </c>
      <c r="F19" s="192"/>
    </row>
    <row r="20" spans="1:6" ht="30" customHeight="1" outlineLevel="1" x14ac:dyDescent="0.3">
      <c r="A20" s="183" t="s">
        <v>7</v>
      </c>
      <c r="B20" s="183"/>
      <c r="C20" s="183"/>
      <c r="D20" s="183"/>
      <c r="E20" s="73">
        <v>0</v>
      </c>
      <c r="F20" s="192"/>
    </row>
    <row r="21" spans="1:6" s="60" customFormat="1" outlineLevel="3" x14ac:dyDescent="0.3">
      <c r="A21" s="26"/>
      <c r="B21" s="52"/>
      <c r="C21" s="61"/>
      <c r="D21" s="68"/>
      <c r="E21" s="122"/>
      <c r="F21" s="192"/>
    </row>
    <row r="22" spans="1:6" s="60" customFormat="1" outlineLevel="3" x14ac:dyDescent="0.3">
      <c r="A22" s="26"/>
      <c r="B22" s="52"/>
      <c r="C22" s="61"/>
      <c r="D22" s="68"/>
      <c r="E22" s="122"/>
      <c r="F22" s="192"/>
    </row>
    <row r="23" spans="1:6" s="60" customFormat="1" outlineLevel="3" x14ac:dyDescent="0.3">
      <c r="A23" s="26"/>
      <c r="B23" s="52"/>
      <c r="C23" s="61"/>
      <c r="D23" s="68"/>
      <c r="E23" s="122"/>
      <c r="F23" s="192"/>
    </row>
    <row r="24" spans="1:6" s="60" customFormat="1" outlineLevel="3" x14ac:dyDescent="0.3">
      <c r="A24" s="26"/>
      <c r="B24" s="52"/>
      <c r="C24" s="61"/>
      <c r="D24" s="68"/>
      <c r="E24" s="122"/>
      <c r="F24" s="192"/>
    </row>
    <row r="25" spans="1:6" ht="30" customHeight="1" x14ac:dyDescent="0.3">
      <c r="A25" s="183" t="s">
        <v>11</v>
      </c>
      <c r="B25" s="183"/>
      <c r="C25" s="183"/>
      <c r="D25" s="183"/>
      <c r="E25" s="73">
        <f>E26+E35+E51+E53+E57+E60+E63</f>
        <v>0</v>
      </c>
      <c r="F25" s="192"/>
    </row>
    <row r="26" spans="1:6" ht="30" customHeight="1" outlineLevel="1" x14ac:dyDescent="0.3">
      <c r="A26" s="183" t="s">
        <v>12</v>
      </c>
      <c r="B26" s="183"/>
      <c r="C26" s="183"/>
      <c r="D26" s="183"/>
      <c r="E26" s="73">
        <f>SUM(E27:E34)</f>
        <v>0</v>
      </c>
      <c r="F26" s="192"/>
    </row>
    <row r="27" spans="1:6" outlineLevel="2" x14ac:dyDescent="0.3">
      <c r="A27" s="43"/>
      <c r="B27" s="64"/>
      <c r="C27" s="56"/>
      <c r="D27" s="68"/>
      <c r="E27" s="68"/>
      <c r="F27" s="192"/>
    </row>
    <row r="28" spans="1:6" outlineLevel="2" x14ac:dyDescent="0.3">
      <c r="A28" s="43"/>
      <c r="B28" s="64"/>
      <c r="C28" s="56"/>
      <c r="D28" s="68"/>
      <c r="E28" s="68"/>
      <c r="F28" s="192"/>
    </row>
    <row r="29" spans="1:6" outlineLevel="2" x14ac:dyDescent="0.3">
      <c r="A29" s="43"/>
      <c r="B29" s="64"/>
      <c r="C29" s="56"/>
      <c r="D29" s="68"/>
      <c r="E29" s="68"/>
      <c r="F29" s="192"/>
    </row>
    <row r="30" spans="1:6" outlineLevel="2" x14ac:dyDescent="0.3">
      <c r="A30" s="43"/>
      <c r="B30" s="64"/>
      <c r="C30" s="56"/>
      <c r="D30" s="68"/>
      <c r="E30" s="68"/>
      <c r="F30" s="192"/>
    </row>
    <row r="31" spans="1:6" outlineLevel="2" x14ac:dyDescent="0.3">
      <c r="A31" s="43"/>
      <c r="B31" s="64"/>
      <c r="C31" s="56"/>
      <c r="D31" s="68"/>
      <c r="E31" s="68"/>
      <c r="F31" s="192"/>
    </row>
    <row r="32" spans="1:6" outlineLevel="2" x14ac:dyDescent="0.3">
      <c r="A32" s="43"/>
      <c r="B32" s="64"/>
      <c r="C32" s="56"/>
      <c r="D32" s="68"/>
      <c r="E32" s="68"/>
      <c r="F32" s="192"/>
    </row>
    <row r="33" spans="1:6" outlineLevel="2" x14ac:dyDescent="0.3">
      <c r="A33" s="43"/>
      <c r="B33" s="64"/>
      <c r="C33" s="56"/>
      <c r="D33" s="68"/>
      <c r="E33" s="68"/>
      <c r="F33" s="192"/>
    </row>
    <row r="34" spans="1:6" outlineLevel="2" x14ac:dyDescent="0.3">
      <c r="A34" s="43"/>
      <c r="B34" s="64"/>
      <c r="C34" s="56"/>
      <c r="D34" s="68"/>
      <c r="E34" s="68"/>
      <c r="F34" s="192"/>
    </row>
    <row r="35" spans="1:6" ht="30" customHeight="1" outlineLevel="1" x14ac:dyDescent="0.3">
      <c r="A35" s="183" t="s">
        <v>14</v>
      </c>
      <c r="B35" s="183"/>
      <c r="C35" s="183"/>
      <c r="D35" s="183"/>
      <c r="E35" s="73">
        <f>SUM(E36:E50)</f>
        <v>0</v>
      </c>
      <c r="F35" s="192"/>
    </row>
    <row r="36" spans="1:6" outlineLevel="2" x14ac:dyDescent="0.3">
      <c r="A36" s="26"/>
      <c r="B36" s="64"/>
      <c r="C36" s="56"/>
      <c r="D36" s="68"/>
      <c r="E36" s="68"/>
      <c r="F36" s="192"/>
    </row>
    <row r="37" spans="1:6" outlineLevel="2" x14ac:dyDescent="0.3">
      <c r="A37" s="26"/>
      <c r="B37" s="64"/>
      <c r="C37" s="56"/>
      <c r="D37" s="68"/>
      <c r="E37" s="68"/>
      <c r="F37" s="192"/>
    </row>
    <row r="38" spans="1:6" outlineLevel="2" x14ac:dyDescent="0.3">
      <c r="A38" s="26"/>
      <c r="B38" s="64"/>
      <c r="C38" s="56"/>
      <c r="D38" s="68"/>
      <c r="E38" s="68"/>
      <c r="F38" s="192"/>
    </row>
    <row r="39" spans="1:6" outlineLevel="2" x14ac:dyDescent="0.3">
      <c r="A39" s="26"/>
      <c r="B39" s="64"/>
      <c r="C39" s="56"/>
      <c r="D39" s="68"/>
      <c r="E39" s="68"/>
      <c r="F39" s="192"/>
    </row>
    <row r="40" spans="1:6" outlineLevel="2" x14ac:dyDescent="0.3">
      <c r="A40" s="26"/>
      <c r="B40" s="64"/>
      <c r="C40" s="56"/>
      <c r="D40" s="68"/>
      <c r="E40" s="68"/>
      <c r="F40" s="192"/>
    </row>
    <row r="41" spans="1:6" outlineLevel="2" x14ac:dyDescent="0.3">
      <c r="A41" s="26"/>
      <c r="B41" s="64"/>
      <c r="C41" s="56"/>
      <c r="D41" s="68"/>
      <c r="E41" s="68"/>
      <c r="F41" s="192"/>
    </row>
    <row r="42" spans="1:6" outlineLevel="2" x14ac:dyDescent="0.3">
      <c r="A42" s="26"/>
      <c r="B42" s="64"/>
      <c r="C42" s="56"/>
      <c r="D42" s="68"/>
      <c r="E42" s="68"/>
      <c r="F42" s="192"/>
    </row>
    <row r="43" spans="1:6" outlineLevel="2" x14ac:dyDescent="0.3">
      <c r="A43" s="26"/>
      <c r="B43" s="64"/>
      <c r="C43" s="56"/>
      <c r="D43" s="68"/>
      <c r="E43" s="68"/>
      <c r="F43" s="192"/>
    </row>
    <row r="44" spans="1:6" outlineLevel="2" x14ac:dyDescent="0.3">
      <c r="A44" s="26"/>
      <c r="B44" s="64"/>
      <c r="C44" s="56"/>
      <c r="D44" s="68"/>
      <c r="E44" s="68"/>
      <c r="F44" s="192"/>
    </row>
    <row r="45" spans="1:6" outlineLevel="2" x14ac:dyDescent="0.3">
      <c r="A45" s="26"/>
      <c r="B45" s="64"/>
      <c r="C45" s="56"/>
      <c r="D45" s="68"/>
      <c r="E45" s="68"/>
      <c r="F45" s="192"/>
    </row>
    <row r="46" spans="1:6" outlineLevel="2" x14ac:dyDescent="0.3">
      <c r="A46" s="26"/>
      <c r="B46" s="64"/>
      <c r="C46" s="56"/>
      <c r="D46" s="68"/>
      <c r="E46" s="68"/>
      <c r="F46" s="192"/>
    </row>
    <row r="47" spans="1:6" outlineLevel="2" x14ac:dyDescent="0.3">
      <c r="A47" s="26"/>
      <c r="B47" s="64"/>
      <c r="C47" s="56"/>
      <c r="D47" s="68"/>
      <c r="E47" s="68"/>
      <c r="F47" s="192"/>
    </row>
    <row r="48" spans="1:6" outlineLevel="2" x14ac:dyDescent="0.3">
      <c r="A48" s="26"/>
      <c r="B48" s="64"/>
      <c r="C48" s="56"/>
      <c r="D48" s="68"/>
      <c r="E48" s="68"/>
      <c r="F48" s="192"/>
    </row>
    <row r="49" spans="1:6" outlineLevel="2" x14ac:dyDescent="0.3">
      <c r="A49" s="26"/>
      <c r="B49" s="64"/>
      <c r="C49" s="56"/>
      <c r="D49" s="68"/>
      <c r="E49" s="68"/>
      <c r="F49" s="192"/>
    </row>
    <row r="50" spans="1:6" outlineLevel="2" x14ac:dyDescent="0.3">
      <c r="A50" s="26"/>
      <c r="B50" s="64"/>
      <c r="C50" s="56"/>
      <c r="D50" s="68"/>
      <c r="E50" s="68"/>
      <c r="F50" s="192"/>
    </row>
    <row r="51" spans="1:6" ht="30" customHeight="1" outlineLevel="1" x14ac:dyDescent="0.3">
      <c r="A51" s="183" t="s">
        <v>15</v>
      </c>
      <c r="B51" s="183"/>
      <c r="C51" s="183"/>
      <c r="D51" s="183"/>
      <c r="E51" s="73">
        <f>SUM(E52:E52)</f>
        <v>0</v>
      </c>
      <c r="F51" s="192"/>
    </row>
    <row r="52" spans="1:6" outlineLevel="2" x14ac:dyDescent="0.3">
      <c r="A52" s="57"/>
      <c r="B52" s="64"/>
      <c r="C52" s="56"/>
      <c r="D52" s="68"/>
      <c r="E52" s="68"/>
      <c r="F52" s="192"/>
    </row>
    <row r="53" spans="1:6" ht="30" customHeight="1" outlineLevel="1" x14ac:dyDescent="0.3">
      <c r="A53" s="183" t="s">
        <v>16</v>
      </c>
      <c r="B53" s="183"/>
      <c r="C53" s="183"/>
      <c r="D53" s="183"/>
      <c r="E53" s="73">
        <f>SUM(E54:E56)</f>
        <v>0</v>
      </c>
      <c r="F53" s="192"/>
    </row>
    <row r="54" spans="1:6" outlineLevel="2" x14ac:dyDescent="0.3">
      <c r="A54" s="57"/>
      <c r="B54" s="64"/>
      <c r="C54" s="56"/>
      <c r="D54" s="61"/>
      <c r="E54" s="68"/>
      <c r="F54" s="192"/>
    </row>
    <row r="55" spans="1:6" outlineLevel="2" x14ac:dyDescent="0.3">
      <c r="A55" s="57"/>
      <c r="B55" s="64"/>
      <c r="C55" s="56"/>
      <c r="D55" s="61"/>
      <c r="E55" s="68"/>
      <c r="F55" s="192"/>
    </row>
    <row r="56" spans="1:6" outlineLevel="2" x14ac:dyDescent="0.3">
      <c r="A56" s="57"/>
      <c r="B56" s="64"/>
      <c r="C56" s="56"/>
      <c r="D56" s="61"/>
      <c r="E56" s="68"/>
      <c r="F56" s="192"/>
    </row>
    <row r="57" spans="1:6" ht="30" customHeight="1" outlineLevel="1" x14ac:dyDescent="0.3">
      <c r="A57" s="183" t="s">
        <v>17</v>
      </c>
      <c r="B57" s="183"/>
      <c r="C57" s="183"/>
      <c r="D57" s="183"/>
      <c r="E57" s="73">
        <v>0</v>
      </c>
      <c r="F57" s="192"/>
    </row>
    <row r="58" spans="1:6" outlineLevel="2" x14ac:dyDescent="0.3">
      <c r="A58" s="57"/>
      <c r="B58" s="57"/>
      <c r="C58" s="57"/>
      <c r="D58" s="57"/>
      <c r="E58" s="57"/>
      <c r="F58" s="192"/>
    </row>
    <row r="59" spans="1:6" outlineLevel="2" x14ac:dyDescent="0.3">
      <c r="A59" s="57"/>
      <c r="B59" s="57"/>
      <c r="C59" s="57"/>
      <c r="D59" s="57"/>
      <c r="E59" s="57"/>
      <c r="F59" s="192"/>
    </row>
    <row r="60" spans="1:6" ht="30" customHeight="1" outlineLevel="1" x14ac:dyDescent="0.3">
      <c r="A60" s="183" t="s">
        <v>20</v>
      </c>
      <c r="B60" s="183"/>
      <c r="C60" s="183"/>
      <c r="D60" s="183"/>
      <c r="E60" s="73">
        <v>0</v>
      </c>
      <c r="F60" s="192"/>
    </row>
    <row r="61" spans="1:6" outlineLevel="2" x14ac:dyDescent="0.3">
      <c r="A61" s="57"/>
      <c r="B61" s="57"/>
      <c r="C61" s="57"/>
      <c r="D61" s="57"/>
      <c r="E61" s="57"/>
      <c r="F61" s="192"/>
    </row>
    <row r="62" spans="1:6" outlineLevel="2" x14ac:dyDescent="0.3">
      <c r="A62" s="57"/>
      <c r="B62" s="57"/>
      <c r="C62" s="57"/>
      <c r="D62" s="57"/>
      <c r="E62" s="57"/>
      <c r="F62" s="192"/>
    </row>
    <row r="63" spans="1:6" ht="16.5" customHeight="1" outlineLevel="1" x14ac:dyDescent="0.3">
      <c r="A63" s="183" t="s">
        <v>23</v>
      </c>
      <c r="B63" s="183"/>
      <c r="C63" s="183"/>
      <c r="D63" s="183"/>
      <c r="E63" s="73">
        <v>0</v>
      </c>
      <c r="F63" s="192"/>
    </row>
    <row r="64" spans="1:6" outlineLevel="2" x14ac:dyDescent="0.3">
      <c r="A64" s="69"/>
      <c r="B64" s="71"/>
      <c r="C64" s="124"/>
      <c r="D64" s="125"/>
      <c r="E64" s="125"/>
      <c r="F64" s="192"/>
    </row>
    <row r="65" spans="1:6" outlineLevel="2" x14ac:dyDescent="0.3">
      <c r="A65" s="26"/>
      <c r="B65" s="52"/>
      <c r="C65" s="124"/>
      <c r="D65" s="125"/>
      <c r="E65" s="125"/>
      <c r="F65" s="192"/>
    </row>
    <row r="66" spans="1:6" outlineLevel="2" x14ac:dyDescent="0.3">
      <c r="A66" s="26"/>
      <c r="B66" s="52"/>
      <c r="C66" s="124"/>
      <c r="D66" s="125"/>
      <c r="E66" s="125"/>
      <c r="F66" s="192"/>
    </row>
    <row r="67" spans="1:6" x14ac:dyDescent="0.3">
      <c r="A67" s="194" t="s">
        <v>101</v>
      </c>
      <c r="B67" s="194"/>
      <c r="C67" s="194"/>
      <c r="D67" s="194"/>
      <c r="E67" s="73">
        <f>E11+E25</f>
        <v>718.99619599999994</v>
      </c>
      <c r="F67" s="57"/>
    </row>
  </sheetData>
  <mergeCells count="18">
    <mergeCell ref="A67:D67"/>
    <mergeCell ref="A26:D26"/>
    <mergeCell ref="A35:D35"/>
    <mergeCell ref="A51:D51"/>
    <mergeCell ref="A53:D53"/>
    <mergeCell ref="A57:D57"/>
    <mergeCell ref="A63:D63"/>
    <mergeCell ref="A60:D60"/>
    <mergeCell ref="A4:F4"/>
    <mergeCell ref="A5:F5"/>
    <mergeCell ref="A9:F9"/>
    <mergeCell ref="A10:F10"/>
    <mergeCell ref="A11:D11"/>
    <mergeCell ref="F11:F66"/>
    <mergeCell ref="A12:D12"/>
    <mergeCell ref="A17:D17"/>
    <mergeCell ref="A20:D20"/>
    <mergeCell ref="A25:D25"/>
  </mergeCells>
  <phoneticPr fontId="18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  <rowBreaks count="2" manualBreakCount="2">
    <brk id="25" max="5" man="1"/>
    <brk id="56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85" zoomScaleNormal="81" zoomScaleSheetLayoutView="85" workbookViewId="0">
      <selection activeCell="C2" sqref="C2"/>
    </sheetView>
  </sheetViews>
  <sheetFormatPr defaultColWidth="9.1796875" defaultRowHeight="14.5" x14ac:dyDescent="0.35"/>
  <cols>
    <col min="1" max="1" width="20.7265625" style="4" customWidth="1"/>
    <col min="2" max="2" width="25.54296875" style="4" customWidth="1"/>
    <col min="3" max="8" width="20.7265625" style="4" customWidth="1"/>
    <col min="9" max="16384" width="9.1796875" style="4"/>
  </cols>
  <sheetData>
    <row r="1" spans="1:12" x14ac:dyDescent="0.35">
      <c r="A1" s="3"/>
      <c r="G1" s="6"/>
      <c r="H1" s="159" t="s">
        <v>559</v>
      </c>
    </row>
    <row r="2" spans="1:12" ht="70" customHeight="1" x14ac:dyDescent="0.35">
      <c r="A2" s="3"/>
      <c r="G2" s="7"/>
      <c r="H2" s="160" t="s">
        <v>557</v>
      </c>
    </row>
    <row r="3" spans="1:12" x14ac:dyDescent="0.35">
      <c r="A3" s="5"/>
    </row>
    <row r="4" spans="1:12" x14ac:dyDescent="0.35">
      <c r="B4" s="1"/>
      <c r="C4" s="1"/>
      <c r="D4" s="1"/>
      <c r="E4" s="1"/>
      <c r="F4" s="1"/>
      <c r="G4" s="1"/>
      <c r="H4" s="8"/>
    </row>
    <row r="5" spans="1:12" x14ac:dyDescent="0.35">
      <c r="B5" s="1"/>
      <c r="C5" s="1"/>
      <c r="D5" s="1"/>
      <c r="E5" s="1"/>
      <c r="F5" s="1"/>
      <c r="G5" s="1"/>
      <c r="H5" s="8" t="s">
        <v>102</v>
      </c>
    </row>
    <row r="6" spans="1:12" x14ac:dyDescent="0.35">
      <c r="A6" s="2"/>
      <c r="B6" s="1"/>
      <c r="C6" s="1"/>
      <c r="D6" s="1"/>
      <c r="E6" s="1"/>
      <c r="F6" s="1"/>
      <c r="G6" s="1"/>
      <c r="H6" s="1"/>
    </row>
    <row r="7" spans="1:12" x14ac:dyDescent="0.35">
      <c r="A7" s="202" t="s">
        <v>103</v>
      </c>
      <c r="B7" s="202"/>
      <c r="C7" s="202"/>
      <c r="D7" s="202"/>
      <c r="E7" s="202"/>
      <c r="F7" s="202"/>
      <c r="G7" s="202"/>
      <c r="H7" s="202"/>
    </row>
    <row r="8" spans="1:12" x14ac:dyDescent="0.35">
      <c r="A8" s="202" t="s">
        <v>555</v>
      </c>
      <c r="B8" s="202"/>
      <c r="C8" s="202"/>
      <c r="D8" s="202"/>
      <c r="E8" s="202"/>
      <c r="F8" s="202"/>
      <c r="G8" s="202"/>
      <c r="H8" s="202"/>
    </row>
    <row r="9" spans="1:12" x14ac:dyDescent="0.35">
      <c r="A9" s="2"/>
      <c r="B9" s="1"/>
      <c r="C9" s="1"/>
      <c r="D9" s="1"/>
      <c r="E9" s="1"/>
      <c r="F9" s="1"/>
      <c r="G9" s="1"/>
      <c r="H9" s="1"/>
    </row>
    <row r="10" spans="1:12" x14ac:dyDescent="0.35">
      <c r="B10" s="1"/>
      <c r="C10" s="1"/>
      <c r="D10" s="1"/>
      <c r="E10" s="1"/>
      <c r="F10" s="1"/>
      <c r="G10" s="1"/>
      <c r="H10" s="9" t="s">
        <v>104</v>
      </c>
    </row>
    <row r="11" spans="1:12" ht="22.15" customHeight="1" x14ac:dyDescent="0.35">
      <c r="A11" s="203" t="s">
        <v>105</v>
      </c>
      <c r="B11" s="203" t="s">
        <v>106</v>
      </c>
      <c r="C11" s="203" t="s">
        <v>107</v>
      </c>
      <c r="D11" s="203"/>
      <c r="E11" s="203"/>
      <c r="F11" s="203"/>
      <c r="G11" s="203"/>
      <c r="H11" s="203"/>
    </row>
    <row r="12" spans="1:12" x14ac:dyDescent="0.35">
      <c r="A12" s="203"/>
      <c r="B12" s="203"/>
      <c r="C12" s="203" t="s">
        <v>108</v>
      </c>
      <c r="D12" s="203" t="s">
        <v>109</v>
      </c>
      <c r="E12" s="203"/>
      <c r="F12" s="203"/>
      <c r="G12" s="203"/>
      <c r="H12" s="203"/>
    </row>
    <row r="13" spans="1:12" ht="50.5" customHeight="1" x14ac:dyDescent="0.35">
      <c r="A13" s="203"/>
      <c r="B13" s="203"/>
      <c r="C13" s="203"/>
      <c r="D13" s="203" t="s">
        <v>110</v>
      </c>
      <c r="E13" s="203"/>
      <c r="F13" s="203" t="s">
        <v>111</v>
      </c>
      <c r="G13" s="203"/>
      <c r="H13" s="203"/>
    </row>
    <row r="14" spans="1:12" ht="17" x14ac:dyDescent="0.35">
      <c r="A14" s="203"/>
      <c r="B14" s="203"/>
      <c r="C14" s="203"/>
      <c r="D14" s="11" t="s">
        <v>112</v>
      </c>
      <c r="E14" s="11" t="s">
        <v>113</v>
      </c>
      <c r="F14" s="11" t="s">
        <v>112</v>
      </c>
      <c r="G14" s="11" t="s">
        <v>114</v>
      </c>
      <c r="H14" s="11" t="s">
        <v>115</v>
      </c>
    </row>
    <row r="15" spans="1:12" x14ac:dyDescent="0.35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</row>
    <row r="16" spans="1:12" ht="63.75" customHeight="1" x14ac:dyDescent="0.35">
      <c r="A16" s="13" t="s">
        <v>485</v>
      </c>
      <c r="B16" s="132" t="s">
        <v>543</v>
      </c>
      <c r="C16" s="83">
        <f>D16+F16</f>
        <v>9939.2645635508125</v>
      </c>
      <c r="D16" s="83">
        <f>'1.2.'!E11</f>
        <v>2138.5390911640225</v>
      </c>
      <c r="E16" s="83">
        <f>'1.2.'!E12</f>
        <v>776.36324496288444</v>
      </c>
      <c r="F16" s="83">
        <f>'1.2.'!E162</f>
        <v>7800.7254723867909</v>
      </c>
      <c r="G16" s="83">
        <f>'1.2.'!E163</f>
        <v>6229.999088016968</v>
      </c>
      <c r="H16" s="83">
        <f>'1.2.'!E172</f>
        <v>899.27834676564157</v>
      </c>
      <c r="J16" s="67"/>
      <c r="L16" s="67"/>
    </row>
    <row r="17" spans="1:11" ht="63.75" customHeight="1" x14ac:dyDescent="0.35">
      <c r="A17" s="13" t="s">
        <v>485</v>
      </c>
      <c r="B17" s="132" t="s">
        <v>540</v>
      </c>
      <c r="C17" s="83">
        <f>D17+F17</f>
        <v>9939.2645635508125</v>
      </c>
      <c r="D17" s="83">
        <f>'2.2.'!E11</f>
        <v>2138.5390911640225</v>
      </c>
      <c r="E17" s="83">
        <f>'2.2.'!E12</f>
        <v>776.36324496288444</v>
      </c>
      <c r="F17" s="83">
        <f>'2.2.'!E162</f>
        <v>7800.7254723867909</v>
      </c>
      <c r="G17" s="83">
        <f>'2.2.'!E163</f>
        <v>6229.999088016968</v>
      </c>
      <c r="H17" s="83">
        <f>'2.2.'!E172</f>
        <v>899.27834676564157</v>
      </c>
      <c r="J17" s="4">
        <f>F17*943</f>
        <v>7356084.120460744</v>
      </c>
    </row>
    <row r="18" spans="1:11" ht="65.25" customHeight="1" x14ac:dyDescent="0.35">
      <c r="A18" s="81" t="s">
        <v>486</v>
      </c>
      <c r="B18" s="132" t="s">
        <v>541</v>
      </c>
      <c r="C18" s="83">
        <f>D18+F18</f>
        <v>9939.2645635508125</v>
      </c>
      <c r="D18" s="83">
        <f>'3.2.'!E11</f>
        <v>2138.5390911640225</v>
      </c>
      <c r="E18" s="83">
        <f>'3.2.'!E12</f>
        <v>776.36324496288444</v>
      </c>
      <c r="F18" s="83">
        <f>'3.2.'!E162</f>
        <v>7800.7254723867909</v>
      </c>
      <c r="G18" s="83">
        <f>'3.2.'!E163</f>
        <v>6229.999088016968</v>
      </c>
      <c r="H18" s="83">
        <f>'3.2.'!E172</f>
        <v>899.27834676564157</v>
      </c>
      <c r="J18" s="67"/>
      <c r="K18" s="67"/>
    </row>
    <row r="19" spans="1:11" ht="122.25" customHeight="1" x14ac:dyDescent="0.35">
      <c r="A19" s="81" t="s">
        <v>494</v>
      </c>
      <c r="B19" s="132" t="s">
        <v>542</v>
      </c>
      <c r="C19" s="83">
        <f>D19+F19</f>
        <v>9939.2645635508125</v>
      </c>
      <c r="D19" s="83">
        <f>'4.2.'!E11</f>
        <v>2138.5390911640225</v>
      </c>
      <c r="E19" s="83">
        <f>'4.2.'!E12</f>
        <v>776.36324496288444</v>
      </c>
      <c r="F19" s="83">
        <f>'4.2.'!E162</f>
        <v>7800.7254723867909</v>
      </c>
      <c r="G19" s="83">
        <f>'4.2.'!E163</f>
        <v>6229.999088016968</v>
      </c>
      <c r="H19" s="83">
        <f>'4.2.'!E172</f>
        <v>899.27834676564157</v>
      </c>
    </row>
    <row r="20" spans="1:11" ht="65.25" customHeight="1" x14ac:dyDescent="0.35">
      <c r="A20" s="81" t="s">
        <v>493</v>
      </c>
      <c r="B20" s="133" t="s">
        <v>516</v>
      </c>
      <c r="C20" s="83">
        <f>D20+F20</f>
        <v>718.99619599999994</v>
      </c>
      <c r="D20" s="83">
        <f>'5.2.'!E11</f>
        <v>718.99619599999994</v>
      </c>
      <c r="E20" s="83">
        <f>'5.2.'!E12</f>
        <v>568.99619599999994</v>
      </c>
      <c r="F20" s="83">
        <v>0</v>
      </c>
      <c r="G20" s="83">
        <v>0</v>
      </c>
      <c r="H20" s="83">
        <v>0</v>
      </c>
    </row>
    <row r="21" spans="1:11" x14ac:dyDescent="0.35">
      <c r="A21" s="2"/>
      <c r="B21" s="1"/>
      <c r="C21" s="1"/>
      <c r="D21" s="1"/>
      <c r="E21" s="1"/>
      <c r="F21" s="1"/>
      <c r="G21" s="1"/>
      <c r="H21" s="1"/>
    </row>
    <row r="22" spans="1:11" x14ac:dyDescent="0.35">
      <c r="A22" s="204" t="s">
        <v>91</v>
      </c>
      <c r="B22" s="204"/>
      <c r="C22" s="204"/>
      <c r="D22" s="204"/>
      <c r="E22" s="204"/>
      <c r="F22" s="204"/>
      <c r="G22" s="204"/>
      <c r="H22" s="204"/>
    </row>
    <row r="23" spans="1:11" ht="21.65" customHeight="1" x14ac:dyDescent="0.35">
      <c r="A23" s="201" t="s">
        <v>116</v>
      </c>
      <c r="B23" s="201"/>
      <c r="C23" s="201"/>
      <c r="D23" s="201"/>
      <c r="E23" s="201"/>
      <c r="F23" s="201"/>
      <c r="G23" s="201"/>
      <c r="H23" s="201"/>
    </row>
    <row r="24" spans="1:11" ht="19.149999999999999" customHeight="1" x14ac:dyDescent="0.35">
      <c r="A24" s="201" t="s">
        <v>117</v>
      </c>
      <c r="B24" s="201"/>
      <c r="C24" s="201"/>
      <c r="D24" s="201"/>
      <c r="E24" s="201"/>
      <c r="F24" s="201"/>
      <c r="G24" s="201"/>
      <c r="H24" s="201"/>
    </row>
    <row r="25" spans="1:11" ht="16.899999999999999" customHeight="1" x14ac:dyDescent="0.35">
      <c r="A25" s="201" t="s">
        <v>118</v>
      </c>
      <c r="B25" s="201"/>
      <c r="C25" s="201"/>
      <c r="D25" s="201"/>
      <c r="E25" s="201"/>
      <c r="F25" s="201"/>
      <c r="G25" s="201"/>
      <c r="H25" s="201"/>
    </row>
    <row r="26" spans="1:11" x14ac:dyDescent="0.35">
      <c r="A26" s="5"/>
    </row>
  </sheetData>
  <mergeCells count="13">
    <mergeCell ref="A7:H7"/>
    <mergeCell ref="A22:H22"/>
    <mergeCell ref="F13:H13"/>
    <mergeCell ref="A23:H23"/>
    <mergeCell ref="A24:H24"/>
    <mergeCell ref="A25:H25"/>
    <mergeCell ref="A8:H8"/>
    <mergeCell ref="A11:A14"/>
    <mergeCell ref="B11:B14"/>
    <mergeCell ref="C11:H11"/>
    <mergeCell ref="C12:C14"/>
    <mergeCell ref="D12:H12"/>
    <mergeCell ref="D13:E13"/>
  </mergeCells>
  <phoneticPr fontId="18" type="noConversion"/>
  <pageMargins left="0.70866141732283472" right="0.70866141732283472" top="0.27559055118110237" bottom="0.19685039370078741" header="0.31496062992125984" footer="0.31496062992125984"/>
  <pageSetup paperSize="9" scale="6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Q53"/>
  <sheetViews>
    <sheetView view="pageBreakPreview" topLeftCell="D1" zoomScale="70" zoomScaleNormal="100" zoomScaleSheetLayoutView="70" workbookViewId="0">
      <selection activeCell="I1" sqref="I1:M1048576"/>
    </sheetView>
  </sheetViews>
  <sheetFormatPr defaultColWidth="9.1796875" defaultRowHeight="14.5" outlineLevelRow="1" x14ac:dyDescent="0.35"/>
  <cols>
    <col min="1" max="1" width="34.81640625" style="4" customWidth="1"/>
    <col min="2" max="8" width="20.7265625" style="4" customWidth="1"/>
    <col min="9" max="9" width="14.81640625" style="4" hidden="1" customWidth="1"/>
    <col min="10" max="10" width="14.81640625" style="67" hidden="1" customWidth="1"/>
    <col min="11" max="11" width="14" style="67" hidden="1" customWidth="1"/>
    <col min="12" max="13" width="13.453125" style="4" hidden="1" customWidth="1"/>
    <col min="14" max="14" width="11.1796875" style="4" bestFit="1" customWidth="1"/>
    <col min="15" max="15" width="9.1796875" style="4"/>
    <col min="16" max="16" width="12" style="4" bestFit="1" customWidth="1"/>
    <col min="17" max="16384" width="9.1796875" style="4"/>
  </cols>
  <sheetData>
    <row r="1" spans="1:17" x14ac:dyDescent="0.35">
      <c r="A1" s="3"/>
      <c r="G1" s="6"/>
      <c r="H1" s="159" t="s">
        <v>560</v>
      </c>
    </row>
    <row r="2" spans="1:17" ht="64.5" customHeight="1" x14ac:dyDescent="0.35">
      <c r="A2" s="3"/>
      <c r="G2" s="7"/>
      <c r="H2" s="160" t="s">
        <v>561</v>
      </c>
    </row>
    <row r="3" spans="1:17" x14ac:dyDescent="0.35">
      <c r="A3" s="10"/>
    </row>
    <row r="4" spans="1:17" x14ac:dyDescent="0.35">
      <c r="A4" s="5"/>
    </row>
    <row r="5" spans="1:17" x14ac:dyDescent="0.35">
      <c r="A5" s="202" t="s">
        <v>120</v>
      </c>
      <c r="B5" s="202"/>
      <c r="C5" s="202"/>
      <c r="D5" s="202"/>
      <c r="E5" s="202"/>
      <c r="F5" s="202"/>
      <c r="G5" s="202"/>
      <c r="H5" s="202"/>
    </row>
    <row r="6" spans="1:17" x14ac:dyDescent="0.35">
      <c r="A6" s="202" t="s">
        <v>555</v>
      </c>
      <c r="B6" s="202"/>
      <c r="C6" s="202"/>
      <c r="D6" s="202"/>
      <c r="E6" s="202"/>
      <c r="F6" s="202"/>
      <c r="G6" s="202"/>
      <c r="H6" s="202"/>
    </row>
    <row r="7" spans="1:17" x14ac:dyDescent="0.35">
      <c r="A7" s="2"/>
      <c r="B7" s="1"/>
      <c r="C7" s="1"/>
      <c r="D7" s="1"/>
      <c r="E7" s="1"/>
      <c r="F7" s="1"/>
      <c r="G7" s="1"/>
      <c r="H7" s="1"/>
    </row>
    <row r="8" spans="1:17" ht="56.5" customHeight="1" x14ac:dyDescent="0.35">
      <c r="A8" s="203" t="s">
        <v>121</v>
      </c>
      <c r="B8" s="203" t="s">
        <v>122</v>
      </c>
      <c r="C8" s="203" t="s">
        <v>123</v>
      </c>
      <c r="D8" s="203"/>
      <c r="E8" s="203"/>
      <c r="F8" s="203"/>
      <c r="G8" s="203"/>
      <c r="H8" s="203" t="s">
        <v>124</v>
      </c>
    </row>
    <row r="9" spans="1:17" x14ac:dyDescent="0.35">
      <c r="A9" s="203"/>
      <c r="B9" s="203"/>
      <c r="C9" s="203" t="s">
        <v>125</v>
      </c>
      <c r="D9" s="203" t="s">
        <v>126</v>
      </c>
      <c r="E9" s="203"/>
      <c r="F9" s="203"/>
      <c r="G9" s="203"/>
      <c r="H9" s="203"/>
    </row>
    <row r="10" spans="1:17" ht="56" x14ac:dyDescent="0.35">
      <c r="A10" s="203"/>
      <c r="B10" s="203"/>
      <c r="C10" s="203"/>
      <c r="D10" s="11" t="s">
        <v>127</v>
      </c>
      <c r="E10" s="11" t="s">
        <v>128</v>
      </c>
      <c r="F10" s="11" t="s">
        <v>129</v>
      </c>
      <c r="G10" s="11" t="s">
        <v>130</v>
      </c>
      <c r="H10" s="203"/>
    </row>
    <row r="11" spans="1:17" x14ac:dyDescent="0.35">
      <c r="A11" s="11">
        <v>1</v>
      </c>
      <c r="B11" s="11">
        <v>2</v>
      </c>
      <c r="C11" s="11" t="s">
        <v>131</v>
      </c>
      <c r="D11" s="11">
        <v>4</v>
      </c>
      <c r="E11" s="11">
        <v>5</v>
      </c>
      <c r="F11" s="11">
        <v>6</v>
      </c>
      <c r="G11" s="11">
        <v>7</v>
      </c>
      <c r="H11" s="11" t="s">
        <v>132</v>
      </c>
    </row>
    <row r="12" spans="1:17" s="63" customFormat="1" ht="100.9" customHeight="1" x14ac:dyDescent="0.35">
      <c r="A12" s="134" t="s">
        <v>549</v>
      </c>
      <c r="B12" s="135">
        <f>SUM(B13:B18)</f>
        <v>1365</v>
      </c>
      <c r="C12" s="85" t="s">
        <v>133</v>
      </c>
      <c r="D12" s="85" t="s">
        <v>133</v>
      </c>
      <c r="E12" s="85" t="s">
        <v>133</v>
      </c>
      <c r="F12" s="85" t="s">
        <v>133</v>
      </c>
      <c r="G12" s="85" t="s">
        <v>133</v>
      </c>
      <c r="H12" s="86">
        <f>SUM(H13:H18)</f>
        <v>17449677.29045637</v>
      </c>
      <c r="J12" s="89"/>
      <c r="K12" s="89"/>
    </row>
    <row r="13" spans="1:17" ht="17.25" customHeight="1" outlineLevel="1" x14ac:dyDescent="0.35">
      <c r="A13" s="136" t="s">
        <v>487</v>
      </c>
      <c r="B13" s="137">
        <v>245.3</v>
      </c>
      <c r="C13" s="82">
        <f t="shared" ref="C13:C18" si="0">D13*E13*F13*G13</f>
        <v>11872.116863178337</v>
      </c>
      <c r="D13" s="82">
        <f>'6.'!$C$16</f>
        <v>9939.2645635508125</v>
      </c>
      <c r="E13" s="82">
        <v>1</v>
      </c>
      <c r="F13" s="82">
        <v>1</v>
      </c>
      <c r="G13" s="149">
        <v>1.1944663297036748</v>
      </c>
      <c r="H13" s="83">
        <f>B13*C13</f>
        <v>2912230.2665376463</v>
      </c>
      <c r="I13" s="91">
        <f t="shared" ref="I13:I18" si="1">J13/(H13+H20+H27+H34)</f>
        <v>1</v>
      </c>
      <c r="J13" s="67">
        <v>5665374.1671087025</v>
      </c>
      <c r="K13" s="91">
        <v>1.1944663297036748</v>
      </c>
      <c r="L13" s="67"/>
      <c r="M13" s="67"/>
      <c r="N13" s="67"/>
      <c r="P13" s="67"/>
    </row>
    <row r="14" spans="1:17" ht="17.25" customHeight="1" outlineLevel="1" x14ac:dyDescent="0.35">
      <c r="A14" s="136" t="s">
        <v>488</v>
      </c>
      <c r="B14" s="137">
        <v>293.39999999999998</v>
      </c>
      <c r="C14" s="82">
        <f t="shared" si="0"/>
        <v>10019.827345592994</v>
      </c>
      <c r="D14" s="82">
        <f>'6.'!$C$16</f>
        <v>9939.2645635508125</v>
      </c>
      <c r="E14" s="82">
        <v>1</v>
      </c>
      <c r="F14" s="82">
        <v>1</v>
      </c>
      <c r="G14" s="149">
        <v>1.0081055073569145</v>
      </c>
      <c r="H14" s="83">
        <f t="shared" ref="H14:H32" si="2">B14*C14</f>
        <v>2939817.3431969844</v>
      </c>
      <c r="I14" s="91">
        <f t="shared" si="1"/>
        <v>0.99999999999999989</v>
      </c>
      <c r="J14" s="67">
        <v>7205257.8442159211</v>
      </c>
      <c r="K14" s="91">
        <v>1.0081055073569145</v>
      </c>
      <c r="L14" s="67"/>
      <c r="M14" s="67"/>
      <c r="N14" s="67"/>
      <c r="P14" s="67"/>
    </row>
    <row r="15" spans="1:17" ht="17.25" customHeight="1" outlineLevel="1" x14ac:dyDescent="0.35">
      <c r="A15" s="136" t="s">
        <v>489</v>
      </c>
      <c r="B15" s="137">
        <v>367.6</v>
      </c>
      <c r="C15" s="82">
        <f t="shared" si="0"/>
        <v>9939.2645635508125</v>
      </c>
      <c r="D15" s="82">
        <f>'6.'!$C$16</f>
        <v>9939.2645635508125</v>
      </c>
      <c r="E15" s="82">
        <v>1</v>
      </c>
      <c r="F15" s="82">
        <v>1</v>
      </c>
      <c r="G15" s="149">
        <v>1</v>
      </c>
      <c r="H15" s="83">
        <f t="shared" si="2"/>
        <v>3653673.6535612787</v>
      </c>
      <c r="I15" s="91">
        <f t="shared" si="1"/>
        <v>1</v>
      </c>
      <c r="J15" s="67">
        <v>9372726.4834284168</v>
      </c>
      <c r="K15" s="91">
        <v>1</v>
      </c>
      <c r="L15" s="67"/>
      <c r="M15" s="67"/>
      <c r="N15" s="67"/>
      <c r="P15" s="67"/>
      <c r="Q15" s="67"/>
    </row>
    <row r="16" spans="1:17" ht="17.25" customHeight="1" outlineLevel="1" x14ac:dyDescent="0.35">
      <c r="A16" s="136" t="s">
        <v>490</v>
      </c>
      <c r="B16" s="137">
        <v>51.7</v>
      </c>
      <c r="C16" s="82">
        <f t="shared" si="0"/>
        <v>34189.48970869102</v>
      </c>
      <c r="D16" s="82">
        <f>'6.'!$C$16</f>
        <v>9939.2645635508125</v>
      </c>
      <c r="E16" s="82">
        <v>1</v>
      </c>
      <c r="F16" s="82">
        <v>1</v>
      </c>
      <c r="G16" s="149">
        <v>3.4398409952855493</v>
      </c>
      <c r="H16" s="83">
        <f t="shared" si="2"/>
        <v>1767596.6179393257</v>
      </c>
      <c r="I16" s="91">
        <f t="shared" si="1"/>
        <v>1.0000000000000002</v>
      </c>
      <c r="J16" s="67">
        <v>3726654.3782473216</v>
      </c>
      <c r="K16" s="91">
        <v>3.4398409952855493</v>
      </c>
      <c r="L16" s="67"/>
      <c r="M16" s="67"/>
      <c r="N16" s="67"/>
      <c r="P16" s="67"/>
    </row>
    <row r="17" spans="1:16" ht="17.25" customHeight="1" outlineLevel="1" x14ac:dyDescent="0.35">
      <c r="A17" s="136" t="s">
        <v>491</v>
      </c>
      <c r="B17" s="137">
        <v>49.3</v>
      </c>
      <c r="C17" s="82">
        <f t="shared" si="0"/>
        <v>43106.423836564638</v>
      </c>
      <c r="D17" s="82">
        <f>'6.'!$C$16</f>
        <v>9939.2645635508125</v>
      </c>
      <c r="E17" s="82">
        <v>1</v>
      </c>
      <c r="F17" s="82">
        <v>1</v>
      </c>
      <c r="G17" s="149">
        <v>4.3369832406558686</v>
      </c>
      <c r="H17" s="83">
        <f t="shared" si="2"/>
        <v>2125146.6951426365</v>
      </c>
      <c r="I17" s="91">
        <f t="shared" si="1"/>
        <v>1</v>
      </c>
      <c r="J17" s="67">
        <v>4336506.2379584024</v>
      </c>
      <c r="K17" s="91">
        <v>4.3369832406558686</v>
      </c>
      <c r="L17" s="67"/>
      <c r="M17" s="67"/>
      <c r="N17" s="67"/>
      <c r="P17" s="67"/>
    </row>
    <row r="18" spans="1:16" ht="17.25" customHeight="1" outlineLevel="1" x14ac:dyDescent="0.35">
      <c r="A18" s="136" t="s">
        <v>492</v>
      </c>
      <c r="B18" s="137">
        <v>357.7</v>
      </c>
      <c r="C18" s="82">
        <f t="shared" si="0"/>
        <v>11325.727464575066</v>
      </c>
      <c r="D18" s="82">
        <f>'6.'!$C$16</f>
        <v>9939.2645635508125</v>
      </c>
      <c r="E18" s="82">
        <v>1</v>
      </c>
      <c r="F18" s="82">
        <v>1</v>
      </c>
      <c r="G18" s="149">
        <v>1.1394935100237373</v>
      </c>
      <c r="H18" s="83">
        <f t="shared" si="2"/>
        <v>4051212.7140785009</v>
      </c>
      <c r="I18" s="91">
        <f t="shared" si="1"/>
        <v>0.99999999999999978</v>
      </c>
      <c r="J18" s="67">
        <v>9435463.5507374853</v>
      </c>
      <c r="K18" s="91">
        <v>1.1394935100237373</v>
      </c>
      <c r="L18" s="67"/>
      <c r="M18" s="67"/>
      <c r="N18" s="67"/>
      <c r="P18" s="67"/>
    </row>
    <row r="19" spans="1:16" s="63" customFormat="1" ht="100.15" customHeight="1" x14ac:dyDescent="0.35">
      <c r="A19" s="134" t="s">
        <v>550</v>
      </c>
      <c r="B19" s="135">
        <f>SUM(B20:B25)</f>
        <v>1576.8999999999999</v>
      </c>
      <c r="C19" s="85" t="s">
        <v>133</v>
      </c>
      <c r="D19" s="85" t="s">
        <v>133</v>
      </c>
      <c r="E19" s="85" t="s">
        <v>133</v>
      </c>
      <c r="F19" s="85" t="s">
        <v>133</v>
      </c>
      <c r="G19" s="85" t="s">
        <v>133</v>
      </c>
      <c r="H19" s="86">
        <f>SUM(H20:H25)</f>
        <v>19779541.948971011</v>
      </c>
      <c r="J19" s="89"/>
      <c r="K19" s="89"/>
    </row>
    <row r="20" spans="1:16" ht="17.25" customHeight="1" outlineLevel="1" x14ac:dyDescent="0.35">
      <c r="A20" s="136" t="s">
        <v>487</v>
      </c>
      <c r="B20" s="137">
        <v>231.9</v>
      </c>
      <c r="C20" s="82">
        <f t="shared" ref="C20:C25" si="3">D20*E20*F20*G20</f>
        <v>11872.116863178337</v>
      </c>
      <c r="D20" s="82">
        <f>'6.'!$C$17</f>
        <v>9939.2645635508125</v>
      </c>
      <c r="E20" s="82">
        <v>1</v>
      </c>
      <c r="F20" s="82">
        <v>1</v>
      </c>
      <c r="G20" s="149">
        <v>1.1944663297036748</v>
      </c>
      <c r="H20" s="83">
        <f t="shared" si="2"/>
        <v>2753143.9005710562</v>
      </c>
    </row>
    <row r="21" spans="1:16" ht="17.25" customHeight="1" outlineLevel="1" x14ac:dyDescent="0.35">
      <c r="A21" s="136" t="s">
        <v>488</v>
      </c>
      <c r="B21" s="137">
        <v>366.7</v>
      </c>
      <c r="C21" s="82">
        <f t="shared" si="3"/>
        <v>10019.827345592994</v>
      </c>
      <c r="D21" s="82">
        <f>'6.'!$C$17</f>
        <v>9939.2645635508125</v>
      </c>
      <c r="E21" s="82">
        <v>1</v>
      </c>
      <c r="F21" s="82">
        <v>1</v>
      </c>
      <c r="G21" s="149">
        <v>1.0081055073569145</v>
      </c>
      <c r="H21" s="83">
        <f t="shared" si="2"/>
        <v>3674270.6876289509</v>
      </c>
    </row>
    <row r="22" spans="1:16" ht="17.25" customHeight="1" outlineLevel="1" x14ac:dyDescent="0.35">
      <c r="A22" s="136" t="s">
        <v>489</v>
      </c>
      <c r="B22" s="137">
        <v>482</v>
      </c>
      <c r="C22" s="82">
        <f t="shared" si="3"/>
        <v>9939.2645635508125</v>
      </c>
      <c r="D22" s="82">
        <f>'6.'!$C$17</f>
        <v>9939.2645635508125</v>
      </c>
      <c r="E22" s="82">
        <v>1</v>
      </c>
      <c r="F22" s="82">
        <v>1</v>
      </c>
      <c r="G22" s="149">
        <v>1</v>
      </c>
      <c r="H22" s="83">
        <f t="shared" si="2"/>
        <v>4790725.519631492</v>
      </c>
    </row>
    <row r="23" spans="1:16" ht="17.25" customHeight="1" outlineLevel="1" x14ac:dyDescent="0.35">
      <c r="A23" s="136" t="s">
        <v>490</v>
      </c>
      <c r="B23" s="137">
        <v>57.3</v>
      </c>
      <c r="C23" s="82">
        <f t="shared" si="3"/>
        <v>34189.48970869102</v>
      </c>
      <c r="D23" s="82">
        <f>'6.'!$C$17</f>
        <v>9939.2645635508125</v>
      </c>
      <c r="E23" s="82">
        <v>1</v>
      </c>
      <c r="F23" s="82">
        <v>1</v>
      </c>
      <c r="G23" s="149">
        <v>3.4398409952855493</v>
      </c>
      <c r="H23" s="83">
        <f t="shared" si="2"/>
        <v>1959057.7603079954</v>
      </c>
    </row>
    <row r="24" spans="1:16" ht="17.25" customHeight="1" outlineLevel="1" x14ac:dyDescent="0.35">
      <c r="A24" s="136" t="s">
        <v>491</v>
      </c>
      <c r="B24" s="137">
        <v>51.3</v>
      </c>
      <c r="C24" s="82">
        <f t="shared" si="3"/>
        <v>43106.423836564638</v>
      </c>
      <c r="D24" s="82">
        <f>'6.'!$C$17</f>
        <v>9939.2645635508125</v>
      </c>
      <c r="E24" s="82">
        <v>1</v>
      </c>
      <c r="F24" s="82">
        <v>1</v>
      </c>
      <c r="G24" s="149">
        <v>4.3369832406558686</v>
      </c>
      <c r="H24" s="83">
        <f t="shared" si="2"/>
        <v>2211359.5428157658</v>
      </c>
    </row>
    <row r="25" spans="1:16" ht="17.25" customHeight="1" outlineLevel="1" x14ac:dyDescent="0.35">
      <c r="A25" s="136" t="s">
        <v>492</v>
      </c>
      <c r="B25" s="137">
        <v>387.7</v>
      </c>
      <c r="C25" s="82">
        <f t="shared" si="3"/>
        <v>11325.727464575066</v>
      </c>
      <c r="D25" s="82">
        <f>'6.'!$C$17</f>
        <v>9939.2645635508125</v>
      </c>
      <c r="E25" s="82">
        <v>1</v>
      </c>
      <c r="F25" s="82">
        <v>1</v>
      </c>
      <c r="G25" s="149">
        <v>1.1394935100237373</v>
      </c>
      <c r="H25" s="83">
        <f t="shared" si="2"/>
        <v>4390984.538015753</v>
      </c>
    </row>
    <row r="26" spans="1:16" s="63" customFormat="1" ht="86.25" customHeight="1" x14ac:dyDescent="0.35">
      <c r="A26" s="134" t="s">
        <v>551</v>
      </c>
      <c r="B26" s="135">
        <f>SUM(B27:B32)</f>
        <v>240.10000000000002</v>
      </c>
      <c r="C26" s="85" t="s">
        <v>133</v>
      </c>
      <c r="D26" s="85" t="s">
        <v>133</v>
      </c>
      <c r="E26" s="85" t="s">
        <v>133</v>
      </c>
      <c r="F26" s="85" t="s">
        <v>133</v>
      </c>
      <c r="G26" s="85" t="s">
        <v>133</v>
      </c>
      <c r="H26" s="86">
        <f>SUM(H27:H32)</f>
        <v>2512763.4222688656</v>
      </c>
      <c r="J26" s="89"/>
      <c r="K26" s="89"/>
    </row>
    <row r="27" spans="1:16" outlineLevel="1" x14ac:dyDescent="0.35">
      <c r="A27" s="136" t="s">
        <v>487</v>
      </c>
      <c r="B27" s="137">
        <v>0</v>
      </c>
      <c r="C27" s="82">
        <f t="shared" ref="C27:C32" si="4">D27*E27*F27*G27</f>
        <v>11872.116863178337</v>
      </c>
      <c r="D27" s="82">
        <f>'6.'!$C$18</f>
        <v>9939.2645635508125</v>
      </c>
      <c r="E27" s="82">
        <v>1</v>
      </c>
      <c r="F27" s="82">
        <v>1</v>
      </c>
      <c r="G27" s="149">
        <v>1.1944663297036748</v>
      </c>
      <c r="H27" s="83">
        <f t="shared" si="2"/>
        <v>0</v>
      </c>
      <c r="I27" s="91"/>
      <c r="L27" s="67"/>
      <c r="M27" s="67"/>
    </row>
    <row r="28" spans="1:16" outlineLevel="1" x14ac:dyDescent="0.35">
      <c r="A28" s="136" t="s">
        <v>488</v>
      </c>
      <c r="B28" s="137">
        <v>59</v>
      </c>
      <c r="C28" s="82">
        <f t="shared" si="4"/>
        <v>10019.827345592994</v>
      </c>
      <c r="D28" s="82">
        <f>'6.'!$C$18</f>
        <v>9939.2645635508125</v>
      </c>
      <c r="E28" s="82">
        <v>1</v>
      </c>
      <c r="F28" s="82">
        <v>1</v>
      </c>
      <c r="G28" s="149">
        <v>1.0081055073569145</v>
      </c>
      <c r="H28" s="83">
        <f t="shared" si="2"/>
        <v>591169.81338998664</v>
      </c>
      <c r="I28" s="91"/>
      <c r="L28" s="67"/>
      <c r="M28" s="67"/>
    </row>
    <row r="29" spans="1:16" outlineLevel="1" x14ac:dyDescent="0.35">
      <c r="A29" s="136" t="s">
        <v>489</v>
      </c>
      <c r="B29" s="137">
        <v>93.4</v>
      </c>
      <c r="C29" s="82">
        <f t="shared" si="4"/>
        <v>9939.2645635508125</v>
      </c>
      <c r="D29" s="82">
        <f>'6.'!$C$18</f>
        <v>9939.2645635508125</v>
      </c>
      <c r="E29" s="82">
        <v>1</v>
      </c>
      <c r="F29" s="82">
        <v>1</v>
      </c>
      <c r="G29" s="149">
        <v>1</v>
      </c>
      <c r="H29" s="83">
        <f t="shared" si="2"/>
        <v>928327.31023564597</v>
      </c>
      <c r="I29" s="91"/>
      <c r="L29" s="67"/>
      <c r="M29" s="67"/>
    </row>
    <row r="30" spans="1:16" outlineLevel="1" x14ac:dyDescent="0.35">
      <c r="A30" s="136" t="s">
        <v>490</v>
      </c>
      <c r="B30" s="137">
        <v>0</v>
      </c>
      <c r="C30" s="82">
        <f t="shared" si="4"/>
        <v>34189.48970869102</v>
      </c>
      <c r="D30" s="82">
        <f>'6.'!$C$18</f>
        <v>9939.2645635508125</v>
      </c>
      <c r="E30" s="82">
        <v>1</v>
      </c>
      <c r="F30" s="82">
        <v>1</v>
      </c>
      <c r="G30" s="149">
        <v>3.4398409952855493</v>
      </c>
      <c r="H30" s="83">
        <f t="shared" si="2"/>
        <v>0</v>
      </c>
      <c r="I30" s="91"/>
      <c r="L30" s="67"/>
      <c r="M30" s="67"/>
    </row>
    <row r="31" spans="1:16" outlineLevel="1" x14ac:dyDescent="0.35">
      <c r="A31" s="136" t="s">
        <v>491</v>
      </c>
      <c r="B31" s="137">
        <v>0</v>
      </c>
      <c r="C31" s="82">
        <f t="shared" si="4"/>
        <v>43106.423836564638</v>
      </c>
      <c r="D31" s="82">
        <f>'6.'!$C$18</f>
        <v>9939.2645635508125</v>
      </c>
      <c r="E31" s="82">
        <v>1</v>
      </c>
      <c r="F31" s="82">
        <v>1</v>
      </c>
      <c r="G31" s="149">
        <v>4.3369832406558686</v>
      </c>
      <c r="H31" s="83">
        <f t="shared" si="2"/>
        <v>0</v>
      </c>
      <c r="I31" s="91"/>
      <c r="L31" s="67"/>
      <c r="M31" s="67"/>
    </row>
    <row r="32" spans="1:16" outlineLevel="1" x14ac:dyDescent="0.35">
      <c r="A32" s="136" t="s">
        <v>492</v>
      </c>
      <c r="B32" s="137">
        <v>87.7</v>
      </c>
      <c r="C32" s="82">
        <f t="shared" si="4"/>
        <v>11325.727464575066</v>
      </c>
      <c r="D32" s="82">
        <f>'6.'!$C$18</f>
        <v>9939.2645635508125</v>
      </c>
      <c r="E32" s="82">
        <v>1</v>
      </c>
      <c r="F32" s="82">
        <v>1</v>
      </c>
      <c r="G32" s="149">
        <v>1.1394935100237373</v>
      </c>
      <c r="H32" s="83">
        <f t="shared" si="2"/>
        <v>993266.29864323325</v>
      </c>
      <c r="I32" s="91"/>
      <c r="L32" s="67"/>
      <c r="M32" s="67"/>
    </row>
    <row r="33" spans="1:13" s="63" customFormat="1" ht="88.5" hidden="1" customHeight="1" x14ac:dyDescent="0.35">
      <c r="A33" s="134" t="s">
        <v>520</v>
      </c>
      <c r="B33" s="135">
        <f>SUM(B34:B39)</f>
        <v>0</v>
      </c>
      <c r="C33" s="85" t="s">
        <v>133</v>
      </c>
      <c r="D33" s="85" t="s">
        <v>133</v>
      </c>
      <c r="E33" s="85" t="s">
        <v>133</v>
      </c>
      <c r="F33" s="85" t="s">
        <v>133</v>
      </c>
      <c r="G33" s="85" t="s">
        <v>133</v>
      </c>
      <c r="H33" s="86">
        <f>SUM(H34:H39)</f>
        <v>0</v>
      </c>
      <c r="J33" s="89"/>
      <c r="K33" s="89"/>
    </row>
    <row r="34" spans="1:13" hidden="1" outlineLevel="1" x14ac:dyDescent="0.35">
      <c r="A34" s="136" t="s">
        <v>487</v>
      </c>
      <c r="B34" s="137"/>
      <c r="C34" s="82">
        <f t="shared" ref="C34:C39" si="5">D34*E34*F34*G34</f>
        <v>9939.2645635508125</v>
      </c>
      <c r="D34" s="82">
        <f>'6.'!$C$19</f>
        <v>9939.2645635508125</v>
      </c>
      <c r="E34" s="82">
        <v>1</v>
      </c>
      <c r="F34" s="82">
        <v>1</v>
      </c>
      <c r="G34" s="90">
        <v>1</v>
      </c>
      <c r="H34" s="83">
        <f t="shared" ref="H34:H39" si="6">B34*C34</f>
        <v>0</v>
      </c>
      <c r="I34" s="91"/>
      <c r="L34" s="67"/>
      <c r="M34" s="67"/>
    </row>
    <row r="35" spans="1:13" hidden="1" outlineLevel="1" x14ac:dyDescent="0.35">
      <c r="A35" s="136" t="s">
        <v>488</v>
      </c>
      <c r="B35" s="137"/>
      <c r="C35" s="82">
        <f t="shared" si="5"/>
        <v>9939.2645635508125</v>
      </c>
      <c r="D35" s="82">
        <f>'6.'!$C$19</f>
        <v>9939.2645635508125</v>
      </c>
      <c r="E35" s="82">
        <v>1</v>
      </c>
      <c r="F35" s="82">
        <v>1</v>
      </c>
      <c r="G35" s="90">
        <v>1</v>
      </c>
      <c r="H35" s="83">
        <f t="shared" si="6"/>
        <v>0</v>
      </c>
      <c r="I35" s="91"/>
      <c r="L35" s="67"/>
      <c r="M35" s="67"/>
    </row>
    <row r="36" spans="1:13" hidden="1" outlineLevel="1" x14ac:dyDescent="0.35">
      <c r="A36" s="136" t="s">
        <v>489</v>
      </c>
      <c r="B36" s="137"/>
      <c r="C36" s="82">
        <f t="shared" si="5"/>
        <v>9939.2645635508125</v>
      </c>
      <c r="D36" s="82">
        <f>'6.'!$C$19</f>
        <v>9939.2645635508125</v>
      </c>
      <c r="E36" s="82">
        <v>1</v>
      </c>
      <c r="F36" s="82">
        <v>1</v>
      </c>
      <c r="G36" s="90">
        <v>1</v>
      </c>
      <c r="H36" s="83">
        <f t="shared" si="6"/>
        <v>0</v>
      </c>
      <c r="I36" s="91"/>
      <c r="L36" s="67"/>
      <c r="M36" s="67"/>
    </row>
    <row r="37" spans="1:13" hidden="1" outlineLevel="1" x14ac:dyDescent="0.35">
      <c r="A37" s="136" t="s">
        <v>490</v>
      </c>
      <c r="B37" s="137"/>
      <c r="C37" s="82">
        <f t="shared" si="5"/>
        <v>9939.2645635508125</v>
      </c>
      <c r="D37" s="82">
        <f>'6.'!$C$19</f>
        <v>9939.2645635508125</v>
      </c>
      <c r="E37" s="82">
        <v>1</v>
      </c>
      <c r="F37" s="82">
        <v>1</v>
      </c>
      <c r="G37" s="90">
        <v>1</v>
      </c>
      <c r="H37" s="83">
        <f t="shared" si="6"/>
        <v>0</v>
      </c>
      <c r="I37" s="91"/>
      <c r="L37" s="67"/>
      <c r="M37" s="67"/>
    </row>
    <row r="38" spans="1:13" hidden="1" outlineLevel="1" x14ac:dyDescent="0.35">
      <c r="A38" s="136" t="s">
        <v>491</v>
      </c>
      <c r="B38" s="137"/>
      <c r="C38" s="82">
        <f t="shared" si="5"/>
        <v>9939.2645635508125</v>
      </c>
      <c r="D38" s="82">
        <f>'6.'!$C$19</f>
        <v>9939.2645635508125</v>
      </c>
      <c r="E38" s="82">
        <v>1</v>
      </c>
      <c r="F38" s="82">
        <v>1</v>
      </c>
      <c r="G38" s="90">
        <v>1</v>
      </c>
      <c r="H38" s="83">
        <f t="shared" si="6"/>
        <v>0</v>
      </c>
      <c r="I38" s="91"/>
      <c r="L38" s="67"/>
      <c r="M38" s="67"/>
    </row>
    <row r="39" spans="1:13" hidden="1" outlineLevel="1" x14ac:dyDescent="0.35">
      <c r="A39" s="136" t="s">
        <v>492</v>
      </c>
      <c r="B39" s="137"/>
      <c r="C39" s="82">
        <f t="shared" si="5"/>
        <v>9939.2645635508125</v>
      </c>
      <c r="D39" s="82">
        <f>'6.'!$C$19</f>
        <v>9939.2645635508125</v>
      </c>
      <c r="E39" s="82">
        <v>1</v>
      </c>
      <c r="F39" s="82">
        <v>1</v>
      </c>
      <c r="G39" s="90">
        <v>1</v>
      </c>
      <c r="H39" s="83">
        <f t="shared" si="6"/>
        <v>0</v>
      </c>
      <c r="I39" s="91"/>
      <c r="L39" s="67"/>
      <c r="M39" s="67"/>
    </row>
    <row r="40" spans="1:13" ht="42" x14ac:dyDescent="0.35">
      <c r="A40" s="134" t="s">
        <v>519</v>
      </c>
      <c r="B40" s="135">
        <f>SUM(B41:B46)</f>
        <v>1505</v>
      </c>
      <c r="C40" s="85" t="s">
        <v>133</v>
      </c>
      <c r="D40" s="85" t="s">
        <v>133</v>
      </c>
      <c r="E40" s="85" t="s">
        <v>133</v>
      </c>
      <c r="F40" s="85" t="s">
        <v>133</v>
      </c>
      <c r="G40" s="85" t="s">
        <v>133</v>
      </c>
      <c r="H40" s="86">
        <f>SUM(H41:H46)</f>
        <v>1617483.5397199998</v>
      </c>
      <c r="I40" s="91"/>
      <c r="L40" s="67"/>
      <c r="M40" s="67"/>
    </row>
    <row r="41" spans="1:13" outlineLevel="1" x14ac:dyDescent="0.35">
      <c r="A41" s="136" t="s">
        <v>487</v>
      </c>
      <c r="B41" s="137">
        <v>450</v>
      </c>
      <c r="C41" s="82">
        <f t="shared" ref="C41:C46" si="7">D41*E41*F41*G41</f>
        <v>1053.6045705333331</v>
      </c>
      <c r="D41" s="82">
        <f>'6.'!$C$20</f>
        <v>718.99619599999994</v>
      </c>
      <c r="E41" s="82">
        <v>1</v>
      </c>
      <c r="F41" s="82">
        <v>1</v>
      </c>
      <c r="G41" s="90">
        <v>1.4653826771196621</v>
      </c>
      <c r="H41" s="83">
        <f t="shared" ref="H41:H46" si="8">B41*C41</f>
        <v>474122.05673999991</v>
      </c>
      <c r="I41" s="91">
        <f t="shared" ref="I41:I46" si="9">J41/H41</f>
        <v>1</v>
      </c>
      <c r="J41" s="67">
        <v>474122.05673999991</v>
      </c>
      <c r="K41" s="130"/>
      <c r="L41" s="67"/>
      <c r="M41" s="67"/>
    </row>
    <row r="42" spans="1:13" outlineLevel="1" x14ac:dyDescent="0.35">
      <c r="A42" s="136" t="s">
        <v>488</v>
      </c>
      <c r="B42" s="137">
        <v>290</v>
      </c>
      <c r="C42" s="82">
        <f t="shared" si="7"/>
        <v>728.18368524137929</v>
      </c>
      <c r="D42" s="82">
        <f>'6.'!$C$20</f>
        <v>718.99619599999994</v>
      </c>
      <c r="E42" s="82">
        <v>1</v>
      </c>
      <c r="F42" s="82">
        <v>1</v>
      </c>
      <c r="G42" s="90">
        <v>1.0127782167589929</v>
      </c>
      <c r="H42" s="83">
        <f t="shared" si="8"/>
        <v>211173.26871999999</v>
      </c>
      <c r="I42" s="91">
        <f t="shared" si="9"/>
        <v>1</v>
      </c>
      <c r="J42" s="67">
        <v>211173.26871999999</v>
      </c>
      <c r="K42" s="130"/>
      <c r="L42" s="67"/>
      <c r="M42" s="67"/>
    </row>
    <row r="43" spans="1:13" outlineLevel="1" x14ac:dyDescent="0.35">
      <c r="A43" s="136" t="s">
        <v>489</v>
      </c>
      <c r="B43" s="137">
        <v>150</v>
      </c>
      <c r="C43" s="82">
        <f t="shared" si="7"/>
        <v>2375.7289355999997</v>
      </c>
      <c r="D43" s="82">
        <f>'6.'!$C$20</f>
        <v>718.99619599999994</v>
      </c>
      <c r="E43" s="82">
        <v>1</v>
      </c>
      <c r="F43" s="82">
        <v>1</v>
      </c>
      <c r="G43" s="90">
        <v>3.3042301876100604</v>
      </c>
      <c r="H43" s="83">
        <f t="shared" si="8"/>
        <v>356359.34033999994</v>
      </c>
      <c r="I43" s="91">
        <f t="shared" si="9"/>
        <v>1</v>
      </c>
      <c r="J43" s="67">
        <v>356359.34033999994</v>
      </c>
      <c r="K43" s="130"/>
      <c r="L43" s="67"/>
      <c r="M43" s="67"/>
    </row>
    <row r="44" spans="1:13" outlineLevel="1" x14ac:dyDescent="0.35">
      <c r="A44" s="136" t="s">
        <v>490</v>
      </c>
      <c r="B44" s="137">
        <v>185</v>
      </c>
      <c r="C44" s="82">
        <f t="shared" si="7"/>
        <v>1095.162249135135</v>
      </c>
      <c r="D44" s="82">
        <f>'6.'!$C$20</f>
        <v>718.99619599999994</v>
      </c>
      <c r="E44" s="82">
        <v>1</v>
      </c>
      <c r="F44" s="82">
        <v>1</v>
      </c>
      <c r="G44" s="90">
        <v>1.5231822577474876</v>
      </c>
      <c r="H44" s="83">
        <f t="shared" si="8"/>
        <v>202605.01608999996</v>
      </c>
      <c r="I44" s="91">
        <f t="shared" si="9"/>
        <v>1.0000000000000002</v>
      </c>
      <c r="J44" s="67">
        <v>202605.01608999999</v>
      </c>
      <c r="K44" s="130"/>
      <c r="L44" s="67"/>
      <c r="M44" s="67"/>
    </row>
    <row r="45" spans="1:13" outlineLevel="1" x14ac:dyDescent="0.35">
      <c r="A45" s="136" t="s">
        <v>491</v>
      </c>
      <c r="B45" s="137">
        <v>145</v>
      </c>
      <c r="C45" s="82">
        <f t="shared" si="7"/>
        <v>1160.7581919310346</v>
      </c>
      <c r="D45" s="82">
        <f>'6.'!$C$20</f>
        <v>718.99619599999994</v>
      </c>
      <c r="E45" s="82">
        <v>1</v>
      </c>
      <c r="F45" s="82">
        <v>1</v>
      </c>
      <c r="G45" s="90">
        <v>1.6144149279073998</v>
      </c>
      <c r="H45" s="83">
        <f t="shared" si="8"/>
        <v>168309.93783000001</v>
      </c>
      <c r="I45" s="91">
        <f t="shared" si="9"/>
        <v>1</v>
      </c>
      <c r="J45" s="67">
        <v>168309.93783000001</v>
      </c>
      <c r="K45" s="130"/>
      <c r="L45" s="67"/>
      <c r="M45" s="67"/>
    </row>
    <row r="46" spans="1:13" outlineLevel="1" x14ac:dyDescent="0.35">
      <c r="A46" s="136" t="s">
        <v>492</v>
      </c>
      <c r="B46" s="137">
        <v>285</v>
      </c>
      <c r="C46" s="82">
        <f t="shared" si="7"/>
        <v>718.99621052631574</v>
      </c>
      <c r="D46" s="82">
        <f>'6.'!$C$20</f>
        <v>718.99619599999994</v>
      </c>
      <c r="E46" s="82">
        <v>1</v>
      </c>
      <c r="F46" s="82">
        <v>1</v>
      </c>
      <c r="G46" s="90">
        <v>1.0000000202036059</v>
      </c>
      <c r="H46" s="83">
        <f t="shared" si="8"/>
        <v>204913.91999999998</v>
      </c>
      <c r="I46" s="91">
        <f t="shared" si="9"/>
        <v>1</v>
      </c>
      <c r="J46" s="67">
        <v>204913.91999999998</v>
      </c>
      <c r="K46" s="130"/>
      <c r="L46" s="67"/>
      <c r="M46" s="67"/>
    </row>
    <row r="47" spans="1:13" s="63" customFormat="1" x14ac:dyDescent="0.35">
      <c r="A47" s="62" t="s">
        <v>108</v>
      </c>
      <c r="B47" s="87" t="s">
        <v>133</v>
      </c>
      <c r="C47" s="87" t="s">
        <v>133</v>
      </c>
      <c r="D47" s="87" t="s">
        <v>133</v>
      </c>
      <c r="E47" s="87" t="s">
        <v>133</v>
      </c>
      <c r="F47" s="87" t="s">
        <v>133</v>
      </c>
      <c r="G47" s="87" t="s">
        <v>133</v>
      </c>
      <c r="H47" s="88">
        <f>H12+H19+H26+H33+H40</f>
        <v>41359466.201416247</v>
      </c>
      <c r="J47" s="89"/>
      <c r="K47" s="67"/>
    </row>
    <row r="48" spans="1:13" x14ac:dyDescent="0.35">
      <c r="B48" s="67"/>
    </row>
    <row r="49" spans="2:8" x14ac:dyDescent="0.35">
      <c r="B49" s="67"/>
    </row>
    <row r="50" spans="2:8" x14ac:dyDescent="0.35">
      <c r="B50" s="67"/>
    </row>
    <row r="51" spans="2:8" x14ac:dyDescent="0.35">
      <c r="B51" s="67"/>
      <c r="H51" s="67"/>
    </row>
    <row r="52" spans="2:8" x14ac:dyDescent="0.35">
      <c r="B52" s="67"/>
    </row>
    <row r="53" spans="2:8" x14ac:dyDescent="0.35">
      <c r="B53" s="67"/>
    </row>
  </sheetData>
  <mergeCells count="8">
    <mergeCell ref="A5:H5"/>
    <mergeCell ref="A6:H6"/>
    <mergeCell ref="A8:A10"/>
    <mergeCell ref="B8:B10"/>
    <mergeCell ref="C8:G8"/>
    <mergeCell ref="H8:H10"/>
    <mergeCell ref="C9:C10"/>
    <mergeCell ref="D9:G9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rowBreaks count="1" manualBreakCount="1">
    <brk id="21" max="7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view="pageBreakPreview" zoomScale="85" zoomScaleNormal="100" zoomScaleSheetLayoutView="85" workbookViewId="0">
      <selection activeCell="I9" sqref="I9"/>
    </sheetView>
  </sheetViews>
  <sheetFormatPr defaultColWidth="9.1796875" defaultRowHeight="14.5" x14ac:dyDescent="0.35"/>
  <cols>
    <col min="1" max="7" width="20.7265625" style="1" customWidth="1"/>
    <col min="8" max="8" width="9.1796875" style="4"/>
    <col min="9" max="9" width="15.81640625" style="4" customWidth="1"/>
    <col min="10" max="16384" width="9.1796875" style="4"/>
  </cols>
  <sheetData>
    <row r="1" spans="1:7" x14ac:dyDescent="0.35">
      <c r="A1" s="9"/>
      <c r="F1" s="6"/>
      <c r="G1" s="159" t="s">
        <v>562</v>
      </c>
    </row>
    <row r="2" spans="1:7" ht="85.5" customHeight="1" x14ac:dyDescent="0.35">
      <c r="A2" s="9"/>
      <c r="F2" s="7"/>
      <c r="G2" s="160" t="s">
        <v>563</v>
      </c>
    </row>
    <row r="3" spans="1:7" x14ac:dyDescent="0.35">
      <c r="A3" s="8"/>
    </row>
    <row r="4" spans="1:7" x14ac:dyDescent="0.35">
      <c r="A4" s="2"/>
    </row>
    <row r="5" spans="1:7" x14ac:dyDescent="0.35">
      <c r="A5" s="202" t="s">
        <v>137</v>
      </c>
      <c r="B5" s="202"/>
      <c r="C5" s="202"/>
      <c r="D5" s="202"/>
      <c r="E5" s="202"/>
      <c r="F5" s="202"/>
      <c r="G5" s="202"/>
    </row>
    <row r="6" spans="1:7" x14ac:dyDescent="0.35">
      <c r="A6" s="202" t="s">
        <v>138</v>
      </c>
      <c r="B6" s="202"/>
      <c r="C6" s="202"/>
      <c r="D6" s="202"/>
      <c r="E6" s="202"/>
      <c r="F6" s="202"/>
      <c r="G6" s="202"/>
    </row>
    <row r="7" spans="1:7" x14ac:dyDescent="0.35">
      <c r="A7" s="202" t="s">
        <v>556</v>
      </c>
      <c r="B7" s="202"/>
      <c r="C7" s="202"/>
      <c r="D7" s="202"/>
      <c r="E7" s="202"/>
      <c r="F7" s="202"/>
      <c r="G7" s="202"/>
    </row>
    <row r="8" spans="1:7" x14ac:dyDescent="0.35">
      <c r="A8" s="2"/>
    </row>
    <row r="9" spans="1:7" ht="118.9" customHeight="1" x14ac:dyDescent="0.35">
      <c r="A9" s="11" t="s">
        <v>139</v>
      </c>
      <c r="B9" s="11" t="s">
        <v>140</v>
      </c>
      <c r="C9" s="11" t="s">
        <v>141</v>
      </c>
      <c r="D9" s="11" t="s">
        <v>142</v>
      </c>
      <c r="E9" s="11" t="s">
        <v>143</v>
      </c>
      <c r="F9" s="203" t="s">
        <v>144</v>
      </c>
      <c r="G9" s="203"/>
    </row>
    <row r="10" spans="1:7" x14ac:dyDescent="0.3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203" t="s">
        <v>145</v>
      </c>
      <c r="G10" s="203"/>
    </row>
    <row r="11" spans="1:7" ht="28" x14ac:dyDescent="0.35">
      <c r="A11" s="13" t="s">
        <v>487</v>
      </c>
      <c r="B11" s="119">
        <f>'7.'!H13+'7.'!H20+'7.'!H27+'7.'!H34+'7.'!H41</f>
        <v>6139496.2238487024</v>
      </c>
      <c r="C11" s="84">
        <v>0</v>
      </c>
      <c r="D11" s="84">
        <v>0</v>
      </c>
      <c r="E11" s="84">
        <v>4070.35356</v>
      </c>
      <c r="F11" s="206">
        <f t="shared" ref="F11:F16" si="0">B11+C11+E11-D11</f>
        <v>6143566.5774087021</v>
      </c>
      <c r="G11" s="206"/>
    </row>
    <row r="12" spans="1:7" ht="28" x14ac:dyDescent="0.35">
      <c r="A12" s="13" t="s">
        <v>488</v>
      </c>
      <c r="B12" s="119">
        <f>'7.'!H14+'7.'!H21+'7.'!H28+'7.'!H35+'7.'!H42</f>
        <v>7416431.1129359221</v>
      </c>
      <c r="C12" s="84">
        <v>0</v>
      </c>
      <c r="D12" s="84">
        <v>0</v>
      </c>
      <c r="E12" s="84">
        <v>4345.9197599999998</v>
      </c>
      <c r="F12" s="206">
        <f t="shared" si="0"/>
        <v>7420777.0326959221</v>
      </c>
      <c r="G12" s="206"/>
    </row>
    <row r="13" spans="1:7" ht="28" x14ac:dyDescent="0.35">
      <c r="A13" s="13" t="s">
        <v>489</v>
      </c>
      <c r="B13" s="119">
        <f>'7.'!H15+'7.'!H22+'7.'!H29+'7.'!H36+'7.'!H43</f>
        <v>9729085.8237684164</v>
      </c>
      <c r="C13" s="84">
        <v>0</v>
      </c>
      <c r="D13" s="84">
        <v>0</v>
      </c>
      <c r="E13" s="84">
        <v>7600.9321360000013</v>
      </c>
      <c r="F13" s="206">
        <f t="shared" si="0"/>
        <v>9736686.7559044156</v>
      </c>
      <c r="G13" s="206"/>
    </row>
    <row r="14" spans="1:7" ht="28" x14ac:dyDescent="0.35">
      <c r="A14" s="13" t="s">
        <v>490</v>
      </c>
      <c r="B14" s="119">
        <f>'7.'!H16+'7.'!H23+'7.'!H30+'7.'!H37+'7.'!H44</f>
        <v>3929259.3943373212</v>
      </c>
      <c r="C14" s="84">
        <v>0</v>
      </c>
      <c r="D14" s="84">
        <v>0</v>
      </c>
      <c r="E14" s="84">
        <v>2624.9323519999998</v>
      </c>
      <c r="F14" s="206">
        <f t="shared" si="0"/>
        <v>3931884.3266893211</v>
      </c>
      <c r="G14" s="206"/>
    </row>
    <row r="15" spans="1:7" x14ac:dyDescent="0.35">
      <c r="A15" s="13" t="s">
        <v>491</v>
      </c>
      <c r="B15" s="119">
        <f>'7.'!H17+'7.'!H24+'7.'!H31+'7.'!H38+'7.'!H45</f>
        <v>4504816.1757884026</v>
      </c>
      <c r="C15" s="84">
        <v>0</v>
      </c>
      <c r="D15" s="84">
        <v>0</v>
      </c>
      <c r="E15" s="84">
        <v>1477.276304</v>
      </c>
      <c r="F15" s="206">
        <f t="shared" si="0"/>
        <v>4506293.4520924026</v>
      </c>
      <c r="G15" s="206"/>
    </row>
    <row r="16" spans="1:7" ht="28" x14ac:dyDescent="0.35">
      <c r="A16" s="13" t="s">
        <v>492</v>
      </c>
      <c r="B16" s="119">
        <f>'7.'!H18+'7.'!H25+'7.'!H32+'7.'!H39+'7.'!H46</f>
        <v>9640377.4707374871</v>
      </c>
      <c r="C16" s="84">
        <v>0</v>
      </c>
      <c r="D16" s="84">
        <v>0</v>
      </c>
      <c r="E16" s="84">
        <v>6443.1699360000002</v>
      </c>
      <c r="F16" s="206">
        <f t="shared" si="0"/>
        <v>9646820.6406734865</v>
      </c>
      <c r="G16" s="206"/>
    </row>
    <row r="17" spans="1:9" x14ac:dyDescent="0.35">
      <c r="A17" s="12" t="s">
        <v>108</v>
      </c>
      <c r="B17" s="84">
        <f>SUM(B11:B16)</f>
        <v>41359466.201416254</v>
      </c>
      <c r="C17" s="84">
        <f>SUM(C11:C16)</f>
        <v>0</v>
      </c>
      <c r="D17" s="84">
        <f>SUM(D11:D16)</f>
        <v>0</v>
      </c>
      <c r="E17" s="84">
        <f>SUM(E11:E16)</f>
        <v>26562.584047999997</v>
      </c>
      <c r="F17" s="206">
        <f>SUM(F11:G16)</f>
        <v>41386028.78546425</v>
      </c>
      <c r="G17" s="206"/>
      <c r="I17" s="67"/>
    </row>
    <row r="18" spans="1:9" ht="44.5" customHeight="1" x14ac:dyDescent="0.35">
      <c r="A18" s="207" t="s">
        <v>554</v>
      </c>
      <c r="B18" s="207"/>
      <c r="C18" s="207"/>
      <c r="D18" s="207"/>
      <c r="E18" s="207"/>
      <c r="F18" s="207"/>
      <c r="G18" s="207"/>
      <c r="I18" s="67"/>
    </row>
    <row r="19" spans="1:9" ht="87" customHeight="1" x14ac:dyDescent="0.35">
      <c r="A19" s="153" t="s">
        <v>139</v>
      </c>
      <c r="B19" s="153" t="s">
        <v>553</v>
      </c>
      <c r="C19" s="153" t="s">
        <v>144</v>
      </c>
      <c r="D19" s="151"/>
      <c r="E19" s="151"/>
      <c r="F19" s="151"/>
      <c r="G19" s="151"/>
      <c r="I19" s="67"/>
    </row>
    <row r="20" spans="1:9" ht="30.65" customHeight="1" x14ac:dyDescent="0.35">
      <c r="A20" s="13" t="s">
        <v>487</v>
      </c>
      <c r="B20" s="154">
        <v>430.38</v>
      </c>
      <c r="C20" s="155">
        <f t="shared" ref="C20:C25" si="1">F11-B20</f>
        <v>6143136.1974087022</v>
      </c>
      <c r="D20" s="151"/>
      <c r="E20" s="151"/>
      <c r="F20" s="151"/>
      <c r="G20" s="151"/>
      <c r="I20" s="67"/>
    </row>
    <row r="21" spans="1:9" ht="30.65" customHeight="1" x14ac:dyDescent="0.35">
      <c r="A21" s="13" t="s">
        <v>488</v>
      </c>
      <c r="B21" s="119"/>
      <c r="C21" s="155">
        <f t="shared" si="1"/>
        <v>7420777.0326959221</v>
      </c>
      <c r="D21" s="151"/>
      <c r="E21" s="151"/>
      <c r="F21" s="151"/>
      <c r="G21" s="151"/>
      <c r="I21" s="67"/>
    </row>
    <row r="22" spans="1:9" ht="30.65" customHeight="1" x14ac:dyDescent="0.35">
      <c r="A22" s="13" t="s">
        <v>489</v>
      </c>
      <c r="B22" s="119">
        <v>20522.07</v>
      </c>
      <c r="C22" s="155">
        <f t="shared" si="1"/>
        <v>9716164.6859044153</v>
      </c>
      <c r="D22" s="151"/>
      <c r="E22" s="151"/>
      <c r="F22" s="151"/>
      <c r="G22" s="151"/>
      <c r="I22" s="67"/>
    </row>
    <row r="23" spans="1:9" ht="30.65" customHeight="1" x14ac:dyDescent="0.35">
      <c r="A23" s="13" t="s">
        <v>490</v>
      </c>
      <c r="B23" s="119">
        <v>2598.3000000000002</v>
      </c>
      <c r="C23" s="155">
        <f t="shared" si="1"/>
        <v>3929286.0266893213</v>
      </c>
      <c r="D23" s="151"/>
      <c r="E23" s="151"/>
      <c r="F23" s="151"/>
      <c r="G23" s="151"/>
      <c r="I23" s="67"/>
    </row>
    <row r="24" spans="1:9" ht="17.5" customHeight="1" x14ac:dyDescent="0.35">
      <c r="A24" s="13" t="s">
        <v>491</v>
      </c>
      <c r="B24" s="119"/>
      <c r="C24" s="155">
        <f t="shared" si="1"/>
        <v>4506293.4520924026</v>
      </c>
      <c r="D24" s="151"/>
      <c r="E24" s="151"/>
      <c r="F24" s="151"/>
      <c r="G24" s="151"/>
      <c r="I24" s="67"/>
    </row>
    <row r="25" spans="1:9" ht="30.65" customHeight="1" x14ac:dyDescent="0.35">
      <c r="A25" s="13" t="s">
        <v>492</v>
      </c>
      <c r="B25" s="119">
        <v>56583.29</v>
      </c>
      <c r="C25" s="155">
        <f t="shared" si="1"/>
        <v>9590237.3506734874</v>
      </c>
      <c r="D25" s="151"/>
      <c r="E25" s="151"/>
      <c r="F25" s="151"/>
      <c r="G25" s="151"/>
      <c r="I25" s="67"/>
    </row>
    <row r="26" spans="1:9" ht="18.649999999999999" customHeight="1" x14ac:dyDescent="0.35">
      <c r="A26" s="12" t="s">
        <v>108</v>
      </c>
      <c r="B26" s="119">
        <f>SUM(B20:B25)</f>
        <v>80134.040000000008</v>
      </c>
      <c r="C26" s="156">
        <f>SUM(C20:C25)</f>
        <v>41305894.74546425</v>
      </c>
      <c r="D26" s="151"/>
      <c r="E26" s="151"/>
      <c r="F26" s="151"/>
      <c r="G26" s="151"/>
      <c r="I26" s="67"/>
    </row>
    <row r="27" spans="1:9" ht="18.649999999999999" customHeight="1" x14ac:dyDescent="0.35">
      <c r="A27" s="152"/>
      <c r="B27" s="150"/>
      <c r="C27" s="151"/>
      <c r="D27" s="151"/>
      <c r="E27" s="151"/>
      <c r="F27" s="151"/>
      <c r="G27" s="151"/>
      <c r="I27" s="67"/>
    </row>
    <row r="28" spans="1:9" ht="45.65" customHeight="1" x14ac:dyDescent="0.35">
      <c r="A28" s="208" t="s">
        <v>528</v>
      </c>
      <c r="B28" s="209"/>
      <c r="D28" s="65"/>
      <c r="E28" s="65"/>
      <c r="G28" s="65"/>
    </row>
    <row r="29" spans="1:9" x14ac:dyDescent="0.35">
      <c r="A29" s="8"/>
      <c r="D29" s="205" t="s">
        <v>146</v>
      </c>
      <c r="E29" s="205"/>
      <c r="G29" s="66" t="s">
        <v>147</v>
      </c>
    </row>
    <row r="30" spans="1:9" x14ac:dyDescent="0.35">
      <c r="A30" s="8"/>
    </row>
  </sheetData>
  <mergeCells count="15">
    <mergeCell ref="A5:G5"/>
    <mergeCell ref="A6:G6"/>
    <mergeCell ref="A7:G7"/>
    <mergeCell ref="F9:G9"/>
    <mergeCell ref="F11:G11"/>
    <mergeCell ref="D29:E29"/>
    <mergeCell ref="F13:G13"/>
    <mergeCell ref="A18:G18"/>
    <mergeCell ref="F17:G17"/>
    <mergeCell ref="F10:G10"/>
    <mergeCell ref="A28:B28"/>
    <mergeCell ref="F14:G14"/>
    <mergeCell ref="F15:G15"/>
    <mergeCell ref="F16:G16"/>
    <mergeCell ref="F12:G12"/>
  </mergeCells>
  <phoneticPr fontId="18" type="noConversion"/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1075"/>
  <sheetViews>
    <sheetView zoomScale="70" zoomScaleNormal="85" workbookViewId="0">
      <pane xSplit="2" ySplit="2" topLeftCell="C181" activePane="bottomRight" state="frozen"/>
      <selection pane="topRight" activeCell="C1" sqref="C1"/>
      <selection pane="bottomLeft" activeCell="A6" sqref="A6"/>
      <selection pane="bottomRight" activeCell="B196" sqref="B196"/>
    </sheetView>
  </sheetViews>
  <sheetFormatPr defaultColWidth="15.1796875" defaultRowHeight="15" customHeight="1" outlineLevelRow="3" outlineLevelCol="1" x14ac:dyDescent="0.35"/>
  <cols>
    <col min="1" max="1" width="22.453125" style="16" customWidth="1"/>
    <col min="2" max="2" width="8.7265625" style="16" customWidth="1"/>
    <col min="3" max="3" width="12.54296875" style="16" customWidth="1" collapsed="1"/>
    <col min="4" max="9" width="11.26953125" style="16" hidden="1" customWidth="1" outlineLevel="1"/>
    <col min="10" max="10" width="14.453125" style="48" customWidth="1"/>
    <col min="11" max="11" width="15.1796875" style="16" customWidth="1" collapsed="1"/>
    <col min="12" max="14" width="15.1796875" style="16" hidden="1" customWidth="1" outlineLevel="1"/>
    <col min="15" max="15" width="15.1796875" style="16" customWidth="1"/>
    <col min="16" max="16" width="22.26953125" style="16" customWidth="1" collapsed="1"/>
    <col min="17" max="23" width="0" style="16" hidden="1" customWidth="1" outlineLevel="1"/>
    <col min="24" max="24" width="15.1796875" style="114"/>
    <col min="25" max="16384" width="15.1796875" style="16"/>
  </cols>
  <sheetData>
    <row r="1" spans="1:25" ht="53.25" customHeight="1" x14ac:dyDescent="0.35">
      <c r="A1" s="161" t="s">
        <v>0</v>
      </c>
      <c r="B1" s="161" t="s">
        <v>1</v>
      </c>
      <c r="C1" s="161" t="s">
        <v>58</v>
      </c>
      <c r="D1" s="161"/>
      <c r="E1" s="161"/>
      <c r="F1" s="161"/>
      <c r="G1" s="161"/>
      <c r="H1" s="161"/>
      <c r="I1" s="161"/>
      <c r="J1" s="14" t="s">
        <v>60</v>
      </c>
      <c r="K1" s="15" t="s">
        <v>61</v>
      </c>
      <c r="L1" s="169" t="s">
        <v>523</v>
      </c>
      <c r="M1" s="170"/>
      <c r="N1" s="171"/>
      <c r="O1" s="15" t="s">
        <v>62</v>
      </c>
      <c r="P1" s="15" t="s">
        <v>59</v>
      </c>
      <c r="Q1" s="167" t="s">
        <v>2</v>
      </c>
      <c r="R1" s="14">
        <v>2</v>
      </c>
      <c r="S1" s="14">
        <v>5</v>
      </c>
      <c r="T1" s="14">
        <v>7</v>
      </c>
      <c r="U1" s="14">
        <v>8</v>
      </c>
      <c r="V1" s="14">
        <v>10</v>
      </c>
      <c r="W1" s="14" t="s">
        <v>163</v>
      </c>
    </row>
    <row r="2" spans="1:25" ht="12.75" customHeight="1" x14ac:dyDescent="0.35">
      <c r="A2" s="166"/>
      <c r="B2" s="166"/>
      <c r="C2" s="14" t="s">
        <v>469</v>
      </c>
      <c r="D2" s="14">
        <v>2</v>
      </c>
      <c r="E2" s="14">
        <v>5</v>
      </c>
      <c r="F2" s="14">
        <v>7</v>
      </c>
      <c r="G2" s="14">
        <v>8</v>
      </c>
      <c r="H2" s="14">
        <v>10</v>
      </c>
      <c r="I2" s="14" t="s">
        <v>163</v>
      </c>
      <c r="J2" s="14" t="s">
        <v>3</v>
      </c>
      <c r="K2" s="14" t="s">
        <v>3</v>
      </c>
      <c r="L2" s="14">
        <v>1</v>
      </c>
      <c r="M2" s="14">
        <v>2</v>
      </c>
      <c r="N2" s="14">
        <v>3</v>
      </c>
      <c r="O2" s="14" t="s">
        <v>3</v>
      </c>
      <c r="P2" s="14" t="s">
        <v>3</v>
      </c>
      <c r="Q2" s="168"/>
      <c r="R2" s="14">
        <v>477.2</v>
      </c>
      <c r="S2" s="14">
        <v>719.1</v>
      </c>
      <c r="T2" s="14">
        <v>943</v>
      </c>
      <c r="U2" s="14">
        <v>109</v>
      </c>
      <c r="V2" s="14">
        <v>100.6</v>
      </c>
      <c r="W2" s="14">
        <v>833.1</v>
      </c>
    </row>
    <row r="3" spans="1:25" ht="69.75" customHeight="1" x14ac:dyDescent="0.35">
      <c r="A3" s="17" t="s">
        <v>4</v>
      </c>
      <c r="B3" s="18" t="s">
        <v>3</v>
      </c>
      <c r="C3" s="19">
        <f>C4+C7+C79</f>
        <v>72.228136331818803</v>
      </c>
      <c r="D3" s="20" t="s">
        <v>3</v>
      </c>
      <c r="E3" s="20" t="s">
        <v>3</v>
      </c>
      <c r="F3" s="20" t="s">
        <v>3</v>
      </c>
      <c r="G3" s="20" t="s">
        <v>3</v>
      </c>
      <c r="H3" s="20" t="s">
        <v>3</v>
      </c>
      <c r="I3" s="20" t="s">
        <v>3</v>
      </c>
      <c r="J3" s="20" t="s">
        <v>3</v>
      </c>
      <c r="K3" s="20" t="s">
        <v>3</v>
      </c>
      <c r="L3" s="20"/>
      <c r="M3" s="20"/>
      <c r="N3" s="20"/>
      <c r="O3" s="19">
        <f>O4+O7+O79</f>
        <v>2138.5390911640225</v>
      </c>
      <c r="P3" s="20" t="s">
        <v>3</v>
      </c>
      <c r="Q3" s="21">
        <f t="shared" ref="Q3:Q8" si="0">SUM(R3:W3)</f>
        <v>7538853.0354641862</v>
      </c>
      <c r="R3" s="21">
        <f t="shared" ref="R3:W3" si="1">R4+R7+R79</f>
        <v>1072879.6538071828</v>
      </c>
      <c r="S3" s="21">
        <f t="shared" si="1"/>
        <v>1558493.1810032383</v>
      </c>
      <c r="T3" s="21">
        <f t="shared" si="1"/>
        <v>2016642.3629676732</v>
      </c>
      <c r="U3" s="21">
        <f t="shared" si="1"/>
        <v>545788.21433198382</v>
      </c>
      <c r="V3" s="21">
        <f t="shared" si="1"/>
        <v>403363.51588394056</v>
      </c>
      <c r="W3" s="21">
        <f t="shared" si="1"/>
        <v>1941686.1074701678</v>
      </c>
    </row>
    <row r="4" spans="1:25" ht="76.5" customHeight="1" outlineLevel="1" collapsed="1" x14ac:dyDescent="0.35">
      <c r="A4" s="22" t="s">
        <v>5</v>
      </c>
      <c r="B4" s="23" t="s">
        <v>3</v>
      </c>
      <c r="C4" s="19">
        <f>SUM(C5:C6)</f>
        <v>5.5493107104984091E-2</v>
      </c>
      <c r="D4" s="20" t="s">
        <v>3</v>
      </c>
      <c r="E4" s="20" t="s">
        <v>3</v>
      </c>
      <c r="F4" s="20" t="s">
        <v>3</v>
      </c>
      <c r="G4" s="20" t="s">
        <v>3</v>
      </c>
      <c r="H4" s="20" t="s">
        <v>3</v>
      </c>
      <c r="I4" s="20" t="s">
        <v>3</v>
      </c>
      <c r="J4" s="20" t="s">
        <v>3</v>
      </c>
      <c r="K4" s="20" t="s">
        <v>3</v>
      </c>
      <c r="L4" s="20"/>
      <c r="M4" s="20"/>
      <c r="N4" s="20"/>
      <c r="O4" s="24">
        <f>SUM(O5:O6)</f>
        <v>776.36324496288444</v>
      </c>
      <c r="P4" s="20" t="s">
        <v>3</v>
      </c>
      <c r="Q4" s="21">
        <f t="shared" si="0"/>
        <v>3097465.87</v>
      </c>
      <c r="R4" s="25">
        <f t="shared" ref="R4:W4" si="2">SUM(R5:R6)</f>
        <v>422849.33999999997</v>
      </c>
      <c r="S4" s="25">
        <f t="shared" si="2"/>
        <v>578952.53</v>
      </c>
      <c r="T4" s="25">
        <f t="shared" si="2"/>
        <v>732110.53999999992</v>
      </c>
      <c r="U4" s="25">
        <f t="shared" si="2"/>
        <v>351914.80000000005</v>
      </c>
      <c r="V4" s="25">
        <f t="shared" si="2"/>
        <v>204781.24999999997</v>
      </c>
      <c r="W4" s="25">
        <f t="shared" si="2"/>
        <v>806857.41</v>
      </c>
    </row>
    <row r="5" spans="1:25" s="32" customFormat="1" ht="24.75" hidden="1" customHeight="1" outlineLevel="2" x14ac:dyDescent="0.35">
      <c r="A5" s="26" t="s">
        <v>510</v>
      </c>
      <c r="B5" s="27" t="s">
        <v>530</v>
      </c>
      <c r="C5" s="28">
        <f>52.33/T2</f>
        <v>5.5493107104984091E-2</v>
      </c>
      <c r="D5" s="29"/>
      <c r="E5" s="29"/>
      <c r="F5" s="29"/>
      <c r="G5" s="29"/>
      <c r="H5" s="29"/>
      <c r="I5" s="29"/>
      <c r="J5" s="28">
        <v>1</v>
      </c>
      <c r="K5" s="29">
        <f>732110.54/52.33</f>
        <v>13990.264475444297</v>
      </c>
      <c r="L5" s="29"/>
      <c r="M5" s="29"/>
      <c r="N5" s="29"/>
      <c r="O5" s="29">
        <f>C5/J5*K5</f>
        <v>776.36324496288444</v>
      </c>
      <c r="P5" s="28"/>
      <c r="Q5" s="21">
        <f t="shared" si="0"/>
        <v>3097465.87</v>
      </c>
      <c r="R5" s="31">
        <f>456986.22-R205</f>
        <v>422849.33999999997</v>
      </c>
      <c r="S5" s="31">
        <f>704203.42-S205</f>
        <v>578952.53</v>
      </c>
      <c r="T5" s="31">
        <f>912158.69-T205</f>
        <v>732110.53999999992</v>
      </c>
      <c r="U5" s="31">
        <f>412365.53-U205</f>
        <v>351914.80000000005</v>
      </c>
      <c r="V5" s="31">
        <f>265231.98-V205</f>
        <v>204781.24999999997</v>
      </c>
      <c r="W5" s="31">
        <f>944672.05-W205</f>
        <v>806857.41</v>
      </c>
      <c r="X5" s="115"/>
      <c r="Y5" s="115">
        <f>Q5-R5-S5-T5-U5-V5-W5</f>
        <v>0</v>
      </c>
    </row>
    <row r="6" spans="1:25" s="32" customFormat="1" ht="24.75" hidden="1" customHeight="1" outlineLevel="2" x14ac:dyDescent="0.35">
      <c r="A6" s="26"/>
      <c r="B6" s="27"/>
      <c r="C6" s="28"/>
      <c r="D6" s="29"/>
      <c r="E6" s="29"/>
      <c r="F6" s="29"/>
      <c r="G6" s="29"/>
      <c r="H6" s="29"/>
      <c r="I6" s="29"/>
      <c r="J6" s="28"/>
      <c r="K6" s="29"/>
      <c r="L6" s="29"/>
      <c r="M6" s="29"/>
      <c r="N6" s="29"/>
      <c r="O6" s="29"/>
      <c r="P6" s="28"/>
      <c r="Q6" s="21">
        <f t="shared" si="0"/>
        <v>0</v>
      </c>
      <c r="R6" s="31"/>
      <c r="S6" s="31"/>
      <c r="T6" s="31"/>
      <c r="U6" s="31"/>
      <c r="V6" s="31"/>
      <c r="W6" s="31"/>
      <c r="X6" s="115"/>
    </row>
    <row r="7" spans="1:25" ht="170.25" customHeight="1" outlineLevel="1" collapsed="1" x14ac:dyDescent="0.35">
      <c r="A7" s="22" t="s">
        <v>6</v>
      </c>
      <c r="B7" s="23" t="s">
        <v>3</v>
      </c>
      <c r="C7" s="19">
        <f>SUM(C8:C78)</f>
        <v>1.5940463329732326</v>
      </c>
      <c r="D7" s="20" t="s">
        <v>3</v>
      </c>
      <c r="E7" s="20" t="s">
        <v>3</v>
      </c>
      <c r="F7" s="20" t="s">
        <v>3</v>
      </c>
      <c r="G7" s="20" t="s">
        <v>3</v>
      </c>
      <c r="H7" s="20" t="s">
        <v>3</v>
      </c>
      <c r="I7" s="20" t="s">
        <v>3</v>
      </c>
      <c r="J7" s="20" t="s">
        <v>3</v>
      </c>
      <c r="K7" s="20" t="s">
        <v>3</v>
      </c>
      <c r="L7" s="20"/>
      <c r="M7" s="20"/>
      <c r="N7" s="20"/>
      <c r="O7" s="24">
        <f>O8+O59+O77+O78</f>
        <v>146.27071580042409</v>
      </c>
      <c r="P7" s="20" t="s">
        <v>3</v>
      </c>
      <c r="Q7" s="21">
        <f t="shared" si="0"/>
        <v>480883.6489785139</v>
      </c>
      <c r="R7" s="25">
        <f t="shared" ref="R7:W7" si="3">R8+R59+R77+R78</f>
        <v>69800.385579962371</v>
      </c>
      <c r="S7" s="25">
        <f t="shared" si="3"/>
        <v>105183.27173208495</v>
      </c>
      <c r="T7" s="25">
        <f t="shared" si="3"/>
        <v>137933.28499979991</v>
      </c>
      <c r="U7" s="25">
        <f t="shared" si="3"/>
        <v>23054.286666666663</v>
      </c>
      <c r="V7" s="25">
        <f t="shared" si="3"/>
        <v>23054.286666666663</v>
      </c>
      <c r="W7" s="25">
        <f t="shared" si="3"/>
        <v>121858.1333333333</v>
      </c>
    </row>
    <row r="8" spans="1:25" s="32" customFormat="1" ht="13.5" hidden="1" customHeight="1" outlineLevel="2" collapsed="1" x14ac:dyDescent="0.35">
      <c r="A8" s="33" t="s">
        <v>56</v>
      </c>
      <c r="B8" s="34" t="s">
        <v>3</v>
      </c>
      <c r="C8" s="34" t="s">
        <v>3</v>
      </c>
      <c r="D8" s="34" t="s">
        <v>3</v>
      </c>
      <c r="E8" s="34" t="s">
        <v>3</v>
      </c>
      <c r="F8" s="34" t="s">
        <v>3</v>
      </c>
      <c r="G8" s="34" t="s">
        <v>3</v>
      </c>
      <c r="H8" s="34" t="s">
        <v>3</v>
      </c>
      <c r="I8" s="34" t="s">
        <v>3</v>
      </c>
      <c r="J8" s="34" t="s">
        <v>3</v>
      </c>
      <c r="K8" s="34" t="s">
        <v>3</v>
      </c>
      <c r="L8" s="34"/>
      <c r="M8" s="34"/>
      <c r="N8" s="34"/>
      <c r="O8" s="29">
        <f>SUM(O9:O58)</f>
        <v>122.15476333373341</v>
      </c>
      <c r="P8" s="34" t="s">
        <v>3</v>
      </c>
      <c r="Q8" s="21">
        <f t="shared" si="0"/>
        <v>409201.39186652255</v>
      </c>
      <c r="R8" s="25">
        <f t="shared" ref="R8:T71" si="4">$O8*R$2</f>
        <v>58292.253062857584</v>
      </c>
      <c r="S8" s="25">
        <f t="shared" ref="S8:T22" si="5">$O8*S$2</f>
        <v>87841.490313287693</v>
      </c>
      <c r="T8" s="25">
        <f t="shared" si="5"/>
        <v>115191.94182371061</v>
      </c>
      <c r="U8" s="31">
        <f>SUM(U9:U58)</f>
        <v>23054.286666666663</v>
      </c>
      <c r="V8" s="31">
        <f>SUM(V9:V58)</f>
        <v>23054.286666666663</v>
      </c>
      <c r="W8" s="25">
        <f t="shared" ref="W8:W70" si="6">$O8*W$2</f>
        <v>101767.1333333333</v>
      </c>
      <c r="X8" s="115"/>
      <c r="Y8" s="115">
        <f t="shared" ref="Y8:Y39" si="7">Q8-R8-S8-T8-U8-V8-W8</f>
        <v>0</v>
      </c>
    </row>
    <row r="9" spans="1:25" s="32" customFormat="1" ht="39" hidden="1" outlineLevel="3" x14ac:dyDescent="0.35">
      <c r="A9" s="37" t="s">
        <v>174</v>
      </c>
      <c r="B9" s="38" t="s">
        <v>175</v>
      </c>
      <c r="C9" s="29">
        <f>I9/$W$2</f>
        <v>2.4006721882126993E-3</v>
      </c>
      <c r="D9" s="39"/>
      <c r="E9" s="39"/>
      <c r="F9" s="39"/>
      <c r="G9" s="39"/>
      <c r="H9" s="39"/>
      <c r="I9" s="39">
        <v>2</v>
      </c>
      <c r="J9" s="29">
        <v>1</v>
      </c>
      <c r="K9" s="29">
        <f>AVERAGE(L9:N9)</f>
        <v>9669.8700000000008</v>
      </c>
      <c r="L9" s="29">
        <v>9490.81</v>
      </c>
      <c r="M9" s="29">
        <v>9848.93</v>
      </c>
      <c r="N9" s="29">
        <v>9669.8700000000008</v>
      </c>
      <c r="O9" s="29">
        <f>C9/$J9*$K9</f>
        <v>23.214187972632338</v>
      </c>
      <c r="P9" s="35">
        <v>1</v>
      </c>
      <c r="Q9" s="21">
        <f t="shared" ref="Q9:Q71" si="8">SUM(R9:W9)</f>
        <v>69001.852329852365</v>
      </c>
      <c r="R9" s="25">
        <f t="shared" si="4"/>
        <v>11077.810500540152</v>
      </c>
      <c r="S9" s="25">
        <f t="shared" si="5"/>
        <v>16693.322571119916</v>
      </c>
      <c r="T9" s="25">
        <f t="shared" si="5"/>
        <v>21890.979258192296</v>
      </c>
      <c r="U9" s="31">
        <f>G9*$K9</f>
        <v>0</v>
      </c>
      <c r="V9" s="31">
        <f>H9*$K9</f>
        <v>0</v>
      </c>
      <c r="W9" s="25">
        <f t="shared" si="6"/>
        <v>19339.740000000002</v>
      </c>
      <c r="X9" s="115"/>
      <c r="Y9" s="115">
        <f t="shared" si="7"/>
        <v>0</v>
      </c>
    </row>
    <row r="10" spans="1:25" s="32" customFormat="1" ht="39" hidden="1" outlineLevel="3" x14ac:dyDescent="0.35">
      <c r="A10" s="37" t="s">
        <v>176</v>
      </c>
      <c r="B10" s="38" t="s">
        <v>175</v>
      </c>
      <c r="C10" s="29">
        <f t="shared" ref="C10:C58" si="9">I10/$W$2</f>
        <v>2.4006721882126993E-3</v>
      </c>
      <c r="D10" s="39"/>
      <c r="E10" s="39"/>
      <c r="F10" s="39"/>
      <c r="G10" s="39"/>
      <c r="H10" s="39"/>
      <c r="I10" s="39">
        <v>2</v>
      </c>
      <c r="J10" s="29">
        <v>1</v>
      </c>
      <c r="K10" s="29">
        <f>AVERAGE(L10:N10)</f>
        <v>1732.6000000000001</v>
      </c>
      <c r="L10" s="29">
        <v>1700.52</v>
      </c>
      <c r="M10" s="29">
        <v>1764.69</v>
      </c>
      <c r="N10" s="29">
        <v>1732.59</v>
      </c>
      <c r="O10" s="29">
        <f>C10/$J10*$K10</f>
        <v>4.1594046332973234</v>
      </c>
      <c r="P10" s="35">
        <v>2</v>
      </c>
      <c r="Q10" s="21">
        <f t="shared" si="8"/>
        <v>12363.414332012966</v>
      </c>
      <c r="R10" s="25">
        <f t="shared" si="4"/>
        <v>1984.8678910094827</v>
      </c>
      <c r="S10" s="25">
        <f t="shared" si="5"/>
        <v>2991.0278718041054</v>
      </c>
      <c r="T10" s="25">
        <f t="shared" si="5"/>
        <v>3922.3185691993758</v>
      </c>
      <c r="U10" s="31">
        <f t="shared" ref="U10:U58" si="10">G10*$K10</f>
        <v>0</v>
      </c>
      <c r="V10" s="31">
        <f t="shared" ref="V10:V58" si="11">H10*$K10</f>
        <v>0</v>
      </c>
      <c r="W10" s="25">
        <f t="shared" si="6"/>
        <v>3465.2000000000003</v>
      </c>
      <c r="X10" s="115"/>
      <c r="Y10" s="115">
        <f t="shared" si="7"/>
        <v>0</v>
      </c>
    </row>
    <row r="11" spans="1:25" s="32" customFormat="1" ht="26" hidden="1" outlineLevel="3" x14ac:dyDescent="0.35">
      <c r="A11" s="37" t="s">
        <v>177</v>
      </c>
      <c r="B11" s="38" t="s">
        <v>175</v>
      </c>
      <c r="C11" s="29">
        <f t="shared" si="9"/>
        <v>2.4006721882126993E-3</v>
      </c>
      <c r="D11" s="39"/>
      <c r="E11" s="39"/>
      <c r="F11" s="39"/>
      <c r="G11" s="39"/>
      <c r="H11" s="39"/>
      <c r="I11" s="39">
        <v>2</v>
      </c>
      <c r="J11" s="29">
        <v>1</v>
      </c>
      <c r="K11" s="29">
        <f t="shared" ref="K11:K58" si="12">AVERAGE(L11:N11)</f>
        <v>12040.93</v>
      </c>
      <c r="L11" s="29">
        <v>11817.89</v>
      </c>
      <c r="M11" s="29">
        <v>12263.97</v>
      </c>
      <c r="N11" s="29">
        <v>12040.93</v>
      </c>
      <c r="O11" s="29">
        <f>C11/$J11*$K11</f>
        <v>28.906325771215936</v>
      </c>
      <c r="P11" s="35">
        <v>3</v>
      </c>
      <c r="Q11" s="21">
        <f t="shared" si="8"/>
        <v>85921.162722362249</v>
      </c>
      <c r="R11" s="25">
        <f t="shared" si="4"/>
        <v>13794.098658024244</v>
      </c>
      <c r="S11" s="25">
        <f t="shared" si="5"/>
        <v>20786.538862081379</v>
      </c>
      <c r="T11" s="25">
        <f t="shared" si="5"/>
        <v>27258.665202256627</v>
      </c>
      <c r="U11" s="31">
        <f t="shared" si="10"/>
        <v>0</v>
      </c>
      <c r="V11" s="31">
        <f t="shared" si="11"/>
        <v>0</v>
      </c>
      <c r="W11" s="25">
        <f t="shared" si="6"/>
        <v>24081.859999999997</v>
      </c>
      <c r="X11" s="115"/>
      <c r="Y11" s="115">
        <f t="shared" si="7"/>
        <v>0</v>
      </c>
    </row>
    <row r="12" spans="1:25" s="32" customFormat="1" ht="26" hidden="1" outlineLevel="3" x14ac:dyDescent="0.35">
      <c r="A12" s="37" t="s">
        <v>178</v>
      </c>
      <c r="B12" s="38" t="s">
        <v>175</v>
      </c>
      <c r="C12" s="29">
        <f t="shared" si="9"/>
        <v>2.4006721882126993E-3</v>
      </c>
      <c r="D12" s="39"/>
      <c r="E12" s="39"/>
      <c r="F12" s="39"/>
      <c r="G12" s="39"/>
      <c r="H12" s="39"/>
      <c r="I12" s="39">
        <v>2</v>
      </c>
      <c r="J12" s="29">
        <v>1</v>
      </c>
      <c r="K12" s="29">
        <f t="shared" si="12"/>
        <v>2385.61</v>
      </c>
      <c r="L12" s="29">
        <v>2341.44</v>
      </c>
      <c r="M12" s="29">
        <v>2429.79</v>
      </c>
      <c r="N12" s="29">
        <v>2385.6</v>
      </c>
      <c r="O12" s="29">
        <f t="shared" ref="O12:O58" si="13">C12/$J12*$K12</f>
        <v>5.7270675789220977</v>
      </c>
      <c r="P12" s="35">
        <v>4</v>
      </c>
      <c r="Q12" s="21">
        <f t="shared" si="8"/>
        <v>17023.135671588043</v>
      </c>
      <c r="R12" s="25">
        <f t="shared" si="4"/>
        <v>2732.956648661625</v>
      </c>
      <c r="S12" s="25">
        <f t="shared" si="5"/>
        <v>4118.3342960028804</v>
      </c>
      <c r="T12" s="25">
        <f t="shared" si="5"/>
        <v>5400.6247269235382</v>
      </c>
      <c r="U12" s="31">
        <f t="shared" si="10"/>
        <v>0</v>
      </c>
      <c r="V12" s="31">
        <f t="shared" si="11"/>
        <v>0</v>
      </c>
      <c r="W12" s="25">
        <f t="shared" si="6"/>
        <v>4771.2199999999993</v>
      </c>
      <c r="X12" s="115"/>
      <c r="Y12" s="115">
        <f t="shared" si="7"/>
        <v>0</v>
      </c>
    </row>
    <row r="13" spans="1:25" s="32" customFormat="1" ht="26" hidden="1" outlineLevel="3" x14ac:dyDescent="0.35">
      <c r="A13" s="37" t="s">
        <v>179</v>
      </c>
      <c r="B13" s="38" t="s">
        <v>175</v>
      </c>
      <c r="C13" s="29">
        <f t="shared" si="9"/>
        <v>1.2003360941063496E-3</v>
      </c>
      <c r="D13" s="39"/>
      <c r="E13" s="39"/>
      <c r="F13" s="39"/>
      <c r="G13" s="39"/>
      <c r="H13" s="39"/>
      <c r="I13" s="39">
        <v>1</v>
      </c>
      <c r="J13" s="29">
        <v>1</v>
      </c>
      <c r="K13" s="29">
        <f t="shared" si="12"/>
        <v>2401.4900000000002</v>
      </c>
      <c r="L13" s="29">
        <v>2349.2800000000002</v>
      </c>
      <c r="M13" s="29">
        <v>2394.02</v>
      </c>
      <c r="N13" s="29">
        <v>2461.17</v>
      </c>
      <c r="O13" s="29">
        <f t="shared" si="13"/>
        <v>2.8825951266354579</v>
      </c>
      <c r="P13" s="35">
        <v>5</v>
      </c>
      <c r="Q13" s="21">
        <f t="shared" si="8"/>
        <v>8568.2257544112344</v>
      </c>
      <c r="R13" s="25">
        <f t="shared" si="4"/>
        <v>1375.5743944304404</v>
      </c>
      <c r="S13" s="25">
        <f t="shared" si="5"/>
        <v>2072.8741555635579</v>
      </c>
      <c r="T13" s="25">
        <f t="shared" si="5"/>
        <v>2718.2872044172368</v>
      </c>
      <c r="U13" s="31">
        <f t="shared" si="10"/>
        <v>0</v>
      </c>
      <c r="V13" s="31">
        <f t="shared" si="11"/>
        <v>0</v>
      </c>
      <c r="W13" s="25">
        <f t="shared" si="6"/>
        <v>2401.4900000000002</v>
      </c>
      <c r="X13" s="115"/>
      <c r="Y13" s="115">
        <f t="shared" si="7"/>
        <v>0</v>
      </c>
    </row>
    <row r="14" spans="1:25" s="32" customFormat="1" ht="78" hidden="1" outlineLevel="3" x14ac:dyDescent="0.35">
      <c r="A14" s="37" t="s">
        <v>180</v>
      </c>
      <c r="B14" s="38" t="s">
        <v>175</v>
      </c>
      <c r="C14" s="29">
        <f t="shared" si="9"/>
        <v>2.4006721882126993E-3</v>
      </c>
      <c r="D14" s="39"/>
      <c r="E14" s="39"/>
      <c r="F14" s="39"/>
      <c r="G14" s="39"/>
      <c r="H14" s="39"/>
      <c r="I14" s="39">
        <v>2</v>
      </c>
      <c r="J14" s="29">
        <v>1</v>
      </c>
      <c r="K14" s="29">
        <f t="shared" si="12"/>
        <v>5662.5</v>
      </c>
      <c r="L14" s="29">
        <v>5557.62</v>
      </c>
      <c r="M14" s="29">
        <v>5767.38</v>
      </c>
      <c r="N14" s="29">
        <v>5662.5</v>
      </c>
      <c r="O14" s="29">
        <f t="shared" si="13"/>
        <v>13.593806265754409</v>
      </c>
      <c r="P14" s="35">
        <v>6</v>
      </c>
      <c r="Q14" s="21">
        <f t="shared" si="8"/>
        <v>40406.229744328404</v>
      </c>
      <c r="R14" s="25">
        <f t="shared" si="4"/>
        <v>6486.9643500180036</v>
      </c>
      <c r="S14" s="25">
        <f t="shared" si="5"/>
        <v>9775.3060857039964</v>
      </c>
      <c r="T14" s="25">
        <f t="shared" si="5"/>
        <v>12818.959308606409</v>
      </c>
      <c r="U14" s="31">
        <f t="shared" si="10"/>
        <v>0</v>
      </c>
      <c r="V14" s="31">
        <f t="shared" si="11"/>
        <v>0</v>
      </c>
      <c r="W14" s="25">
        <f t="shared" si="6"/>
        <v>11324.999999999998</v>
      </c>
      <c r="X14" s="115"/>
      <c r="Y14" s="115">
        <f t="shared" si="7"/>
        <v>0</v>
      </c>
    </row>
    <row r="15" spans="1:25" s="32" customFormat="1" ht="26" hidden="1" outlineLevel="3" x14ac:dyDescent="0.35">
      <c r="A15" s="37" t="s">
        <v>181</v>
      </c>
      <c r="B15" s="38" t="s">
        <v>175</v>
      </c>
      <c r="C15" s="29">
        <f t="shared" si="9"/>
        <v>1.2003360941063496E-3</v>
      </c>
      <c r="D15" s="39"/>
      <c r="E15" s="39">
        <v>1</v>
      </c>
      <c r="F15" s="39"/>
      <c r="G15" s="39">
        <v>1</v>
      </c>
      <c r="H15" s="39">
        <v>1</v>
      </c>
      <c r="I15" s="39">
        <v>1</v>
      </c>
      <c r="J15" s="29">
        <v>1</v>
      </c>
      <c r="K15" s="29">
        <f t="shared" si="12"/>
        <v>1220.5233333333333</v>
      </c>
      <c r="L15" s="29">
        <v>1263.3499999999999</v>
      </c>
      <c r="M15" s="29">
        <v>1169.8599999999999</v>
      </c>
      <c r="N15" s="29">
        <v>1228.3599999999999</v>
      </c>
      <c r="O15" s="29">
        <f t="shared" si="13"/>
        <v>1.4650382106989954</v>
      </c>
      <c r="P15" s="35">
        <v>7</v>
      </c>
      <c r="Q15" s="21">
        <f t="shared" si="8"/>
        <v>6795.7262441483617</v>
      </c>
      <c r="R15" s="25">
        <f t="shared" si="4"/>
        <v>699.11623414556061</v>
      </c>
      <c r="S15" s="25">
        <f t="shared" si="5"/>
        <v>1053.5089773136476</v>
      </c>
      <c r="T15" s="25">
        <f t="shared" si="5"/>
        <v>1381.5310326891527</v>
      </c>
      <c r="U15" s="31">
        <f t="shared" si="10"/>
        <v>1220.5233333333333</v>
      </c>
      <c r="V15" s="31">
        <f t="shared" si="11"/>
        <v>1220.5233333333333</v>
      </c>
      <c r="W15" s="25">
        <f t="shared" si="6"/>
        <v>1220.5233333333331</v>
      </c>
      <c r="X15" s="115"/>
      <c r="Y15" s="115">
        <f t="shared" si="7"/>
        <v>0</v>
      </c>
    </row>
    <row r="16" spans="1:25" s="32" customFormat="1" ht="13" hidden="1" outlineLevel="3" x14ac:dyDescent="0.35">
      <c r="A16" s="37" t="s">
        <v>182</v>
      </c>
      <c r="B16" s="38" t="s">
        <v>175</v>
      </c>
      <c r="C16" s="29">
        <f t="shared" si="9"/>
        <v>1.2003360941063496E-3</v>
      </c>
      <c r="D16" s="39"/>
      <c r="E16" s="39"/>
      <c r="F16" s="39"/>
      <c r="G16" s="39"/>
      <c r="H16" s="39"/>
      <c r="I16" s="39">
        <v>1</v>
      </c>
      <c r="J16" s="29">
        <v>1</v>
      </c>
      <c r="K16" s="29">
        <f t="shared" si="12"/>
        <v>2217.91</v>
      </c>
      <c r="L16" s="29">
        <v>2170.06</v>
      </c>
      <c r="M16" s="29">
        <v>2210.7800000000002</v>
      </c>
      <c r="N16" s="29">
        <v>2272.89</v>
      </c>
      <c r="O16" s="29">
        <f t="shared" si="13"/>
        <v>2.6622374264794137</v>
      </c>
      <c r="P16" s="35">
        <v>8</v>
      </c>
      <c r="Q16" s="21">
        <f t="shared" si="8"/>
        <v>7913.2345264674095</v>
      </c>
      <c r="R16" s="25">
        <f t="shared" si="4"/>
        <v>1270.4196999159763</v>
      </c>
      <c r="S16" s="25">
        <f t="shared" si="5"/>
        <v>1914.4149333813466</v>
      </c>
      <c r="T16" s="25">
        <f t="shared" si="5"/>
        <v>2510.4898931700873</v>
      </c>
      <c r="U16" s="31">
        <f t="shared" si="10"/>
        <v>0</v>
      </c>
      <c r="V16" s="31">
        <f t="shared" si="11"/>
        <v>0</v>
      </c>
      <c r="W16" s="25">
        <f t="shared" si="6"/>
        <v>2217.91</v>
      </c>
      <c r="X16" s="115"/>
      <c r="Y16" s="115">
        <f t="shared" si="7"/>
        <v>0</v>
      </c>
    </row>
    <row r="17" spans="1:25" s="32" customFormat="1" ht="39" hidden="1" outlineLevel="3" x14ac:dyDescent="0.35">
      <c r="A17" s="37" t="s">
        <v>183</v>
      </c>
      <c r="B17" s="38" t="s">
        <v>175</v>
      </c>
      <c r="C17" s="29">
        <f t="shared" si="9"/>
        <v>1.2003360941063496E-3</v>
      </c>
      <c r="D17" s="39"/>
      <c r="E17" s="39"/>
      <c r="F17" s="39"/>
      <c r="G17" s="39"/>
      <c r="H17" s="39"/>
      <c r="I17" s="39">
        <v>1</v>
      </c>
      <c r="J17" s="29">
        <v>1</v>
      </c>
      <c r="K17" s="29">
        <f t="shared" si="12"/>
        <v>2938.6333333333332</v>
      </c>
      <c r="L17" s="29">
        <v>2873.43</v>
      </c>
      <c r="M17" s="29">
        <v>2928.12</v>
      </c>
      <c r="N17" s="29">
        <v>3014.35</v>
      </c>
      <c r="O17" s="29">
        <f t="shared" si="13"/>
        <v>3.5273476573440559</v>
      </c>
      <c r="P17" s="35">
        <v>9</v>
      </c>
      <c r="Q17" s="21">
        <f t="shared" si="8"/>
        <v>10484.688176689471</v>
      </c>
      <c r="R17" s="25">
        <f t="shared" si="4"/>
        <v>1683.2503020845834</v>
      </c>
      <c r="S17" s="25">
        <f t="shared" si="5"/>
        <v>2536.5157003961108</v>
      </c>
      <c r="T17" s="25">
        <f t="shared" si="5"/>
        <v>3326.2888408754447</v>
      </c>
      <c r="U17" s="31">
        <f t="shared" si="10"/>
        <v>0</v>
      </c>
      <c r="V17" s="31">
        <f t="shared" si="11"/>
        <v>0</v>
      </c>
      <c r="W17" s="25">
        <f t="shared" si="6"/>
        <v>2938.6333333333332</v>
      </c>
      <c r="X17" s="115"/>
      <c r="Y17" s="115">
        <f t="shared" si="7"/>
        <v>0</v>
      </c>
    </row>
    <row r="18" spans="1:25" s="32" customFormat="1" ht="52" hidden="1" outlineLevel="3" x14ac:dyDescent="0.35">
      <c r="A18" s="37" t="s">
        <v>184</v>
      </c>
      <c r="B18" s="38" t="s">
        <v>175</v>
      </c>
      <c r="C18" s="29">
        <f t="shared" si="9"/>
        <v>1.2003360941063496E-3</v>
      </c>
      <c r="D18" s="39"/>
      <c r="E18" s="39"/>
      <c r="F18" s="39"/>
      <c r="G18" s="39"/>
      <c r="H18" s="39"/>
      <c r="I18" s="39">
        <v>1</v>
      </c>
      <c r="J18" s="29">
        <v>1</v>
      </c>
      <c r="K18" s="29">
        <f t="shared" si="12"/>
        <v>5111.956666666666</v>
      </c>
      <c r="L18" s="29">
        <v>5000.82</v>
      </c>
      <c r="M18" s="29">
        <v>5096.07</v>
      </c>
      <c r="N18" s="29">
        <v>5238.9799999999996</v>
      </c>
      <c r="O18" s="29">
        <f t="shared" si="13"/>
        <v>6.1360660985075803</v>
      </c>
      <c r="P18" s="35">
        <v>10</v>
      </c>
      <c r="Q18" s="21">
        <f t="shared" si="8"/>
        <v>18238.842871203931</v>
      </c>
      <c r="R18" s="25">
        <f t="shared" si="4"/>
        <v>2928.1307422078171</v>
      </c>
      <c r="S18" s="25">
        <f t="shared" si="5"/>
        <v>4412.4451314368016</v>
      </c>
      <c r="T18" s="25">
        <f t="shared" si="5"/>
        <v>5786.3103308926484</v>
      </c>
      <c r="U18" s="31">
        <f t="shared" si="10"/>
        <v>0</v>
      </c>
      <c r="V18" s="31">
        <f t="shared" si="11"/>
        <v>0</v>
      </c>
      <c r="W18" s="25">
        <f t="shared" si="6"/>
        <v>5111.9566666666651</v>
      </c>
      <c r="X18" s="115"/>
      <c r="Y18" s="115">
        <f t="shared" si="7"/>
        <v>0</v>
      </c>
    </row>
    <row r="19" spans="1:25" s="32" customFormat="1" ht="13" hidden="1" outlineLevel="3" x14ac:dyDescent="0.35">
      <c r="A19" s="37" t="s">
        <v>185</v>
      </c>
      <c r="B19" s="38" t="s">
        <v>175</v>
      </c>
      <c r="C19" s="29">
        <f t="shared" si="9"/>
        <v>1.2003360941063496E-3</v>
      </c>
      <c r="D19" s="39"/>
      <c r="E19" s="39"/>
      <c r="F19" s="39"/>
      <c r="G19" s="39"/>
      <c r="H19" s="39"/>
      <c r="I19" s="39">
        <v>1</v>
      </c>
      <c r="J19" s="29">
        <v>1</v>
      </c>
      <c r="K19" s="29">
        <f t="shared" si="12"/>
        <v>2481.1133333333332</v>
      </c>
      <c r="L19" s="29">
        <v>2348.0500000000002</v>
      </c>
      <c r="M19" s="29">
        <v>2512.4</v>
      </c>
      <c r="N19" s="29">
        <v>2582.89</v>
      </c>
      <c r="O19" s="29">
        <f t="shared" si="13"/>
        <v>2.9781698875685185</v>
      </c>
      <c r="P19" s="35">
        <v>11</v>
      </c>
      <c r="Q19" s="21">
        <f t="shared" si="8"/>
        <v>8852.3121738086647</v>
      </c>
      <c r="R19" s="25">
        <f t="shared" si="4"/>
        <v>1421.182670347697</v>
      </c>
      <c r="S19" s="25">
        <f t="shared" si="5"/>
        <v>2141.6019661505215</v>
      </c>
      <c r="T19" s="25">
        <f t="shared" si="5"/>
        <v>2808.4142039771132</v>
      </c>
      <c r="U19" s="31">
        <f t="shared" si="10"/>
        <v>0</v>
      </c>
      <c r="V19" s="31">
        <f t="shared" si="11"/>
        <v>0</v>
      </c>
      <c r="W19" s="25">
        <f t="shared" si="6"/>
        <v>2481.1133333333328</v>
      </c>
      <c r="X19" s="115"/>
      <c r="Y19" s="115">
        <f t="shared" si="7"/>
        <v>0</v>
      </c>
    </row>
    <row r="20" spans="1:25" s="32" customFormat="1" ht="13" hidden="1" outlineLevel="3" x14ac:dyDescent="0.35">
      <c r="A20" s="37" t="s">
        <v>186</v>
      </c>
      <c r="B20" s="38" t="s">
        <v>175</v>
      </c>
      <c r="C20" s="29">
        <f t="shared" si="9"/>
        <v>0</v>
      </c>
      <c r="D20" s="39"/>
      <c r="E20" s="39">
        <v>1</v>
      </c>
      <c r="F20" s="39"/>
      <c r="G20" s="39"/>
      <c r="H20" s="39"/>
      <c r="I20" s="39"/>
      <c r="J20" s="29">
        <v>1</v>
      </c>
      <c r="K20" s="29">
        <f t="shared" si="12"/>
        <v>4152.8633333333337</v>
      </c>
      <c r="L20" s="29">
        <v>4298.8100000000004</v>
      </c>
      <c r="M20" s="29">
        <v>3980.38</v>
      </c>
      <c r="N20" s="29">
        <v>4179.3999999999996</v>
      </c>
      <c r="O20" s="29">
        <f t="shared" si="13"/>
        <v>0</v>
      </c>
      <c r="P20" s="35">
        <v>12</v>
      </c>
      <c r="Q20" s="21">
        <f t="shared" si="8"/>
        <v>0</v>
      </c>
      <c r="R20" s="25">
        <f t="shared" si="4"/>
        <v>0</v>
      </c>
      <c r="S20" s="25">
        <f t="shared" si="5"/>
        <v>0</v>
      </c>
      <c r="T20" s="25">
        <f t="shared" si="5"/>
        <v>0</v>
      </c>
      <c r="U20" s="31">
        <f t="shared" si="10"/>
        <v>0</v>
      </c>
      <c r="V20" s="31">
        <f t="shared" si="11"/>
        <v>0</v>
      </c>
      <c r="W20" s="25">
        <f t="shared" si="6"/>
        <v>0</v>
      </c>
      <c r="X20" s="115"/>
      <c r="Y20" s="115">
        <f t="shared" si="7"/>
        <v>0</v>
      </c>
    </row>
    <row r="21" spans="1:25" s="32" customFormat="1" ht="13" hidden="1" outlineLevel="3" x14ac:dyDescent="0.35">
      <c r="A21" s="37" t="s">
        <v>187</v>
      </c>
      <c r="B21" s="38" t="s">
        <v>175</v>
      </c>
      <c r="C21" s="29">
        <f t="shared" si="9"/>
        <v>0</v>
      </c>
      <c r="D21" s="39"/>
      <c r="E21" s="39">
        <v>1</v>
      </c>
      <c r="F21" s="39"/>
      <c r="G21" s="39"/>
      <c r="H21" s="39"/>
      <c r="I21" s="39"/>
      <c r="J21" s="29">
        <v>1</v>
      </c>
      <c r="K21" s="29">
        <f t="shared" si="12"/>
        <v>650.57000000000005</v>
      </c>
      <c r="L21" s="29">
        <v>673.43</v>
      </c>
      <c r="M21" s="29">
        <v>623.57000000000005</v>
      </c>
      <c r="N21" s="29">
        <v>654.71</v>
      </c>
      <c r="O21" s="29">
        <f t="shared" si="13"/>
        <v>0</v>
      </c>
      <c r="P21" s="35">
        <v>13</v>
      </c>
      <c r="Q21" s="21">
        <f t="shared" si="8"/>
        <v>0</v>
      </c>
      <c r="R21" s="25">
        <f t="shared" si="4"/>
        <v>0</v>
      </c>
      <c r="S21" s="25">
        <f t="shared" si="5"/>
        <v>0</v>
      </c>
      <c r="T21" s="25">
        <f t="shared" si="5"/>
        <v>0</v>
      </c>
      <c r="U21" s="31">
        <f t="shared" si="10"/>
        <v>0</v>
      </c>
      <c r="V21" s="31">
        <f t="shared" si="11"/>
        <v>0</v>
      </c>
      <c r="W21" s="25">
        <f t="shared" si="6"/>
        <v>0</v>
      </c>
      <c r="X21" s="115"/>
      <c r="Y21" s="115">
        <f t="shared" si="7"/>
        <v>0</v>
      </c>
    </row>
    <row r="22" spans="1:25" s="32" customFormat="1" ht="39" hidden="1" outlineLevel="3" x14ac:dyDescent="0.35">
      <c r="A22" s="37" t="s">
        <v>188</v>
      </c>
      <c r="B22" s="38" t="s">
        <v>175</v>
      </c>
      <c r="C22" s="29">
        <f t="shared" si="9"/>
        <v>1.2003360941063496E-3</v>
      </c>
      <c r="D22" s="39"/>
      <c r="E22" s="39">
        <v>1</v>
      </c>
      <c r="F22" s="39"/>
      <c r="G22" s="39"/>
      <c r="H22" s="39"/>
      <c r="I22" s="39">
        <v>1</v>
      </c>
      <c r="J22" s="29">
        <v>1</v>
      </c>
      <c r="K22" s="29">
        <f t="shared" si="12"/>
        <v>3898.5533333333333</v>
      </c>
      <c r="L22" s="29">
        <v>4035.56</v>
      </c>
      <c r="M22" s="29">
        <v>3736.63</v>
      </c>
      <c r="N22" s="29">
        <v>3923.47</v>
      </c>
      <c r="O22" s="29">
        <f t="shared" si="13"/>
        <v>4.6795742807986231</v>
      </c>
      <c r="P22" s="35">
        <v>14</v>
      </c>
      <c r="Q22" s="21">
        <f t="shared" si="8"/>
        <v>13909.566592245828</v>
      </c>
      <c r="R22" s="25">
        <f t="shared" si="4"/>
        <v>2233.092846797103</v>
      </c>
      <c r="S22" s="25">
        <f t="shared" si="5"/>
        <v>3365.08186532229</v>
      </c>
      <c r="T22" s="25">
        <f t="shared" si="5"/>
        <v>4412.8385467931021</v>
      </c>
      <c r="U22" s="31">
        <f t="shared" si="10"/>
        <v>0</v>
      </c>
      <c r="V22" s="31">
        <f t="shared" si="11"/>
        <v>0</v>
      </c>
      <c r="W22" s="25">
        <f t="shared" si="6"/>
        <v>3898.5533333333328</v>
      </c>
      <c r="X22" s="115"/>
      <c r="Y22" s="115">
        <f t="shared" si="7"/>
        <v>0</v>
      </c>
    </row>
    <row r="23" spans="1:25" s="32" customFormat="1" ht="26" hidden="1" outlineLevel="3" x14ac:dyDescent="0.35">
      <c r="A23" s="37" t="s">
        <v>189</v>
      </c>
      <c r="B23" s="38" t="s">
        <v>175</v>
      </c>
      <c r="C23" s="29">
        <f t="shared" si="9"/>
        <v>0</v>
      </c>
      <c r="D23" s="39"/>
      <c r="E23" s="39">
        <v>1</v>
      </c>
      <c r="F23" s="39"/>
      <c r="G23" s="39"/>
      <c r="H23" s="39"/>
      <c r="I23" s="39"/>
      <c r="J23" s="29">
        <v>1</v>
      </c>
      <c r="K23" s="29">
        <f t="shared" si="12"/>
        <v>2880.0966666666668</v>
      </c>
      <c r="L23" s="29">
        <v>2981.31</v>
      </c>
      <c r="M23" s="29">
        <v>2760.48</v>
      </c>
      <c r="N23" s="29">
        <v>2898.5</v>
      </c>
      <c r="O23" s="29">
        <f t="shared" si="13"/>
        <v>0</v>
      </c>
      <c r="P23" s="35">
        <v>15</v>
      </c>
      <c r="Q23" s="21">
        <f t="shared" si="8"/>
        <v>0</v>
      </c>
      <c r="R23" s="25">
        <f t="shared" si="4"/>
        <v>0</v>
      </c>
      <c r="S23" s="25">
        <f t="shared" si="4"/>
        <v>0</v>
      </c>
      <c r="T23" s="25">
        <f t="shared" si="4"/>
        <v>0</v>
      </c>
      <c r="U23" s="31">
        <f t="shared" si="10"/>
        <v>0</v>
      </c>
      <c r="V23" s="31">
        <f t="shared" si="11"/>
        <v>0</v>
      </c>
      <c r="W23" s="25">
        <f t="shared" si="6"/>
        <v>0</v>
      </c>
      <c r="X23" s="115"/>
      <c r="Y23" s="115">
        <f t="shared" si="7"/>
        <v>0</v>
      </c>
    </row>
    <row r="24" spans="1:25" s="32" customFormat="1" ht="39" hidden="1" outlineLevel="3" x14ac:dyDescent="0.35">
      <c r="A24" s="37" t="s">
        <v>190</v>
      </c>
      <c r="B24" s="38" t="s">
        <v>175</v>
      </c>
      <c r="C24" s="29">
        <f t="shared" si="9"/>
        <v>0</v>
      </c>
      <c r="D24" s="39"/>
      <c r="E24" s="39">
        <v>1</v>
      </c>
      <c r="F24" s="39"/>
      <c r="G24" s="39"/>
      <c r="H24" s="39"/>
      <c r="I24" s="39"/>
      <c r="J24" s="29">
        <v>1</v>
      </c>
      <c r="K24" s="29">
        <f t="shared" si="12"/>
        <v>1519.4233333333334</v>
      </c>
      <c r="L24" s="29">
        <v>1572.83</v>
      </c>
      <c r="M24" s="29">
        <v>1456.3</v>
      </c>
      <c r="N24" s="29">
        <v>1529.14</v>
      </c>
      <c r="O24" s="29">
        <f t="shared" si="13"/>
        <v>0</v>
      </c>
      <c r="P24" s="35">
        <v>16</v>
      </c>
      <c r="Q24" s="21">
        <f t="shared" si="8"/>
        <v>0</v>
      </c>
      <c r="R24" s="25">
        <f t="shared" si="4"/>
        <v>0</v>
      </c>
      <c r="S24" s="25">
        <f t="shared" si="4"/>
        <v>0</v>
      </c>
      <c r="T24" s="25">
        <f t="shared" si="4"/>
        <v>0</v>
      </c>
      <c r="U24" s="31">
        <f t="shared" si="10"/>
        <v>0</v>
      </c>
      <c r="V24" s="31">
        <f t="shared" si="11"/>
        <v>0</v>
      </c>
      <c r="W24" s="25">
        <f t="shared" si="6"/>
        <v>0</v>
      </c>
      <c r="X24" s="115"/>
      <c r="Y24" s="115">
        <f t="shared" si="7"/>
        <v>0</v>
      </c>
    </row>
    <row r="25" spans="1:25" s="32" customFormat="1" ht="13" hidden="1" outlineLevel="3" x14ac:dyDescent="0.35">
      <c r="A25" s="37" t="s">
        <v>191</v>
      </c>
      <c r="B25" s="38" t="s">
        <v>175</v>
      </c>
      <c r="C25" s="29">
        <f t="shared" si="9"/>
        <v>1.2003360941063496E-3</v>
      </c>
      <c r="D25" s="39">
        <v>1</v>
      </c>
      <c r="E25" s="39">
        <v>1</v>
      </c>
      <c r="F25" s="39">
        <v>1</v>
      </c>
      <c r="G25" s="39">
        <v>1</v>
      </c>
      <c r="H25" s="39">
        <v>1</v>
      </c>
      <c r="I25" s="39">
        <v>1</v>
      </c>
      <c r="J25" s="29">
        <v>1</v>
      </c>
      <c r="K25" s="29">
        <f t="shared" si="12"/>
        <v>5374.4366666666665</v>
      </c>
      <c r="L25" s="29">
        <v>5563.33</v>
      </c>
      <c r="M25" s="29">
        <v>5151.2299999999996</v>
      </c>
      <c r="N25" s="29">
        <v>5408.75</v>
      </c>
      <c r="O25" s="29">
        <f t="shared" si="13"/>
        <v>6.4511303164886158</v>
      </c>
      <c r="P25" s="35">
        <v>17</v>
      </c>
      <c r="Q25" s="21">
        <f t="shared" si="8"/>
        <v>29924.213086064094</v>
      </c>
      <c r="R25" s="25">
        <f t="shared" si="4"/>
        <v>3078.4793870283675</v>
      </c>
      <c r="S25" s="25">
        <f t="shared" si="4"/>
        <v>4639.0078105869634</v>
      </c>
      <c r="T25" s="25">
        <f t="shared" si="4"/>
        <v>6083.4158884487642</v>
      </c>
      <c r="U25" s="31">
        <f t="shared" si="10"/>
        <v>5374.4366666666665</v>
      </c>
      <c r="V25" s="31">
        <f t="shared" si="11"/>
        <v>5374.4366666666665</v>
      </c>
      <c r="W25" s="25">
        <f t="shared" si="6"/>
        <v>5374.4366666666656</v>
      </c>
      <c r="X25" s="115"/>
      <c r="Y25" s="115">
        <f t="shared" si="7"/>
        <v>0</v>
      </c>
    </row>
    <row r="26" spans="1:25" s="32" customFormat="1" ht="26" hidden="1" outlineLevel="3" x14ac:dyDescent="0.35">
      <c r="A26" s="37" t="s">
        <v>192</v>
      </c>
      <c r="B26" s="38" t="s">
        <v>175</v>
      </c>
      <c r="C26" s="29">
        <f t="shared" si="9"/>
        <v>1.2003360941063496E-3</v>
      </c>
      <c r="D26" s="39">
        <v>1</v>
      </c>
      <c r="E26" s="39">
        <v>1</v>
      </c>
      <c r="F26" s="39">
        <v>1</v>
      </c>
      <c r="G26" s="39">
        <v>1</v>
      </c>
      <c r="H26" s="39">
        <v>1</v>
      </c>
      <c r="I26" s="39">
        <v>1</v>
      </c>
      <c r="J26" s="29">
        <v>1</v>
      </c>
      <c r="K26" s="29">
        <f t="shared" si="12"/>
        <v>2784.8700000000003</v>
      </c>
      <c r="L26" s="29">
        <v>2882.73</v>
      </c>
      <c r="M26" s="29">
        <v>2669.21</v>
      </c>
      <c r="N26" s="29">
        <v>2802.67</v>
      </c>
      <c r="O26" s="29">
        <f t="shared" si="13"/>
        <v>3.3427799783939505</v>
      </c>
      <c r="P26" s="35">
        <v>18</v>
      </c>
      <c r="Q26" s="21">
        <f t="shared" si="8"/>
        <v>15505.81920777818</v>
      </c>
      <c r="R26" s="25">
        <f t="shared" si="4"/>
        <v>1595.1746056895931</v>
      </c>
      <c r="S26" s="25">
        <f t="shared" si="4"/>
        <v>2403.7930824630898</v>
      </c>
      <c r="T26" s="25">
        <f t="shared" si="4"/>
        <v>3152.2415196254951</v>
      </c>
      <c r="U26" s="31">
        <f t="shared" si="10"/>
        <v>2784.8700000000003</v>
      </c>
      <c r="V26" s="31">
        <f t="shared" si="11"/>
        <v>2784.8700000000003</v>
      </c>
      <c r="W26" s="25">
        <f t="shared" si="6"/>
        <v>2784.8700000000003</v>
      </c>
      <c r="X26" s="115"/>
      <c r="Y26" s="115">
        <f t="shared" si="7"/>
        <v>0</v>
      </c>
    </row>
    <row r="27" spans="1:25" s="32" customFormat="1" ht="13" hidden="1" outlineLevel="3" x14ac:dyDescent="0.35">
      <c r="A27" s="37" t="s">
        <v>193</v>
      </c>
      <c r="B27" s="38" t="s">
        <v>175</v>
      </c>
      <c r="C27" s="29">
        <f t="shared" si="9"/>
        <v>0</v>
      </c>
      <c r="D27" s="39"/>
      <c r="E27" s="39">
        <v>1</v>
      </c>
      <c r="F27" s="39">
        <v>2</v>
      </c>
      <c r="G27" s="39">
        <v>1</v>
      </c>
      <c r="H27" s="39">
        <v>1</v>
      </c>
      <c r="I27" s="39"/>
      <c r="J27" s="29">
        <v>1</v>
      </c>
      <c r="K27" s="29">
        <f t="shared" si="12"/>
        <v>675.24000000000012</v>
      </c>
      <c r="L27" s="29">
        <v>657.72</v>
      </c>
      <c r="M27" s="29">
        <v>690.6</v>
      </c>
      <c r="N27" s="29">
        <v>677.4</v>
      </c>
      <c r="O27" s="29">
        <f t="shared" si="13"/>
        <v>0</v>
      </c>
      <c r="P27" s="35">
        <v>19</v>
      </c>
      <c r="Q27" s="21">
        <f t="shared" si="8"/>
        <v>1350.4800000000002</v>
      </c>
      <c r="R27" s="25">
        <f t="shared" si="4"/>
        <v>0</v>
      </c>
      <c r="S27" s="25">
        <f t="shared" si="4"/>
        <v>0</v>
      </c>
      <c r="T27" s="25">
        <f t="shared" si="4"/>
        <v>0</v>
      </c>
      <c r="U27" s="31">
        <f t="shared" si="10"/>
        <v>675.24000000000012</v>
      </c>
      <c r="V27" s="31">
        <f t="shared" si="11"/>
        <v>675.24000000000012</v>
      </c>
      <c r="W27" s="25">
        <f t="shared" si="6"/>
        <v>0</v>
      </c>
      <c r="X27" s="115"/>
      <c r="Y27" s="115">
        <f t="shared" si="7"/>
        <v>0</v>
      </c>
    </row>
    <row r="28" spans="1:25" s="32" customFormat="1" ht="26" hidden="1" outlineLevel="3" x14ac:dyDescent="0.35">
      <c r="A28" s="37" t="s">
        <v>194</v>
      </c>
      <c r="B28" s="38" t="s">
        <v>175</v>
      </c>
      <c r="C28" s="29">
        <f t="shared" si="9"/>
        <v>0</v>
      </c>
      <c r="D28" s="39"/>
      <c r="E28" s="39"/>
      <c r="F28" s="39"/>
      <c r="G28" s="39">
        <v>1</v>
      </c>
      <c r="H28" s="39">
        <v>1</v>
      </c>
      <c r="I28" s="39"/>
      <c r="J28" s="29">
        <v>1</v>
      </c>
      <c r="K28" s="29">
        <f t="shared" si="12"/>
        <v>483.35999999999996</v>
      </c>
      <c r="L28" s="29">
        <v>480.36</v>
      </c>
      <c r="M28" s="29">
        <v>498.41</v>
      </c>
      <c r="N28" s="29">
        <v>471.31</v>
      </c>
      <c r="O28" s="29">
        <f t="shared" si="13"/>
        <v>0</v>
      </c>
      <c r="P28" s="35">
        <v>20</v>
      </c>
      <c r="Q28" s="21">
        <f t="shared" si="8"/>
        <v>966.71999999999991</v>
      </c>
      <c r="R28" s="25">
        <f t="shared" si="4"/>
        <v>0</v>
      </c>
      <c r="S28" s="25">
        <f t="shared" si="4"/>
        <v>0</v>
      </c>
      <c r="T28" s="25">
        <f t="shared" si="4"/>
        <v>0</v>
      </c>
      <c r="U28" s="31">
        <f t="shared" si="10"/>
        <v>483.35999999999996</v>
      </c>
      <c r="V28" s="31">
        <f t="shared" si="11"/>
        <v>483.35999999999996</v>
      </c>
      <c r="W28" s="25">
        <f t="shared" si="6"/>
        <v>0</v>
      </c>
      <c r="X28" s="115"/>
      <c r="Y28" s="115">
        <f t="shared" si="7"/>
        <v>0</v>
      </c>
    </row>
    <row r="29" spans="1:25" s="32" customFormat="1" ht="26" hidden="1" outlineLevel="3" x14ac:dyDescent="0.35">
      <c r="A29" s="37" t="s">
        <v>195</v>
      </c>
      <c r="B29" s="38" t="s">
        <v>175</v>
      </c>
      <c r="C29" s="29">
        <f t="shared" si="9"/>
        <v>0</v>
      </c>
      <c r="D29" s="39"/>
      <c r="E29" s="39">
        <v>1</v>
      </c>
      <c r="F29" s="39"/>
      <c r="G29" s="39">
        <v>1</v>
      </c>
      <c r="H29" s="39">
        <v>1</v>
      </c>
      <c r="I29" s="39"/>
      <c r="J29" s="29">
        <v>1</v>
      </c>
      <c r="K29" s="29">
        <f t="shared" si="12"/>
        <v>3829.6933333333332</v>
      </c>
      <c r="L29" s="29">
        <v>3964.28</v>
      </c>
      <c r="M29" s="29">
        <v>3670.63</v>
      </c>
      <c r="N29" s="29">
        <v>3854.17</v>
      </c>
      <c r="O29" s="29">
        <f t="shared" si="13"/>
        <v>0</v>
      </c>
      <c r="P29" s="35">
        <v>21</v>
      </c>
      <c r="Q29" s="21">
        <f t="shared" si="8"/>
        <v>7659.3866666666663</v>
      </c>
      <c r="R29" s="25">
        <f t="shared" si="4"/>
        <v>0</v>
      </c>
      <c r="S29" s="25">
        <f t="shared" si="4"/>
        <v>0</v>
      </c>
      <c r="T29" s="25">
        <f t="shared" si="4"/>
        <v>0</v>
      </c>
      <c r="U29" s="31">
        <f t="shared" si="10"/>
        <v>3829.6933333333332</v>
      </c>
      <c r="V29" s="31">
        <f t="shared" si="11"/>
        <v>3829.6933333333332</v>
      </c>
      <c r="W29" s="25">
        <f t="shared" si="6"/>
        <v>0</v>
      </c>
      <c r="X29" s="115"/>
      <c r="Y29" s="115">
        <f t="shared" si="7"/>
        <v>0</v>
      </c>
    </row>
    <row r="30" spans="1:25" s="32" customFormat="1" ht="26" hidden="1" outlineLevel="3" x14ac:dyDescent="0.35">
      <c r="A30" s="37" t="s">
        <v>196</v>
      </c>
      <c r="B30" s="38" t="s">
        <v>175</v>
      </c>
      <c r="C30" s="29">
        <f t="shared" si="9"/>
        <v>1.2003360941063496E-3</v>
      </c>
      <c r="D30" s="39"/>
      <c r="E30" s="39"/>
      <c r="F30" s="39"/>
      <c r="G30" s="39"/>
      <c r="H30" s="39"/>
      <c r="I30" s="39">
        <v>1</v>
      </c>
      <c r="J30" s="29">
        <v>1</v>
      </c>
      <c r="K30" s="29">
        <f t="shared" si="12"/>
        <v>8785.5866666666661</v>
      </c>
      <c r="L30" s="29">
        <v>8594.82</v>
      </c>
      <c r="M30" s="29">
        <v>8758.42</v>
      </c>
      <c r="N30" s="29">
        <v>9003.52</v>
      </c>
      <c r="O30" s="29">
        <f t="shared" si="13"/>
        <v>10.54565678389949</v>
      </c>
      <c r="P30" s="35">
        <v>22</v>
      </c>
      <c r="Q30" s="21">
        <f t="shared" si="8"/>
        <v>31345.910224462848</v>
      </c>
      <c r="R30" s="25">
        <f t="shared" si="4"/>
        <v>5032.3874172768365</v>
      </c>
      <c r="S30" s="25">
        <f t="shared" si="4"/>
        <v>7583.3817933021237</v>
      </c>
      <c r="T30" s="25">
        <f t="shared" si="4"/>
        <v>9944.5543472172194</v>
      </c>
      <c r="U30" s="31">
        <f t="shared" si="10"/>
        <v>0</v>
      </c>
      <c r="V30" s="31">
        <f t="shared" si="11"/>
        <v>0</v>
      </c>
      <c r="W30" s="25">
        <f t="shared" si="6"/>
        <v>8785.5866666666661</v>
      </c>
      <c r="X30" s="115"/>
      <c r="Y30" s="115">
        <f t="shared" si="7"/>
        <v>0</v>
      </c>
    </row>
    <row r="31" spans="1:25" s="32" customFormat="1" ht="26" hidden="1" outlineLevel="3" x14ac:dyDescent="0.35">
      <c r="A31" s="37" t="s">
        <v>197</v>
      </c>
      <c r="B31" s="38" t="s">
        <v>175</v>
      </c>
      <c r="C31" s="29">
        <f t="shared" si="9"/>
        <v>0</v>
      </c>
      <c r="D31" s="39"/>
      <c r="E31" s="39"/>
      <c r="F31" s="39"/>
      <c r="G31" s="39">
        <v>1</v>
      </c>
      <c r="H31" s="39">
        <v>1</v>
      </c>
      <c r="I31" s="39"/>
      <c r="J31" s="29">
        <v>1</v>
      </c>
      <c r="K31" s="29">
        <f t="shared" si="12"/>
        <v>2492.1033333333335</v>
      </c>
      <c r="L31" s="29">
        <v>2476.5300000000002</v>
      </c>
      <c r="M31" s="29">
        <v>2569.94</v>
      </c>
      <c r="N31" s="29">
        <v>2429.84</v>
      </c>
      <c r="O31" s="29">
        <f t="shared" si="13"/>
        <v>0</v>
      </c>
      <c r="P31" s="35">
        <v>23</v>
      </c>
      <c r="Q31" s="21">
        <f t="shared" si="8"/>
        <v>4984.2066666666669</v>
      </c>
      <c r="R31" s="25">
        <f t="shared" si="4"/>
        <v>0</v>
      </c>
      <c r="S31" s="25">
        <f t="shared" si="4"/>
        <v>0</v>
      </c>
      <c r="T31" s="25">
        <f t="shared" si="4"/>
        <v>0</v>
      </c>
      <c r="U31" s="31">
        <f t="shared" si="10"/>
        <v>2492.1033333333335</v>
      </c>
      <c r="V31" s="31">
        <f t="shared" si="11"/>
        <v>2492.1033333333335</v>
      </c>
      <c r="W31" s="25">
        <f t="shared" si="6"/>
        <v>0</v>
      </c>
      <c r="X31" s="115"/>
      <c r="Y31" s="115">
        <f t="shared" si="7"/>
        <v>0</v>
      </c>
    </row>
    <row r="32" spans="1:25" s="32" customFormat="1" ht="26" hidden="1" outlineLevel="3" x14ac:dyDescent="0.35">
      <c r="A32" s="37" t="s">
        <v>198</v>
      </c>
      <c r="B32" s="38" t="s">
        <v>175</v>
      </c>
      <c r="C32" s="29">
        <f t="shared" si="9"/>
        <v>0</v>
      </c>
      <c r="D32" s="39"/>
      <c r="E32" s="39"/>
      <c r="F32" s="39"/>
      <c r="G32" s="39">
        <v>1</v>
      </c>
      <c r="H32" s="39">
        <v>1</v>
      </c>
      <c r="I32" s="39"/>
      <c r="J32" s="29">
        <v>1</v>
      </c>
      <c r="K32" s="29">
        <f t="shared" si="12"/>
        <v>243.67999999999998</v>
      </c>
      <c r="L32" s="29">
        <v>242.16</v>
      </c>
      <c r="M32" s="29">
        <v>251.28</v>
      </c>
      <c r="N32" s="29">
        <v>237.6</v>
      </c>
      <c r="O32" s="29">
        <f t="shared" si="13"/>
        <v>0</v>
      </c>
      <c r="P32" s="35">
        <v>24</v>
      </c>
      <c r="Q32" s="21">
        <f t="shared" si="8"/>
        <v>487.35999999999996</v>
      </c>
      <c r="R32" s="25">
        <f t="shared" si="4"/>
        <v>0</v>
      </c>
      <c r="S32" s="25">
        <f t="shared" si="4"/>
        <v>0</v>
      </c>
      <c r="T32" s="25">
        <f t="shared" si="4"/>
        <v>0</v>
      </c>
      <c r="U32" s="31">
        <f t="shared" si="10"/>
        <v>243.67999999999998</v>
      </c>
      <c r="V32" s="31">
        <f t="shared" si="11"/>
        <v>243.67999999999998</v>
      </c>
      <c r="W32" s="25">
        <f t="shared" si="6"/>
        <v>0</v>
      </c>
      <c r="X32" s="115"/>
      <c r="Y32" s="115">
        <f t="shared" si="7"/>
        <v>0</v>
      </c>
    </row>
    <row r="33" spans="1:25" s="32" customFormat="1" ht="13" hidden="1" outlineLevel="3" x14ac:dyDescent="0.35">
      <c r="A33" s="37" t="s">
        <v>199</v>
      </c>
      <c r="B33" s="38" t="s">
        <v>175</v>
      </c>
      <c r="C33" s="29">
        <f t="shared" si="9"/>
        <v>0</v>
      </c>
      <c r="D33" s="39"/>
      <c r="E33" s="39">
        <v>1</v>
      </c>
      <c r="F33" s="39"/>
      <c r="G33" s="39"/>
      <c r="H33" s="39"/>
      <c r="I33" s="39"/>
      <c r="J33" s="29">
        <v>1</v>
      </c>
      <c r="K33" s="29">
        <f t="shared" si="12"/>
        <v>729.63</v>
      </c>
      <c r="L33" s="29">
        <v>755.27</v>
      </c>
      <c r="M33" s="29">
        <v>699.35</v>
      </c>
      <c r="N33" s="29">
        <v>734.27</v>
      </c>
      <c r="O33" s="29">
        <f t="shared" si="13"/>
        <v>0</v>
      </c>
      <c r="P33" s="35">
        <v>25</v>
      </c>
      <c r="Q33" s="21">
        <f t="shared" si="8"/>
        <v>0</v>
      </c>
      <c r="R33" s="25">
        <f t="shared" si="4"/>
        <v>0</v>
      </c>
      <c r="S33" s="25">
        <f t="shared" si="4"/>
        <v>0</v>
      </c>
      <c r="T33" s="25">
        <f t="shared" si="4"/>
        <v>0</v>
      </c>
      <c r="U33" s="31">
        <f t="shared" si="10"/>
        <v>0</v>
      </c>
      <c r="V33" s="31">
        <f t="shared" si="11"/>
        <v>0</v>
      </c>
      <c r="W33" s="25">
        <f t="shared" si="6"/>
        <v>0</v>
      </c>
      <c r="X33" s="115"/>
      <c r="Y33" s="115">
        <f t="shared" si="7"/>
        <v>0</v>
      </c>
    </row>
    <row r="34" spans="1:25" s="32" customFormat="1" ht="13" hidden="1" outlineLevel="3" x14ac:dyDescent="0.35">
      <c r="A34" s="37" t="s">
        <v>200</v>
      </c>
      <c r="B34" s="38" t="s">
        <v>175</v>
      </c>
      <c r="C34" s="29">
        <f t="shared" si="9"/>
        <v>0</v>
      </c>
      <c r="D34" s="39"/>
      <c r="E34" s="39"/>
      <c r="F34" s="39">
        <v>2</v>
      </c>
      <c r="G34" s="39"/>
      <c r="H34" s="39"/>
      <c r="I34" s="39"/>
      <c r="J34" s="29">
        <v>1</v>
      </c>
      <c r="K34" s="29">
        <f t="shared" si="12"/>
        <v>975.71333333333325</v>
      </c>
      <c r="L34" s="29">
        <v>950.4</v>
      </c>
      <c r="M34" s="29">
        <v>997.91</v>
      </c>
      <c r="N34" s="29">
        <v>978.83</v>
      </c>
      <c r="O34" s="29">
        <f t="shared" si="13"/>
        <v>0</v>
      </c>
      <c r="P34" s="35">
        <v>26</v>
      </c>
      <c r="Q34" s="21">
        <f t="shared" si="8"/>
        <v>0</v>
      </c>
      <c r="R34" s="25">
        <f t="shared" si="4"/>
        <v>0</v>
      </c>
      <c r="S34" s="25">
        <f t="shared" si="4"/>
        <v>0</v>
      </c>
      <c r="T34" s="25">
        <f t="shared" si="4"/>
        <v>0</v>
      </c>
      <c r="U34" s="31">
        <f t="shared" si="10"/>
        <v>0</v>
      </c>
      <c r="V34" s="31">
        <f t="shared" si="11"/>
        <v>0</v>
      </c>
      <c r="W34" s="25">
        <f t="shared" si="6"/>
        <v>0</v>
      </c>
      <c r="X34" s="115"/>
      <c r="Y34" s="115">
        <f t="shared" si="7"/>
        <v>0</v>
      </c>
    </row>
    <row r="35" spans="1:25" s="32" customFormat="1" ht="13" hidden="1" outlineLevel="3" x14ac:dyDescent="0.35">
      <c r="A35" s="37" t="s">
        <v>201</v>
      </c>
      <c r="B35" s="38" t="s">
        <v>175</v>
      </c>
      <c r="C35" s="29">
        <f t="shared" si="9"/>
        <v>0</v>
      </c>
      <c r="D35" s="39"/>
      <c r="E35" s="39"/>
      <c r="F35" s="39">
        <v>2</v>
      </c>
      <c r="G35" s="39"/>
      <c r="H35" s="39"/>
      <c r="I35" s="39"/>
      <c r="J35" s="29">
        <v>1</v>
      </c>
      <c r="K35" s="29">
        <f t="shared" si="12"/>
        <v>555.23333333333323</v>
      </c>
      <c r="L35" s="29">
        <v>608.35</v>
      </c>
      <c r="M35" s="29">
        <v>533.75</v>
      </c>
      <c r="N35" s="29">
        <v>523.6</v>
      </c>
      <c r="O35" s="29">
        <f t="shared" si="13"/>
        <v>0</v>
      </c>
      <c r="P35" s="35">
        <v>27</v>
      </c>
      <c r="Q35" s="21">
        <f t="shared" si="8"/>
        <v>0</v>
      </c>
      <c r="R35" s="25">
        <f t="shared" si="4"/>
        <v>0</v>
      </c>
      <c r="S35" s="25">
        <f t="shared" si="4"/>
        <v>0</v>
      </c>
      <c r="T35" s="25">
        <f t="shared" si="4"/>
        <v>0</v>
      </c>
      <c r="U35" s="31">
        <f t="shared" si="10"/>
        <v>0</v>
      </c>
      <c r="V35" s="31">
        <f t="shared" si="11"/>
        <v>0</v>
      </c>
      <c r="W35" s="25">
        <f t="shared" si="6"/>
        <v>0</v>
      </c>
      <c r="X35" s="115"/>
      <c r="Y35" s="115">
        <f t="shared" si="7"/>
        <v>0</v>
      </c>
    </row>
    <row r="36" spans="1:25" s="32" customFormat="1" ht="13" hidden="1" outlineLevel="3" x14ac:dyDescent="0.35">
      <c r="A36" s="37" t="s">
        <v>202</v>
      </c>
      <c r="B36" s="38" t="s">
        <v>175</v>
      </c>
      <c r="C36" s="29">
        <f t="shared" si="9"/>
        <v>0</v>
      </c>
      <c r="D36" s="39"/>
      <c r="E36" s="39"/>
      <c r="F36" s="39">
        <v>2</v>
      </c>
      <c r="G36" s="39"/>
      <c r="H36" s="39"/>
      <c r="I36" s="39"/>
      <c r="J36" s="29">
        <v>1</v>
      </c>
      <c r="K36" s="29">
        <f t="shared" si="12"/>
        <v>1560.5833333333333</v>
      </c>
      <c r="L36" s="29">
        <v>1520.05</v>
      </c>
      <c r="M36" s="29">
        <v>1596.04</v>
      </c>
      <c r="N36" s="29">
        <v>1565.66</v>
      </c>
      <c r="O36" s="29">
        <f t="shared" si="13"/>
        <v>0</v>
      </c>
      <c r="P36" s="35">
        <v>28</v>
      </c>
      <c r="Q36" s="21">
        <f t="shared" si="8"/>
        <v>0</v>
      </c>
      <c r="R36" s="25">
        <f t="shared" si="4"/>
        <v>0</v>
      </c>
      <c r="S36" s="25">
        <f t="shared" si="4"/>
        <v>0</v>
      </c>
      <c r="T36" s="25">
        <f t="shared" si="4"/>
        <v>0</v>
      </c>
      <c r="U36" s="31">
        <f t="shared" si="10"/>
        <v>0</v>
      </c>
      <c r="V36" s="31">
        <f t="shared" si="11"/>
        <v>0</v>
      </c>
      <c r="W36" s="25">
        <f t="shared" si="6"/>
        <v>0</v>
      </c>
      <c r="X36" s="115"/>
      <c r="Y36" s="115">
        <f t="shared" si="7"/>
        <v>0</v>
      </c>
    </row>
    <row r="37" spans="1:25" s="32" customFormat="1" ht="26" hidden="1" outlineLevel="3" x14ac:dyDescent="0.35">
      <c r="A37" s="37" t="s">
        <v>203</v>
      </c>
      <c r="B37" s="38" t="s">
        <v>175</v>
      </c>
      <c r="C37" s="29">
        <f t="shared" si="9"/>
        <v>0</v>
      </c>
      <c r="D37" s="39"/>
      <c r="E37" s="39"/>
      <c r="F37" s="39">
        <v>2</v>
      </c>
      <c r="G37" s="39"/>
      <c r="H37" s="39"/>
      <c r="I37" s="39"/>
      <c r="J37" s="29">
        <v>1</v>
      </c>
      <c r="K37" s="29">
        <f t="shared" si="12"/>
        <v>786.48666666666668</v>
      </c>
      <c r="L37" s="29">
        <v>766.05</v>
      </c>
      <c r="M37" s="29">
        <v>804.35</v>
      </c>
      <c r="N37" s="29">
        <v>789.06</v>
      </c>
      <c r="O37" s="29">
        <f t="shared" si="13"/>
        <v>0</v>
      </c>
      <c r="P37" s="35">
        <v>29</v>
      </c>
      <c r="Q37" s="21">
        <f t="shared" si="8"/>
        <v>0</v>
      </c>
      <c r="R37" s="25">
        <f t="shared" si="4"/>
        <v>0</v>
      </c>
      <c r="S37" s="25">
        <f t="shared" si="4"/>
        <v>0</v>
      </c>
      <c r="T37" s="25">
        <f t="shared" si="4"/>
        <v>0</v>
      </c>
      <c r="U37" s="31">
        <f t="shared" si="10"/>
        <v>0</v>
      </c>
      <c r="V37" s="31">
        <f t="shared" si="11"/>
        <v>0</v>
      </c>
      <c r="W37" s="25">
        <f t="shared" si="6"/>
        <v>0</v>
      </c>
      <c r="X37" s="115"/>
      <c r="Y37" s="115">
        <f t="shared" si="7"/>
        <v>0</v>
      </c>
    </row>
    <row r="38" spans="1:25" s="32" customFormat="1" ht="26" hidden="1" outlineLevel="3" x14ac:dyDescent="0.35">
      <c r="A38" s="37" t="s">
        <v>204</v>
      </c>
      <c r="B38" s="38" t="s">
        <v>175</v>
      </c>
      <c r="C38" s="29">
        <f t="shared" si="9"/>
        <v>0</v>
      </c>
      <c r="D38" s="39"/>
      <c r="E38" s="39"/>
      <c r="F38" s="39">
        <v>2</v>
      </c>
      <c r="G38" s="39"/>
      <c r="H38" s="39"/>
      <c r="I38" s="39"/>
      <c r="J38" s="29">
        <v>1</v>
      </c>
      <c r="K38" s="29">
        <f t="shared" si="12"/>
        <v>488.7833333333333</v>
      </c>
      <c r="L38" s="29">
        <v>476.1</v>
      </c>
      <c r="M38" s="29">
        <v>499.9</v>
      </c>
      <c r="N38" s="29">
        <v>490.35</v>
      </c>
      <c r="O38" s="29">
        <f t="shared" si="13"/>
        <v>0</v>
      </c>
      <c r="P38" s="35">
        <v>30</v>
      </c>
      <c r="Q38" s="21">
        <f t="shared" si="8"/>
        <v>0</v>
      </c>
      <c r="R38" s="25">
        <f t="shared" si="4"/>
        <v>0</v>
      </c>
      <c r="S38" s="25">
        <f t="shared" si="4"/>
        <v>0</v>
      </c>
      <c r="T38" s="25">
        <f t="shared" si="4"/>
        <v>0</v>
      </c>
      <c r="U38" s="31">
        <f t="shared" si="10"/>
        <v>0</v>
      </c>
      <c r="V38" s="31">
        <f t="shared" si="11"/>
        <v>0</v>
      </c>
      <c r="W38" s="25">
        <f t="shared" si="6"/>
        <v>0</v>
      </c>
      <c r="X38" s="115"/>
      <c r="Y38" s="115">
        <f t="shared" si="7"/>
        <v>0</v>
      </c>
    </row>
    <row r="39" spans="1:25" s="32" customFormat="1" ht="13" hidden="1" outlineLevel="3" x14ac:dyDescent="0.35">
      <c r="A39" s="37" t="s">
        <v>205</v>
      </c>
      <c r="B39" s="38" t="s">
        <v>175</v>
      </c>
      <c r="C39" s="29">
        <f t="shared" si="9"/>
        <v>0</v>
      </c>
      <c r="D39" s="39"/>
      <c r="E39" s="39"/>
      <c r="F39" s="39">
        <v>2</v>
      </c>
      <c r="G39" s="39"/>
      <c r="H39" s="39"/>
      <c r="I39" s="39"/>
      <c r="J39" s="29">
        <v>1</v>
      </c>
      <c r="K39" s="29">
        <f t="shared" si="12"/>
        <v>1488.61</v>
      </c>
      <c r="L39" s="29">
        <v>1450.01</v>
      </c>
      <c r="M39" s="29">
        <v>1522.47</v>
      </c>
      <c r="N39" s="29">
        <v>1493.35</v>
      </c>
      <c r="O39" s="29">
        <f t="shared" si="13"/>
        <v>0</v>
      </c>
      <c r="P39" s="35">
        <v>31</v>
      </c>
      <c r="Q39" s="21">
        <f t="shared" si="8"/>
        <v>0</v>
      </c>
      <c r="R39" s="25">
        <f t="shared" si="4"/>
        <v>0</v>
      </c>
      <c r="S39" s="25">
        <f t="shared" si="4"/>
        <v>0</v>
      </c>
      <c r="T39" s="25">
        <f t="shared" si="4"/>
        <v>0</v>
      </c>
      <c r="U39" s="31">
        <f t="shared" si="10"/>
        <v>0</v>
      </c>
      <c r="V39" s="31">
        <f t="shared" si="11"/>
        <v>0</v>
      </c>
      <c r="W39" s="25">
        <f t="shared" si="6"/>
        <v>0</v>
      </c>
      <c r="X39" s="115"/>
      <c r="Y39" s="115">
        <f t="shared" si="7"/>
        <v>0</v>
      </c>
    </row>
    <row r="40" spans="1:25" s="32" customFormat="1" ht="39" hidden="1" outlineLevel="3" x14ac:dyDescent="0.35">
      <c r="A40" s="37" t="s">
        <v>206</v>
      </c>
      <c r="B40" s="38" t="s">
        <v>175</v>
      </c>
      <c r="C40" s="29">
        <f t="shared" si="9"/>
        <v>0</v>
      </c>
      <c r="D40" s="39"/>
      <c r="E40" s="39"/>
      <c r="F40" s="39">
        <v>2</v>
      </c>
      <c r="G40" s="39"/>
      <c r="H40" s="39"/>
      <c r="I40" s="39"/>
      <c r="J40" s="29">
        <v>1</v>
      </c>
      <c r="K40" s="29">
        <f t="shared" si="12"/>
        <v>2156.1133333333332</v>
      </c>
      <c r="L40" s="29">
        <v>2100.1</v>
      </c>
      <c r="M40" s="29">
        <v>2205.11</v>
      </c>
      <c r="N40" s="29">
        <v>2163.13</v>
      </c>
      <c r="O40" s="29">
        <f t="shared" si="13"/>
        <v>0</v>
      </c>
      <c r="P40" s="35">
        <v>32</v>
      </c>
      <c r="Q40" s="21">
        <f t="shared" si="8"/>
        <v>0</v>
      </c>
      <c r="R40" s="25">
        <f t="shared" si="4"/>
        <v>0</v>
      </c>
      <c r="S40" s="25">
        <f t="shared" si="4"/>
        <v>0</v>
      </c>
      <c r="T40" s="25">
        <f t="shared" si="4"/>
        <v>0</v>
      </c>
      <c r="U40" s="31">
        <f t="shared" si="10"/>
        <v>0</v>
      </c>
      <c r="V40" s="31">
        <f t="shared" si="11"/>
        <v>0</v>
      </c>
      <c r="W40" s="25">
        <f t="shared" si="6"/>
        <v>0</v>
      </c>
      <c r="X40" s="115"/>
      <c r="Y40" s="115">
        <f t="shared" ref="Y40:Y62" si="14">Q40-R40-S40-T40-U40-V40-W40</f>
        <v>0</v>
      </c>
    </row>
    <row r="41" spans="1:25" s="32" customFormat="1" ht="26" hidden="1" outlineLevel="3" x14ac:dyDescent="0.35">
      <c r="A41" s="37" t="s">
        <v>207</v>
      </c>
      <c r="B41" s="38" t="s">
        <v>175</v>
      </c>
      <c r="C41" s="29">
        <f t="shared" si="9"/>
        <v>0</v>
      </c>
      <c r="D41" s="39"/>
      <c r="E41" s="39"/>
      <c r="F41" s="39"/>
      <c r="G41" s="39">
        <v>1</v>
      </c>
      <c r="H41" s="39">
        <v>1</v>
      </c>
      <c r="I41" s="39"/>
      <c r="J41" s="29">
        <v>1</v>
      </c>
      <c r="K41" s="29">
        <f t="shared" si="12"/>
        <v>1364.0166666666667</v>
      </c>
      <c r="L41" s="29">
        <v>1355.48</v>
      </c>
      <c r="M41" s="29">
        <v>1406.62</v>
      </c>
      <c r="N41" s="29">
        <v>1329.95</v>
      </c>
      <c r="O41" s="29">
        <f t="shared" si="13"/>
        <v>0</v>
      </c>
      <c r="P41" s="35">
        <v>33</v>
      </c>
      <c r="Q41" s="21">
        <f t="shared" si="8"/>
        <v>2728.0333333333333</v>
      </c>
      <c r="R41" s="25">
        <f t="shared" si="4"/>
        <v>0</v>
      </c>
      <c r="S41" s="25">
        <f t="shared" si="4"/>
        <v>0</v>
      </c>
      <c r="T41" s="25">
        <f t="shared" si="4"/>
        <v>0</v>
      </c>
      <c r="U41" s="31">
        <f t="shared" si="10"/>
        <v>1364.0166666666667</v>
      </c>
      <c r="V41" s="31">
        <f t="shared" si="11"/>
        <v>1364.0166666666667</v>
      </c>
      <c r="W41" s="25">
        <f t="shared" si="6"/>
        <v>0</v>
      </c>
      <c r="X41" s="115"/>
      <c r="Y41" s="115">
        <f t="shared" si="14"/>
        <v>0</v>
      </c>
    </row>
    <row r="42" spans="1:25" s="32" customFormat="1" ht="13" hidden="1" outlineLevel="3" x14ac:dyDescent="0.35">
      <c r="A42" s="37" t="s">
        <v>208</v>
      </c>
      <c r="B42" s="38" t="s">
        <v>175</v>
      </c>
      <c r="C42" s="29">
        <f t="shared" si="9"/>
        <v>0</v>
      </c>
      <c r="D42" s="39"/>
      <c r="E42" s="39"/>
      <c r="F42" s="39">
        <v>2</v>
      </c>
      <c r="G42" s="39"/>
      <c r="H42" s="39"/>
      <c r="I42" s="39"/>
      <c r="J42" s="29">
        <v>1</v>
      </c>
      <c r="K42" s="29">
        <f t="shared" si="12"/>
        <v>1301.9666666666667</v>
      </c>
      <c r="L42" s="29">
        <v>1268.1500000000001</v>
      </c>
      <c r="M42" s="29">
        <v>1331.54</v>
      </c>
      <c r="N42" s="29">
        <v>1306.21</v>
      </c>
      <c r="O42" s="29">
        <f t="shared" si="13"/>
        <v>0</v>
      </c>
      <c r="P42" s="35">
        <v>34</v>
      </c>
      <c r="Q42" s="21">
        <f t="shared" si="8"/>
        <v>0</v>
      </c>
      <c r="R42" s="25">
        <f t="shared" si="4"/>
        <v>0</v>
      </c>
      <c r="S42" s="25">
        <f t="shared" si="4"/>
        <v>0</v>
      </c>
      <c r="T42" s="25">
        <f t="shared" si="4"/>
        <v>0</v>
      </c>
      <c r="U42" s="31">
        <f t="shared" si="10"/>
        <v>0</v>
      </c>
      <c r="V42" s="31">
        <f t="shared" si="11"/>
        <v>0</v>
      </c>
      <c r="W42" s="25">
        <f t="shared" si="6"/>
        <v>0</v>
      </c>
      <c r="X42" s="115"/>
      <c r="Y42" s="115">
        <f t="shared" si="14"/>
        <v>0</v>
      </c>
    </row>
    <row r="43" spans="1:25" s="32" customFormat="1" ht="26" hidden="1" outlineLevel="3" x14ac:dyDescent="0.35">
      <c r="A43" s="37" t="s">
        <v>209</v>
      </c>
      <c r="B43" s="38" t="s">
        <v>175</v>
      </c>
      <c r="C43" s="29">
        <f t="shared" si="9"/>
        <v>0</v>
      </c>
      <c r="D43" s="39"/>
      <c r="E43" s="39"/>
      <c r="F43" s="39">
        <v>2</v>
      </c>
      <c r="G43" s="39"/>
      <c r="H43" s="39"/>
      <c r="I43" s="39"/>
      <c r="J43" s="29">
        <v>1</v>
      </c>
      <c r="K43" s="29">
        <f t="shared" si="12"/>
        <v>891.30333333333328</v>
      </c>
      <c r="L43" s="29">
        <v>868.15</v>
      </c>
      <c r="M43" s="29">
        <v>911.55</v>
      </c>
      <c r="N43" s="29">
        <v>894.21</v>
      </c>
      <c r="O43" s="29">
        <f t="shared" si="13"/>
        <v>0</v>
      </c>
      <c r="P43" s="35">
        <v>35</v>
      </c>
      <c r="Q43" s="21">
        <f t="shared" si="8"/>
        <v>0</v>
      </c>
      <c r="R43" s="25">
        <f t="shared" si="4"/>
        <v>0</v>
      </c>
      <c r="S43" s="25">
        <f t="shared" si="4"/>
        <v>0</v>
      </c>
      <c r="T43" s="25">
        <f t="shared" si="4"/>
        <v>0</v>
      </c>
      <c r="U43" s="31">
        <f t="shared" si="10"/>
        <v>0</v>
      </c>
      <c r="V43" s="31">
        <f t="shared" si="11"/>
        <v>0</v>
      </c>
      <c r="W43" s="25">
        <f t="shared" si="6"/>
        <v>0</v>
      </c>
      <c r="X43" s="115"/>
      <c r="Y43" s="115">
        <f t="shared" si="14"/>
        <v>0</v>
      </c>
    </row>
    <row r="44" spans="1:25" s="32" customFormat="1" ht="13" hidden="1" outlineLevel="3" x14ac:dyDescent="0.35">
      <c r="A44" s="37" t="s">
        <v>210</v>
      </c>
      <c r="B44" s="38" t="s">
        <v>175</v>
      </c>
      <c r="C44" s="29">
        <f t="shared" si="9"/>
        <v>1.2003360941063496E-3</v>
      </c>
      <c r="D44" s="39"/>
      <c r="E44" s="39"/>
      <c r="F44" s="39">
        <v>2</v>
      </c>
      <c r="G44" s="39"/>
      <c r="H44" s="39"/>
      <c r="I44" s="39">
        <v>1</v>
      </c>
      <c r="J44" s="29">
        <v>1</v>
      </c>
      <c r="K44" s="29">
        <f t="shared" si="12"/>
        <v>1569.04</v>
      </c>
      <c r="L44" s="29">
        <v>1528.24</v>
      </c>
      <c r="M44" s="29">
        <v>1604.67</v>
      </c>
      <c r="N44" s="29">
        <v>1574.21</v>
      </c>
      <c r="O44" s="29">
        <f t="shared" si="13"/>
        <v>1.8833753450966269</v>
      </c>
      <c r="P44" s="35">
        <v>36</v>
      </c>
      <c r="Q44" s="21">
        <f t="shared" si="8"/>
        <v>5598.1448757652142</v>
      </c>
      <c r="R44" s="25">
        <f t="shared" si="4"/>
        <v>898.74671468011036</v>
      </c>
      <c r="S44" s="25">
        <f t="shared" si="4"/>
        <v>1354.3352106589844</v>
      </c>
      <c r="T44" s="25">
        <f t="shared" si="4"/>
        <v>1776.0229504261192</v>
      </c>
      <c r="U44" s="31">
        <f t="shared" si="10"/>
        <v>0</v>
      </c>
      <c r="V44" s="31">
        <f t="shared" si="11"/>
        <v>0</v>
      </c>
      <c r="W44" s="25">
        <f t="shared" si="6"/>
        <v>1569.04</v>
      </c>
      <c r="X44" s="115"/>
      <c r="Y44" s="115">
        <f t="shared" si="14"/>
        <v>0</v>
      </c>
    </row>
    <row r="45" spans="1:25" s="32" customFormat="1" ht="26" hidden="1" outlineLevel="3" x14ac:dyDescent="0.35">
      <c r="A45" s="37" t="s">
        <v>211</v>
      </c>
      <c r="B45" s="38" t="s">
        <v>175</v>
      </c>
      <c r="C45" s="29">
        <f t="shared" si="9"/>
        <v>0</v>
      </c>
      <c r="D45" s="39"/>
      <c r="E45" s="39"/>
      <c r="F45" s="39">
        <v>2</v>
      </c>
      <c r="G45" s="39"/>
      <c r="H45" s="39"/>
      <c r="I45" s="39"/>
      <c r="J45" s="29">
        <v>1</v>
      </c>
      <c r="K45" s="29">
        <f t="shared" si="12"/>
        <v>1734.6766666666665</v>
      </c>
      <c r="L45" s="29">
        <v>1689.59</v>
      </c>
      <c r="M45" s="29">
        <v>1774.07</v>
      </c>
      <c r="N45" s="29">
        <v>1740.37</v>
      </c>
      <c r="O45" s="29">
        <f t="shared" si="13"/>
        <v>0</v>
      </c>
      <c r="P45" s="35">
        <v>37</v>
      </c>
      <c r="Q45" s="21">
        <f t="shared" si="8"/>
        <v>0</v>
      </c>
      <c r="R45" s="25">
        <f t="shared" si="4"/>
        <v>0</v>
      </c>
      <c r="S45" s="25">
        <f t="shared" si="4"/>
        <v>0</v>
      </c>
      <c r="T45" s="25">
        <f t="shared" si="4"/>
        <v>0</v>
      </c>
      <c r="U45" s="31">
        <f t="shared" si="10"/>
        <v>0</v>
      </c>
      <c r="V45" s="31">
        <f t="shared" si="11"/>
        <v>0</v>
      </c>
      <c r="W45" s="25">
        <f t="shared" si="6"/>
        <v>0</v>
      </c>
      <c r="X45" s="115"/>
      <c r="Y45" s="115">
        <f t="shared" si="14"/>
        <v>0</v>
      </c>
    </row>
    <row r="46" spans="1:25" s="32" customFormat="1" ht="13" hidden="1" outlineLevel="3" x14ac:dyDescent="0.35">
      <c r="A46" s="37" t="s">
        <v>212</v>
      </c>
      <c r="B46" s="38" t="s">
        <v>175</v>
      </c>
      <c r="C46" s="29">
        <f t="shared" si="9"/>
        <v>0</v>
      </c>
      <c r="D46" s="39"/>
      <c r="E46" s="39"/>
      <c r="F46" s="39">
        <v>2</v>
      </c>
      <c r="G46" s="39"/>
      <c r="H46" s="39"/>
      <c r="I46" s="39"/>
      <c r="J46" s="29">
        <v>1</v>
      </c>
      <c r="K46" s="29">
        <f t="shared" si="12"/>
        <v>2052.0733333333333</v>
      </c>
      <c r="L46" s="29">
        <v>1998.82</v>
      </c>
      <c r="M46" s="29">
        <v>2098.67</v>
      </c>
      <c r="N46" s="29">
        <v>2058.73</v>
      </c>
      <c r="O46" s="29">
        <f t="shared" si="13"/>
        <v>0</v>
      </c>
      <c r="P46" s="35">
        <v>38</v>
      </c>
      <c r="Q46" s="21">
        <f t="shared" si="8"/>
        <v>0</v>
      </c>
      <c r="R46" s="25">
        <f t="shared" si="4"/>
        <v>0</v>
      </c>
      <c r="S46" s="25">
        <f t="shared" si="4"/>
        <v>0</v>
      </c>
      <c r="T46" s="25">
        <f t="shared" si="4"/>
        <v>0</v>
      </c>
      <c r="U46" s="31">
        <f t="shared" si="10"/>
        <v>0</v>
      </c>
      <c r="V46" s="31">
        <f t="shared" si="11"/>
        <v>0</v>
      </c>
      <c r="W46" s="25">
        <f t="shared" si="6"/>
        <v>0</v>
      </c>
      <c r="X46" s="115"/>
      <c r="Y46" s="115">
        <f t="shared" si="14"/>
        <v>0</v>
      </c>
    </row>
    <row r="47" spans="1:25" s="32" customFormat="1" ht="26" hidden="1" outlineLevel="3" x14ac:dyDescent="0.35">
      <c r="A47" s="37" t="s">
        <v>213</v>
      </c>
      <c r="B47" s="38" t="s">
        <v>175</v>
      </c>
      <c r="C47" s="29">
        <f t="shared" si="9"/>
        <v>0</v>
      </c>
      <c r="D47" s="39"/>
      <c r="E47" s="39"/>
      <c r="F47" s="39">
        <v>2</v>
      </c>
      <c r="G47" s="39"/>
      <c r="H47" s="39"/>
      <c r="I47" s="39"/>
      <c r="J47" s="29">
        <v>1</v>
      </c>
      <c r="K47" s="29">
        <f t="shared" si="12"/>
        <v>690.03333333333342</v>
      </c>
      <c r="L47" s="29">
        <v>672.1</v>
      </c>
      <c r="M47" s="29">
        <v>705.7</v>
      </c>
      <c r="N47" s="29">
        <v>692.3</v>
      </c>
      <c r="O47" s="29">
        <f t="shared" si="13"/>
        <v>0</v>
      </c>
      <c r="P47" s="35">
        <v>39</v>
      </c>
      <c r="Q47" s="21">
        <f t="shared" si="8"/>
        <v>0</v>
      </c>
      <c r="R47" s="25">
        <f t="shared" si="4"/>
        <v>0</v>
      </c>
      <c r="S47" s="25">
        <f t="shared" si="4"/>
        <v>0</v>
      </c>
      <c r="T47" s="25">
        <f t="shared" si="4"/>
        <v>0</v>
      </c>
      <c r="U47" s="31">
        <f t="shared" si="10"/>
        <v>0</v>
      </c>
      <c r="V47" s="31">
        <f t="shared" si="11"/>
        <v>0</v>
      </c>
      <c r="W47" s="25">
        <f t="shared" si="6"/>
        <v>0</v>
      </c>
      <c r="X47" s="115"/>
      <c r="Y47" s="115">
        <f t="shared" si="14"/>
        <v>0</v>
      </c>
    </row>
    <row r="48" spans="1:25" s="32" customFormat="1" ht="13" hidden="1" outlineLevel="3" x14ac:dyDescent="0.35">
      <c r="A48" s="37" t="s">
        <v>214</v>
      </c>
      <c r="B48" s="38" t="s">
        <v>175</v>
      </c>
      <c r="C48" s="29">
        <f t="shared" si="9"/>
        <v>0</v>
      </c>
      <c r="D48" s="39"/>
      <c r="E48" s="39"/>
      <c r="F48" s="39">
        <v>2</v>
      </c>
      <c r="G48" s="39"/>
      <c r="H48" s="39"/>
      <c r="I48" s="39"/>
      <c r="J48" s="29">
        <v>1</v>
      </c>
      <c r="K48" s="29">
        <f t="shared" si="12"/>
        <v>1650.9000000000003</v>
      </c>
      <c r="L48" s="29">
        <v>1608</v>
      </c>
      <c r="M48" s="29">
        <v>1688.39</v>
      </c>
      <c r="N48" s="29">
        <v>1656.31</v>
      </c>
      <c r="O48" s="29">
        <f t="shared" si="13"/>
        <v>0</v>
      </c>
      <c r="P48" s="35">
        <v>40</v>
      </c>
      <c r="Q48" s="21">
        <f t="shared" si="8"/>
        <v>0</v>
      </c>
      <c r="R48" s="25">
        <f t="shared" si="4"/>
        <v>0</v>
      </c>
      <c r="S48" s="25">
        <f t="shared" si="4"/>
        <v>0</v>
      </c>
      <c r="T48" s="25">
        <f t="shared" si="4"/>
        <v>0</v>
      </c>
      <c r="U48" s="31">
        <f t="shared" si="10"/>
        <v>0</v>
      </c>
      <c r="V48" s="31">
        <f t="shared" si="11"/>
        <v>0</v>
      </c>
      <c r="W48" s="25">
        <f t="shared" si="6"/>
        <v>0</v>
      </c>
      <c r="X48" s="115"/>
      <c r="Y48" s="115">
        <f t="shared" si="14"/>
        <v>0</v>
      </c>
    </row>
    <row r="49" spans="1:25" s="32" customFormat="1" ht="26" hidden="1" outlineLevel="3" x14ac:dyDescent="0.35">
      <c r="A49" s="37" t="s">
        <v>215</v>
      </c>
      <c r="B49" s="38" t="s">
        <v>175</v>
      </c>
      <c r="C49" s="29">
        <f t="shared" si="9"/>
        <v>0</v>
      </c>
      <c r="D49" s="39"/>
      <c r="E49" s="39">
        <v>1</v>
      </c>
      <c r="F49" s="39"/>
      <c r="G49" s="39">
        <v>1</v>
      </c>
      <c r="H49" s="39">
        <v>1</v>
      </c>
      <c r="I49" s="39"/>
      <c r="J49" s="29">
        <v>1</v>
      </c>
      <c r="K49" s="29">
        <f t="shared" si="12"/>
        <v>1969.9599999999998</v>
      </c>
      <c r="L49" s="29">
        <v>2039.2</v>
      </c>
      <c r="M49" s="29">
        <v>1888.12</v>
      </c>
      <c r="N49" s="29">
        <v>1982.56</v>
      </c>
      <c r="O49" s="29">
        <f t="shared" si="13"/>
        <v>0</v>
      </c>
      <c r="P49" s="35">
        <v>41</v>
      </c>
      <c r="Q49" s="21">
        <f t="shared" si="8"/>
        <v>3939.9199999999996</v>
      </c>
      <c r="R49" s="25">
        <f t="shared" si="4"/>
        <v>0</v>
      </c>
      <c r="S49" s="25">
        <f t="shared" si="4"/>
        <v>0</v>
      </c>
      <c r="T49" s="25">
        <f t="shared" si="4"/>
        <v>0</v>
      </c>
      <c r="U49" s="31">
        <f t="shared" si="10"/>
        <v>1969.9599999999998</v>
      </c>
      <c r="V49" s="31">
        <f t="shared" si="11"/>
        <v>1969.9599999999998</v>
      </c>
      <c r="W49" s="25">
        <f t="shared" si="6"/>
        <v>0</v>
      </c>
      <c r="X49" s="115"/>
      <c r="Y49" s="115">
        <f t="shared" si="14"/>
        <v>0</v>
      </c>
    </row>
    <row r="50" spans="1:25" s="32" customFormat="1" ht="26" hidden="1" outlineLevel="3" x14ac:dyDescent="0.35">
      <c r="A50" s="37" t="s">
        <v>216</v>
      </c>
      <c r="B50" s="38" t="s">
        <v>175</v>
      </c>
      <c r="C50" s="29">
        <f t="shared" si="9"/>
        <v>0</v>
      </c>
      <c r="D50" s="39"/>
      <c r="E50" s="39">
        <v>1</v>
      </c>
      <c r="F50" s="39"/>
      <c r="G50" s="39"/>
      <c r="H50" s="39"/>
      <c r="I50" s="39"/>
      <c r="J50" s="29">
        <v>1</v>
      </c>
      <c r="K50" s="29">
        <f t="shared" si="12"/>
        <v>5537.1500000000005</v>
      </c>
      <c r="L50" s="29">
        <v>5731.75</v>
      </c>
      <c r="M50" s="29">
        <v>5307.17</v>
      </c>
      <c r="N50" s="29">
        <v>5572.53</v>
      </c>
      <c r="O50" s="29">
        <f t="shared" si="13"/>
        <v>0</v>
      </c>
      <c r="P50" s="35">
        <v>42</v>
      </c>
      <c r="Q50" s="21">
        <f t="shared" si="8"/>
        <v>0</v>
      </c>
      <c r="R50" s="25">
        <f t="shared" si="4"/>
        <v>0</v>
      </c>
      <c r="S50" s="25">
        <f t="shared" si="4"/>
        <v>0</v>
      </c>
      <c r="T50" s="25">
        <f t="shared" si="4"/>
        <v>0</v>
      </c>
      <c r="U50" s="31">
        <f t="shared" si="10"/>
        <v>0</v>
      </c>
      <c r="V50" s="31">
        <f t="shared" si="11"/>
        <v>0</v>
      </c>
      <c r="W50" s="25">
        <f t="shared" si="6"/>
        <v>0</v>
      </c>
      <c r="X50" s="115"/>
      <c r="Y50" s="115">
        <f t="shared" si="14"/>
        <v>0</v>
      </c>
    </row>
    <row r="51" spans="1:25" s="32" customFormat="1" ht="13" hidden="1" outlineLevel="3" x14ac:dyDescent="0.35">
      <c r="A51" s="37" t="s">
        <v>217</v>
      </c>
      <c r="B51" s="38" t="s">
        <v>175</v>
      </c>
      <c r="C51" s="29">
        <f t="shared" si="9"/>
        <v>0</v>
      </c>
      <c r="D51" s="39"/>
      <c r="E51" s="39">
        <v>1</v>
      </c>
      <c r="F51" s="39"/>
      <c r="G51" s="39"/>
      <c r="H51" s="39"/>
      <c r="I51" s="39"/>
      <c r="J51" s="29">
        <v>1</v>
      </c>
      <c r="K51" s="29">
        <f t="shared" si="12"/>
        <v>882.0100000000001</v>
      </c>
      <c r="L51" s="29">
        <v>913.01</v>
      </c>
      <c r="M51" s="29">
        <v>845.39</v>
      </c>
      <c r="N51" s="29">
        <v>887.63</v>
      </c>
      <c r="O51" s="29">
        <f t="shared" si="13"/>
        <v>0</v>
      </c>
      <c r="P51" s="35">
        <v>43</v>
      </c>
      <c r="Q51" s="21">
        <f t="shared" si="8"/>
        <v>0</v>
      </c>
      <c r="R51" s="25">
        <f t="shared" si="4"/>
        <v>0</v>
      </c>
      <c r="S51" s="25">
        <f t="shared" si="4"/>
        <v>0</v>
      </c>
      <c r="T51" s="25">
        <f t="shared" si="4"/>
        <v>0</v>
      </c>
      <c r="U51" s="31">
        <f t="shared" si="10"/>
        <v>0</v>
      </c>
      <c r="V51" s="31">
        <f t="shared" si="11"/>
        <v>0</v>
      </c>
      <c r="W51" s="25">
        <f t="shared" si="6"/>
        <v>0</v>
      </c>
      <c r="X51" s="115"/>
      <c r="Y51" s="115">
        <f t="shared" si="14"/>
        <v>0</v>
      </c>
    </row>
    <row r="52" spans="1:25" s="32" customFormat="1" ht="13" hidden="1" outlineLevel="3" x14ac:dyDescent="0.35">
      <c r="A52" s="37" t="s">
        <v>218</v>
      </c>
      <c r="B52" s="38" t="s">
        <v>175</v>
      </c>
      <c r="C52" s="29">
        <f t="shared" si="9"/>
        <v>0</v>
      </c>
      <c r="D52" s="39"/>
      <c r="E52" s="39">
        <v>1</v>
      </c>
      <c r="F52" s="39"/>
      <c r="G52" s="39"/>
      <c r="H52" s="39"/>
      <c r="I52" s="39"/>
      <c r="J52" s="29">
        <v>1</v>
      </c>
      <c r="K52" s="29">
        <f t="shared" si="12"/>
        <v>866.4</v>
      </c>
      <c r="L52" s="29">
        <v>896.84</v>
      </c>
      <c r="M52" s="29">
        <v>830.42</v>
      </c>
      <c r="N52" s="29">
        <v>871.94</v>
      </c>
      <c r="O52" s="29">
        <f t="shared" si="13"/>
        <v>0</v>
      </c>
      <c r="P52" s="35">
        <v>44</v>
      </c>
      <c r="Q52" s="21">
        <f t="shared" si="8"/>
        <v>0</v>
      </c>
      <c r="R52" s="25">
        <f t="shared" si="4"/>
        <v>0</v>
      </c>
      <c r="S52" s="25">
        <f t="shared" si="4"/>
        <v>0</v>
      </c>
      <c r="T52" s="25">
        <f t="shared" si="4"/>
        <v>0</v>
      </c>
      <c r="U52" s="31">
        <f t="shared" si="10"/>
        <v>0</v>
      </c>
      <c r="V52" s="31">
        <f t="shared" si="11"/>
        <v>0</v>
      </c>
      <c r="W52" s="25">
        <f t="shared" si="6"/>
        <v>0</v>
      </c>
      <c r="X52" s="115"/>
      <c r="Y52" s="115">
        <f t="shared" si="14"/>
        <v>0</v>
      </c>
    </row>
    <row r="53" spans="1:25" s="32" customFormat="1" ht="13" hidden="1" outlineLevel="3" x14ac:dyDescent="0.35">
      <c r="A53" s="37" t="s">
        <v>219</v>
      </c>
      <c r="B53" s="38" t="s">
        <v>175</v>
      </c>
      <c r="C53" s="29">
        <f t="shared" si="9"/>
        <v>0</v>
      </c>
      <c r="D53" s="39"/>
      <c r="E53" s="39">
        <v>1</v>
      </c>
      <c r="F53" s="39"/>
      <c r="G53" s="39"/>
      <c r="H53" s="39"/>
      <c r="I53" s="39"/>
      <c r="J53" s="29">
        <v>1</v>
      </c>
      <c r="K53" s="29">
        <f t="shared" si="12"/>
        <v>950.5100000000001</v>
      </c>
      <c r="L53" s="29">
        <v>983.93</v>
      </c>
      <c r="M53" s="29">
        <v>911.03</v>
      </c>
      <c r="N53" s="29">
        <v>956.57</v>
      </c>
      <c r="O53" s="29">
        <f t="shared" si="13"/>
        <v>0</v>
      </c>
      <c r="P53" s="35">
        <v>45</v>
      </c>
      <c r="Q53" s="21">
        <f t="shared" si="8"/>
        <v>0</v>
      </c>
      <c r="R53" s="25">
        <f t="shared" si="4"/>
        <v>0</v>
      </c>
      <c r="S53" s="25">
        <f t="shared" si="4"/>
        <v>0</v>
      </c>
      <c r="T53" s="25">
        <f t="shared" si="4"/>
        <v>0</v>
      </c>
      <c r="U53" s="31">
        <f t="shared" si="10"/>
        <v>0</v>
      </c>
      <c r="V53" s="31">
        <f t="shared" si="11"/>
        <v>0</v>
      </c>
      <c r="W53" s="25">
        <f t="shared" si="6"/>
        <v>0</v>
      </c>
      <c r="X53" s="115"/>
      <c r="Y53" s="115">
        <f t="shared" si="14"/>
        <v>0</v>
      </c>
    </row>
    <row r="54" spans="1:25" s="32" customFormat="1" ht="13" hidden="1" outlineLevel="3" x14ac:dyDescent="0.35">
      <c r="A54" s="37" t="s">
        <v>220</v>
      </c>
      <c r="B54" s="38" t="s">
        <v>175</v>
      </c>
      <c r="C54" s="29">
        <f t="shared" si="9"/>
        <v>0</v>
      </c>
      <c r="D54" s="39"/>
      <c r="E54" s="39">
        <v>1</v>
      </c>
      <c r="F54" s="39">
        <v>2</v>
      </c>
      <c r="G54" s="39"/>
      <c r="H54" s="39"/>
      <c r="I54" s="39"/>
      <c r="J54" s="29">
        <v>1</v>
      </c>
      <c r="K54" s="29">
        <f t="shared" si="12"/>
        <v>436.38333333333338</v>
      </c>
      <c r="L54" s="29">
        <v>425.05</v>
      </c>
      <c r="M54" s="29">
        <v>446.3</v>
      </c>
      <c r="N54" s="29">
        <v>437.8</v>
      </c>
      <c r="O54" s="29">
        <f t="shared" si="13"/>
        <v>0</v>
      </c>
      <c r="P54" s="35">
        <v>46</v>
      </c>
      <c r="Q54" s="21">
        <f t="shared" si="8"/>
        <v>0</v>
      </c>
      <c r="R54" s="25">
        <f t="shared" si="4"/>
        <v>0</v>
      </c>
      <c r="S54" s="25">
        <f t="shared" si="4"/>
        <v>0</v>
      </c>
      <c r="T54" s="25">
        <f t="shared" si="4"/>
        <v>0</v>
      </c>
      <c r="U54" s="31">
        <f t="shared" si="10"/>
        <v>0</v>
      </c>
      <c r="V54" s="31">
        <f t="shared" si="11"/>
        <v>0</v>
      </c>
      <c r="W54" s="25">
        <f t="shared" si="6"/>
        <v>0</v>
      </c>
      <c r="X54" s="115"/>
      <c r="Y54" s="115">
        <f t="shared" si="14"/>
        <v>0</v>
      </c>
    </row>
    <row r="55" spans="1:25" s="32" customFormat="1" ht="13" hidden="1" outlineLevel="3" x14ac:dyDescent="0.35">
      <c r="A55" s="37" t="s">
        <v>484</v>
      </c>
      <c r="B55" s="38" t="s">
        <v>175</v>
      </c>
      <c r="C55" s="29">
        <f t="shared" si="9"/>
        <v>0</v>
      </c>
      <c r="D55" s="39"/>
      <c r="E55" s="39">
        <v>1</v>
      </c>
      <c r="F55" s="39"/>
      <c r="G55" s="39">
        <v>1</v>
      </c>
      <c r="H55" s="39">
        <v>1</v>
      </c>
      <c r="I55" s="39"/>
      <c r="J55" s="29">
        <v>1</v>
      </c>
      <c r="K55" s="29">
        <f t="shared" si="12"/>
        <v>238.34</v>
      </c>
      <c r="L55" s="29">
        <v>246.72</v>
      </c>
      <c r="M55" s="29">
        <v>228.42</v>
      </c>
      <c r="N55" s="29">
        <v>239.88</v>
      </c>
      <c r="O55" s="29">
        <f t="shared" si="13"/>
        <v>0</v>
      </c>
      <c r="P55" s="35">
        <v>47</v>
      </c>
      <c r="Q55" s="21">
        <f t="shared" si="8"/>
        <v>476.68</v>
      </c>
      <c r="R55" s="25">
        <f t="shared" si="4"/>
        <v>0</v>
      </c>
      <c r="S55" s="25">
        <f t="shared" si="4"/>
        <v>0</v>
      </c>
      <c r="T55" s="25">
        <f t="shared" si="4"/>
        <v>0</v>
      </c>
      <c r="U55" s="31">
        <f t="shared" si="10"/>
        <v>238.34</v>
      </c>
      <c r="V55" s="31">
        <f t="shared" si="11"/>
        <v>238.34</v>
      </c>
      <c r="W55" s="25">
        <f t="shared" si="6"/>
        <v>0</v>
      </c>
      <c r="X55" s="115"/>
      <c r="Y55" s="115">
        <f t="shared" si="14"/>
        <v>0</v>
      </c>
    </row>
    <row r="56" spans="1:25" s="32" customFormat="1" ht="13" hidden="1" outlineLevel="3" x14ac:dyDescent="0.35">
      <c r="A56" s="37" t="s">
        <v>222</v>
      </c>
      <c r="B56" s="38" t="s">
        <v>175</v>
      </c>
      <c r="C56" s="29">
        <f t="shared" si="9"/>
        <v>0</v>
      </c>
      <c r="D56" s="39"/>
      <c r="E56" s="39"/>
      <c r="F56" s="39"/>
      <c r="G56" s="39">
        <v>1</v>
      </c>
      <c r="H56" s="39">
        <v>1</v>
      </c>
      <c r="I56" s="39"/>
      <c r="J56" s="29">
        <v>1</v>
      </c>
      <c r="K56" s="29">
        <f t="shared" si="12"/>
        <v>1476.32</v>
      </c>
      <c r="L56" s="29">
        <v>1467.1</v>
      </c>
      <c r="M56" s="29">
        <v>1522.43</v>
      </c>
      <c r="N56" s="29">
        <v>1439.43</v>
      </c>
      <c r="O56" s="29">
        <f t="shared" si="13"/>
        <v>0</v>
      </c>
      <c r="P56" s="35">
        <v>48</v>
      </c>
      <c r="Q56" s="21">
        <f t="shared" si="8"/>
        <v>2952.64</v>
      </c>
      <c r="R56" s="25">
        <f t="shared" si="4"/>
        <v>0</v>
      </c>
      <c r="S56" s="25">
        <f t="shared" si="4"/>
        <v>0</v>
      </c>
      <c r="T56" s="25">
        <f t="shared" si="4"/>
        <v>0</v>
      </c>
      <c r="U56" s="31">
        <f t="shared" si="10"/>
        <v>1476.32</v>
      </c>
      <c r="V56" s="31">
        <f t="shared" si="11"/>
        <v>1476.32</v>
      </c>
      <c r="W56" s="25">
        <f t="shared" si="6"/>
        <v>0</v>
      </c>
      <c r="X56" s="115"/>
      <c r="Y56" s="115">
        <f t="shared" si="14"/>
        <v>0</v>
      </c>
    </row>
    <row r="57" spans="1:25" s="32" customFormat="1" ht="13" hidden="1" outlineLevel="3" x14ac:dyDescent="0.35">
      <c r="A57" s="37" t="s">
        <v>223</v>
      </c>
      <c r="B57" s="38" t="s">
        <v>175</v>
      </c>
      <c r="C57" s="29">
        <f t="shared" si="9"/>
        <v>0</v>
      </c>
      <c r="D57" s="39">
        <v>2</v>
      </c>
      <c r="E57" s="39">
        <v>1</v>
      </c>
      <c r="F57" s="39"/>
      <c r="G57" s="39"/>
      <c r="H57" s="39"/>
      <c r="I57" s="39"/>
      <c r="J57" s="29">
        <v>1</v>
      </c>
      <c r="K57" s="29">
        <f t="shared" si="12"/>
        <v>806.31666666666661</v>
      </c>
      <c r="L57" s="29">
        <v>834.69</v>
      </c>
      <c r="M57" s="29">
        <v>772.85</v>
      </c>
      <c r="N57" s="29">
        <v>811.41</v>
      </c>
      <c r="O57" s="29">
        <f t="shared" si="13"/>
        <v>0</v>
      </c>
      <c r="P57" s="35">
        <v>49</v>
      </c>
      <c r="Q57" s="21">
        <f t="shared" si="8"/>
        <v>0</v>
      </c>
      <c r="R57" s="25">
        <f t="shared" si="4"/>
        <v>0</v>
      </c>
      <c r="S57" s="25">
        <f t="shared" si="4"/>
        <v>0</v>
      </c>
      <c r="T57" s="25">
        <f t="shared" si="4"/>
        <v>0</v>
      </c>
      <c r="U57" s="31">
        <f t="shared" si="10"/>
        <v>0</v>
      </c>
      <c r="V57" s="31">
        <f t="shared" si="11"/>
        <v>0</v>
      </c>
      <c r="W57" s="25">
        <f t="shared" si="6"/>
        <v>0</v>
      </c>
      <c r="X57" s="115"/>
      <c r="Y57" s="115">
        <f t="shared" si="14"/>
        <v>0</v>
      </c>
    </row>
    <row r="58" spans="1:25" s="32" customFormat="1" ht="13" hidden="1" outlineLevel="3" x14ac:dyDescent="0.35">
      <c r="A58" s="37" t="s">
        <v>224</v>
      </c>
      <c r="B58" s="38" t="s">
        <v>175</v>
      </c>
      <c r="C58" s="29">
        <f t="shared" si="9"/>
        <v>0</v>
      </c>
      <c r="D58" s="39"/>
      <c r="E58" s="39"/>
      <c r="F58" s="39"/>
      <c r="G58" s="39">
        <v>1</v>
      </c>
      <c r="H58" s="39">
        <v>1</v>
      </c>
      <c r="I58" s="39"/>
      <c r="J58" s="29">
        <v>1</v>
      </c>
      <c r="K58" s="29">
        <f t="shared" si="12"/>
        <v>901.74333333333334</v>
      </c>
      <c r="L58" s="29">
        <v>896.1</v>
      </c>
      <c r="M58" s="29">
        <v>929.93</v>
      </c>
      <c r="N58" s="29">
        <v>879.2</v>
      </c>
      <c r="O58" s="29">
        <f t="shared" si="13"/>
        <v>0</v>
      </c>
      <c r="P58" s="35">
        <v>50</v>
      </c>
      <c r="Q58" s="21">
        <f t="shared" si="8"/>
        <v>1803.4866666666667</v>
      </c>
      <c r="R58" s="25">
        <f t="shared" si="4"/>
        <v>0</v>
      </c>
      <c r="S58" s="25">
        <f t="shared" si="4"/>
        <v>0</v>
      </c>
      <c r="T58" s="25">
        <f t="shared" si="4"/>
        <v>0</v>
      </c>
      <c r="U58" s="31">
        <f t="shared" si="10"/>
        <v>901.74333333333334</v>
      </c>
      <c r="V58" s="31">
        <f t="shared" si="11"/>
        <v>901.74333333333334</v>
      </c>
      <c r="W58" s="25">
        <f t="shared" si="6"/>
        <v>0</v>
      </c>
      <c r="X58" s="115"/>
      <c r="Y58" s="115">
        <f t="shared" si="14"/>
        <v>0</v>
      </c>
    </row>
    <row r="59" spans="1:25" s="32" customFormat="1" ht="12" hidden="1" customHeight="1" outlineLevel="2" collapsed="1" x14ac:dyDescent="0.35">
      <c r="A59" s="33" t="s">
        <v>478</v>
      </c>
      <c r="B59" s="34" t="s">
        <v>3</v>
      </c>
      <c r="C59" s="34" t="s">
        <v>3</v>
      </c>
      <c r="D59" s="34" t="s">
        <v>3</v>
      </c>
      <c r="E59" s="34" t="s">
        <v>3</v>
      </c>
      <c r="F59" s="34" t="s">
        <v>3</v>
      </c>
      <c r="G59" s="34" t="s">
        <v>3</v>
      </c>
      <c r="H59" s="34" t="s">
        <v>3</v>
      </c>
      <c r="I59" s="34" t="s">
        <v>3</v>
      </c>
      <c r="J59" s="34" t="s">
        <v>3</v>
      </c>
      <c r="K59" s="34" t="s">
        <v>3</v>
      </c>
      <c r="L59" s="34"/>
      <c r="M59" s="34"/>
      <c r="N59" s="34"/>
      <c r="O59" s="29">
        <f>SUM(O60:O76)</f>
        <v>0</v>
      </c>
      <c r="P59" s="34" t="s">
        <v>3</v>
      </c>
      <c r="Q59" s="21">
        <f t="shared" si="8"/>
        <v>0</v>
      </c>
      <c r="R59" s="25">
        <f t="shared" si="4"/>
        <v>0</v>
      </c>
      <c r="S59" s="25">
        <f t="shared" si="4"/>
        <v>0</v>
      </c>
      <c r="T59" s="25">
        <f t="shared" si="4"/>
        <v>0</v>
      </c>
      <c r="U59" s="31">
        <f>SUM(U60:U76)</f>
        <v>0</v>
      </c>
      <c r="V59" s="31">
        <f>SUM(V60:V76)</f>
        <v>0</v>
      </c>
      <c r="W59" s="25">
        <f t="shared" si="6"/>
        <v>0</v>
      </c>
      <c r="X59" s="115"/>
      <c r="Y59" s="115">
        <f t="shared" si="14"/>
        <v>0</v>
      </c>
    </row>
    <row r="60" spans="1:25" s="32" customFormat="1" ht="24.75" hidden="1" customHeight="1" outlineLevel="3" x14ac:dyDescent="0.35">
      <c r="A60" s="26" t="s">
        <v>63</v>
      </c>
      <c r="B60" s="27" t="s">
        <v>10</v>
      </c>
      <c r="C60" s="29"/>
      <c r="D60" s="29"/>
      <c r="E60" s="29"/>
      <c r="F60" s="29"/>
      <c r="G60" s="29"/>
      <c r="H60" s="29"/>
      <c r="I60" s="29"/>
      <c r="J60" s="29">
        <v>5</v>
      </c>
      <c r="K60" s="29">
        <f>AVERAGE(L60:N60)</f>
        <v>6845</v>
      </c>
      <c r="L60" s="29">
        <v>6800</v>
      </c>
      <c r="M60" s="29">
        <v>8230</v>
      </c>
      <c r="N60" s="29">
        <v>5505</v>
      </c>
      <c r="O60" s="29">
        <f>C60/$J60*$K60</f>
        <v>0</v>
      </c>
      <c r="P60" s="35">
        <v>51</v>
      </c>
      <c r="Q60" s="21">
        <f t="shared" si="8"/>
        <v>0</v>
      </c>
      <c r="R60" s="25">
        <f t="shared" si="4"/>
        <v>0</v>
      </c>
      <c r="S60" s="25">
        <f t="shared" si="4"/>
        <v>0</v>
      </c>
      <c r="T60" s="25">
        <f t="shared" si="4"/>
        <v>0</v>
      </c>
      <c r="U60" s="31">
        <f t="shared" ref="U60:U78" si="15">G60*$K60/$J60</f>
        <v>0</v>
      </c>
      <c r="V60" s="31">
        <f t="shared" ref="V60:V78" si="16">H60*$K60/$J60</f>
        <v>0</v>
      </c>
      <c r="W60" s="25">
        <f t="shared" si="6"/>
        <v>0</v>
      </c>
      <c r="X60" s="115"/>
      <c r="Y60" s="115">
        <f t="shared" si="14"/>
        <v>0</v>
      </c>
    </row>
    <row r="61" spans="1:25" s="32" customFormat="1" ht="24.75" hidden="1" customHeight="1" outlineLevel="3" x14ac:dyDescent="0.35">
      <c r="A61" s="26" t="s">
        <v>353</v>
      </c>
      <c r="B61" s="27" t="s">
        <v>10</v>
      </c>
      <c r="C61" s="29"/>
      <c r="D61" s="29"/>
      <c r="E61" s="29"/>
      <c r="F61" s="29"/>
      <c r="G61" s="29"/>
      <c r="H61" s="29"/>
      <c r="I61" s="29"/>
      <c r="J61" s="29">
        <v>5</v>
      </c>
      <c r="K61" s="29">
        <f>AVERAGE(L61:N61)</f>
        <v>4120</v>
      </c>
      <c r="L61" s="29">
        <v>3710</v>
      </c>
      <c r="M61" s="29">
        <v>4150</v>
      </c>
      <c r="N61" s="29">
        <v>4500</v>
      </c>
      <c r="O61" s="29">
        <f>C61/$J61*$K61</f>
        <v>0</v>
      </c>
      <c r="P61" s="35">
        <v>52</v>
      </c>
      <c r="Q61" s="21">
        <f t="shared" si="8"/>
        <v>0</v>
      </c>
      <c r="R61" s="25">
        <f t="shared" si="4"/>
        <v>0</v>
      </c>
      <c r="S61" s="25">
        <f t="shared" si="4"/>
        <v>0</v>
      </c>
      <c r="T61" s="25">
        <f t="shared" si="4"/>
        <v>0</v>
      </c>
      <c r="U61" s="31">
        <f t="shared" si="15"/>
        <v>0</v>
      </c>
      <c r="V61" s="31">
        <f t="shared" si="16"/>
        <v>0</v>
      </c>
      <c r="W61" s="25">
        <f t="shared" si="6"/>
        <v>0</v>
      </c>
      <c r="X61" s="115"/>
      <c r="Y61" s="115">
        <f t="shared" si="14"/>
        <v>0</v>
      </c>
    </row>
    <row r="62" spans="1:25" s="32" customFormat="1" ht="24.75" hidden="1" customHeight="1" outlineLevel="3" x14ac:dyDescent="0.35">
      <c r="A62" s="26" t="s">
        <v>354</v>
      </c>
      <c r="B62" s="27" t="s">
        <v>10</v>
      </c>
      <c r="C62" s="29"/>
      <c r="D62" s="29"/>
      <c r="E62" s="29"/>
      <c r="F62" s="29"/>
      <c r="G62" s="29"/>
      <c r="H62" s="29"/>
      <c r="I62" s="29"/>
      <c r="J62" s="29">
        <v>5</v>
      </c>
      <c r="K62" s="29">
        <f t="shared" ref="K62:K77" si="17">AVERAGE(L62:N62)</f>
        <v>1274.6666666666667</v>
      </c>
      <c r="L62" s="29">
        <v>1350</v>
      </c>
      <c r="M62" s="29">
        <v>1176</v>
      </c>
      <c r="N62" s="29">
        <v>1298</v>
      </c>
      <c r="O62" s="29">
        <f>C62/$J62*$K62</f>
        <v>0</v>
      </c>
      <c r="P62" s="35">
        <v>53</v>
      </c>
      <c r="Q62" s="21">
        <f t="shared" si="8"/>
        <v>0</v>
      </c>
      <c r="R62" s="25">
        <f t="shared" si="4"/>
        <v>0</v>
      </c>
      <c r="S62" s="25">
        <f t="shared" si="4"/>
        <v>0</v>
      </c>
      <c r="T62" s="25">
        <f t="shared" si="4"/>
        <v>0</v>
      </c>
      <c r="U62" s="31">
        <f t="shared" si="15"/>
        <v>0</v>
      </c>
      <c r="V62" s="31">
        <f t="shared" si="16"/>
        <v>0</v>
      </c>
      <c r="W62" s="25">
        <f t="shared" si="6"/>
        <v>0</v>
      </c>
      <c r="X62" s="115"/>
      <c r="Y62" s="115">
        <f t="shared" si="14"/>
        <v>0</v>
      </c>
    </row>
    <row r="63" spans="1:25" s="32" customFormat="1" ht="24.75" hidden="1" customHeight="1" outlineLevel="3" x14ac:dyDescent="0.35">
      <c r="A63" s="26" t="s">
        <v>134</v>
      </c>
      <c r="B63" s="27" t="s">
        <v>10</v>
      </c>
      <c r="C63" s="29"/>
      <c r="D63" s="29"/>
      <c r="E63" s="29"/>
      <c r="F63" s="29"/>
      <c r="G63" s="29"/>
      <c r="H63" s="29"/>
      <c r="I63" s="29"/>
      <c r="J63" s="29">
        <v>5</v>
      </c>
      <c r="K63" s="29">
        <f t="shared" si="17"/>
        <v>8696.6666666666661</v>
      </c>
      <c r="L63" s="29">
        <v>8500</v>
      </c>
      <c r="M63" s="29">
        <v>8690</v>
      </c>
      <c r="N63" s="29">
        <v>8900</v>
      </c>
      <c r="O63" s="29">
        <f t="shared" ref="O63:O78" si="18">C63/$J63*$K63</f>
        <v>0</v>
      </c>
      <c r="P63" s="35">
        <v>54</v>
      </c>
      <c r="Q63" s="21">
        <f t="shared" si="8"/>
        <v>0</v>
      </c>
      <c r="R63" s="25">
        <f t="shared" si="4"/>
        <v>0</v>
      </c>
      <c r="S63" s="25">
        <f t="shared" si="4"/>
        <v>0</v>
      </c>
      <c r="T63" s="25">
        <f t="shared" si="4"/>
        <v>0</v>
      </c>
      <c r="U63" s="31">
        <f t="shared" si="15"/>
        <v>0</v>
      </c>
      <c r="V63" s="31">
        <f t="shared" si="16"/>
        <v>0</v>
      </c>
      <c r="W63" s="25">
        <f t="shared" si="6"/>
        <v>0</v>
      </c>
      <c r="X63" s="115"/>
      <c r="Y63" s="115">
        <f t="shared" ref="Y63:Y126" si="19">Q63-R63-S63-T63-U63-V63-W63</f>
        <v>0</v>
      </c>
    </row>
    <row r="64" spans="1:25" s="32" customFormat="1" ht="24.75" hidden="1" customHeight="1" outlineLevel="3" x14ac:dyDescent="0.35">
      <c r="A64" s="26" t="s">
        <v>259</v>
      </c>
      <c r="B64" s="27" t="s">
        <v>10</v>
      </c>
      <c r="C64" s="29"/>
      <c r="D64" s="29"/>
      <c r="E64" s="29"/>
      <c r="F64" s="29"/>
      <c r="G64" s="29"/>
      <c r="H64" s="29"/>
      <c r="I64" s="29"/>
      <c r="J64" s="29">
        <v>5</v>
      </c>
      <c r="K64" s="29">
        <f t="shared" si="17"/>
        <v>3510.16</v>
      </c>
      <c r="L64" s="29">
        <v>2638.48</v>
      </c>
      <c r="M64" s="29">
        <v>3650</v>
      </c>
      <c r="N64" s="29">
        <v>4242</v>
      </c>
      <c r="O64" s="29">
        <f t="shared" si="18"/>
        <v>0</v>
      </c>
      <c r="P64" s="35">
        <v>55</v>
      </c>
      <c r="Q64" s="21">
        <f t="shared" si="8"/>
        <v>0</v>
      </c>
      <c r="R64" s="25">
        <f t="shared" si="4"/>
        <v>0</v>
      </c>
      <c r="S64" s="25">
        <f t="shared" si="4"/>
        <v>0</v>
      </c>
      <c r="T64" s="25">
        <f t="shared" si="4"/>
        <v>0</v>
      </c>
      <c r="U64" s="31">
        <f t="shared" si="15"/>
        <v>0</v>
      </c>
      <c r="V64" s="31">
        <f t="shared" si="16"/>
        <v>0</v>
      </c>
      <c r="W64" s="25">
        <f t="shared" si="6"/>
        <v>0</v>
      </c>
      <c r="X64" s="115"/>
      <c r="Y64" s="115">
        <f t="shared" si="19"/>
        <v>0</v>
      </c>
    </row>
    <row r="65" spans="1:25" s="32" customFormat="1" ht="24.75" hidden="1" customHeight="1" outlineLevel="3" x14ac:dyDescent="0.35">
      <c r="A65" s="26" t="s">
        <v>357</v>
      </c>
      <c r="B65" s="27" t="s">
        <v>10</v>
      </c>
      <c r="C65" s="29"/>
      <c r="D65" s="29"/>
      <c r="E65" s="29"/>
      <c r="F65" s="29"/>
      <c r="G65" s="29"/>
      <c r="H65" s="29"/>
      <c r="I65" s="29"/>
      <c r="J65" s="29">
        <v>5</v>
      </c>
      <c r="K65" s="29">
        <f t="shared" si="17"/>
        <v>9230</v>
      </c>
      <c r="L65" s="29">
        <v>9100</v>
      </c>
      <c r="M65" s="29">
        <v>9290</v>
      </c>
      <c r="N65" s="29">
        <v>9300</v>
      </c>
      <c r="O65" s="29">
        <f t="shared" si="18"/>
        <v>0</v>
      </c>
      <c r="P65" s="35">
        <v>56</v>
      </c>
      <c r="Q65" s="21">
        <f t="shared" si="8"/>
        <v>0</v>
      </c>
      <c r="R65" s="25">
        <f t="shared" si="4"/>
        <v>0</v>
      </c>
      <c r="S65" s="25">
        <f t="shared" si="4"/>
        <v>0</v>
      </c>
      <c r="T65" s="25">
        <f t="shared" si="4"/>
        <v>0</v>
      </c>
      <c r="U65" s="31">
        <f t="shared" si="15"/>
        <v>0</v>
      </c>
      <c r="V65" s="31">
        <f t="shared" si="16"/>
        <v>0</v>
      </c>
      <c r="W65" s="25">
        <f t="shared" si="6"/>
        <v>0</v>
      </c>
      <c r="X65" s="115"/>
      <c r="Y65" s="115">
        <f t="shared" si="19"/>
        <v>0</v>
      </c>
    </row>
    <row r="66" spans="1:25" s="32" customFormat="1" ht="24.75" hidden="1" customHeight="1" outlineLevel="3" x14ac:dyDescent="0.35">
      <c r="A66" s="26" t="s">
        <v>358</v>
      </c>
      <c r="B66" s="27" t="s">
        <v>10</v>
      </c>
      <c r="C66" s="29"/>
      <c r="D66" s="29"/>
      <c r="E66" s="29"/>
      <c r="F66" s="29"/>
      <c r="G66" s="29"/>
      <c r="H66" s="29"/>
      <c r="I66" s="29"/>
      <c r="J66" s="29">
        <v>5</v>
      </c>
      <c r="K66" s="29">
        <f t="shared" si="17"/>
        <v>7546.666666666667</v>
      </c>
      <c r="L66" s="29">
        <v>7400</v>
      </c>
      <c r="M66" s="29">
        <v>7590</v>
      </c>
      <c r="N66" s="29">
        <v>7650</v>
      </c>
      <c r="O66" s="29">
        <f t="shared" si="18"/>
        <v>0</v>
      </c>
      <c r="P66" s="35">
        <v>57</v>
      </c>
      <c r="Q66" s="21">
        <f t="shared" si="8"/>
        <v>0</v>
      </c>
      <c r="R66" s="25">
        <f t="shared" si="4"/>
        <v>0</v>
      </c>
      <c r="S66" s="25">
        <f t="shared" si="4"/>
        <v>0</v>
      </c>
      <c r="T66" s="25">
        <f t="shared" si="4"/>
        <v>0</v>
      </c>
      <c r="U66" s="31">
        <f t="shared" si="15"/>
        <v>0</v>
      </c>
      <c r="V66" s="31">
        <f t="shared" si="16"/>
        <v>0</v>
      </c>
      <c r="W66" s="25">
        <f t="shared" si="6"/>
        <v>0</v>
      </c>
      <c r="X66" s="115"/>
      <c r="Y66" s="115">
        <f t="shared" si="19"/>
        <v>0</v>
      </c>
    </row>
    <row r="67" spans="1:25" s="32" customFormat="1" ht="24.75" hidden="1" customHeight="1" outlineLevel="3" x14ac:dyDescent="0.35">
      <c r="A67" s="26" t="s">
        <v>257</v>
      </c>
      <c r="B67" s="27" t="s">
        <v>10</v>
      </c>
      <c r="C67" s="29"/>
      <c r="D67" s="29"/>
      <c r="E67" s="29"/>
      <c r="F67" s="29"/>
      <c r="G67" s="29"/>
      <c r="H67" s="29"/>
      <c r="I67" s="29"/>
      <c r="J67" s="29">
        <v>5</v>
      </c>
      <c r="K67" s="29">
        <f t="shared" si="17"/>
        <v>8756.6666666666661</v>
      </c>
      <c r="L67" s="29">
        <v>8810</v>
      </c>
      <c r="M67" s="29">
        <v>8760</v>
      </c>
      <c r="N67" s="29">
        <v>8700</v>
      </c>
      <c r="O67" s="29">
        <f t="shared" si="18"/>
        <v>0</v>
      </c>
      <c r="P67" s="35">
        <v>58</v>
      </c>
      <c r="Q67" s="21">
        <f t="shared" si="8"/>
        <v>0</v>
      </c>
      <c r="R67" s="25">
        <f t="shared" si="4"/>
        <v>0</v>
      </c>
      <c r="S67" s="25">
        <f t="shared" si="4"/>
        <v>0</v>
      </c>
      <c r="T67" s="25">
        <f t="shared" si="4"/>
        <v>0</v>
      </c>
      <c r="U67" s="31">
        <f t="shared" si="15"/>
        <v>0</v>
      </c>
      <c r="V67" s="31">
        <f t="shared" si="16"/>
        <v>0</v>
      </c>
      <c r="W67" s="25">
        <f t="shared" si="6"/>
        <v>0</v>
      </c>
      <c r="X67" s="115"/>
      <c r="Y67" s="115">
        <f t="shared" si="19"/>
        <v>0</v>
      </c>
    </row>
    <row r="68" spans="1:25" s="32" customFormat="1" ht="24.75" hidden="1" customHeight="1" outlineLevel="3" x14ac:dyDescent="0.35">
      <c r="A68" s="26" t="s">
        <v>327</v>
      </c>
      <c r="B68" s="27" t="s">
        <v>10</v>
      </c>
      <c r="C68" s="29"/>
      <c r="D68" s="29"/>
      <c r="E68" s="29"/>
      <c r="F68" s="29"/>
      <c r="G68" s="29"/>
      <c r="H68" s="29"/>
      <c r="I68" s="29"/>
      <c r="J68" s="29">
        <v>5</v>
      </c>
      <c r="K68" s="29">
        <f t="shared" si="17"/>
        <v>3951.0050000000001</v>
      </c>
      <c r="L68" s="29">
        <v>4390</v>
      </c>
      <c r="M68" s="29">
        <v>3512.01</v>
      </c>
      <c r="N68" s="29"/>
      <c r="O68" s="29">
        <f t="shared" si="18"/>
        <v>0</v>
      </c>
      <c r="P68" s="35">
        <v>59</v>
      </c>
      <c r="Q68" s="21">
        <f t="shared" si="8"/>
        <v>0</v>
      </c>
      <c r="R68" s="25">
        <f t="shared" si="4"/>
        <v>0</v>
      </c>
      <c r="S68" s="25">
        <f t="shared" si="4"/>
        <v>0</v>
      </c>
      <c r="T68" s="25">
        <f t="shared" si="4"/>
        <v>0</v>
      </c>
      <c r="U68" s="31">
        <f t="shared" si="15"/>
        <v>0</v>
      </c>
      <c r="V68" s="31">
        <f t="shared" si="16"/>
        <v>0</v>
      </c>
      <c r="W68" s="25">
        <f t="shared" si="6"/>
        <v>0</v>
      </c>
      <c r="X68" s="115"/>
      <c r="Y68" s="115">
        <f t="shared" si="19"/>
        <v>0</v>
      </c>
    </row>
    <row r="69" spans="1:25" s="32" customFormat="1" ht="24.75" hidden="1" customHeight="1" outlineLevel="3" x14ac:dyDescent="0.35">
      <c r="A69" s="26" t="s">
        <v>326</v>
      </c>
      <c r="B69" s="27" t="s">
        <v>10</v>
      </c>
      <c r="C69" s="29"/>
      <c r="D69" s="29"/>
      <c r="E69" s="29"/>
      <c r="F69" s="29"/>
      <c r="G69" s="29"/>
      <c r="H69" s="29"/>
      <c r="I69" s="29"/>
      <c r="J69" s="29">
        <v>5</v>
      </c>
      <c r="K69" s="29">
        <f t="shared" si="17"/>
        <v>3123.8166666666671</v>
      </c>
      <c r="L69" s="29">
        <v>3262.04</v>
      </c>
      <c r="M69" s="29">
        <v>3344.97</v>
      </c>
      <c r="N69" s="29">
        <v>2764.44</v>
      </c>
      <c r="O69" s="29">
        <f t="shared" si="18"/>
        <v>0</v>
      </c>
      <c r="P69" s="35">
        <v>60</v>
      </c>
      <c r="Q69" s="21">
        <f t="shared" si="8"/>
        <v>0</v>
      </c>
      <c r="R69" s="25">
        <f t="shared" si="4"/>
        <v>0</v>
      </c>
      <c r="S69" s="25">
        <f t="shared" si="4"/>
        <v>0</v>
      </c>
      <c r="T69" s="25">
        <f t="shared" si="4"/>
        <v>0</v>
      </c>
      <c r="U69" s="31">
        <f t="shared" si="15"/>
        <v>0</v>
      </c>
      <c r="V69" s="31">
        <f t="shared" si="16"/>
        <v>0</v>
      </c>
      <c r="W69" s="25">
        <f t="shared" si="6"/>
        <v>0</v>
      </c>
      <c r="X69" s="115"/>
      <c r="Y69" s="115">
        <f t="shared" si="19"/>
        <v>0</v>
      </c>
    </row>
    <row r="70" spans="1:25" s="32" customFormat="1" ht="24.75" hidden="1" customHeight="1" outlineLevel="3" x14ac:dyDescent="0.35">
      <c r="A70" s="26" t="s">
        <v>359</v>
      </c>
      <c r="B70" s="27" t="s">
        <v>10</v>
      </c>
      <c r="C70" s="29"/>
      <c r="D70" s="29"/>
      <c r="E70" s="29"/>
      <c r="F70" s="29"/>
      <c r="G70" s="29"/>
      <c r="H70" s="29"/>
      <c r="I70" s="29"/>
      <c r="J70" s="29">
        <v>5</v>
      </c>
      <c r="K70" s="29">
        <f t="shared" si="17"/>
        <v>2116.6666666666665</v>
      </c>
      <c r="L70" s="29">
        <v>1981</v>
      </c>
      <c r="M70" s="29">
        <v>1900</v>
      </c>
      <c r="N70" s="29">
        <v>2469</v>
      </c>
      <c r="O70" s="29">
        <f t="shared" si="18"/>
        <v>0</v>
      </c>
      <c r="P70" s="35">
        <v>61</v>
      </c>
      <c r="Q70" s="21">
        <f t="shared" si="8"/>
        <v>0</v>
      </c>
      <c r="R70" s="25">
        <f t="shared" si="4"/>
        <v>0</v>
      </c>
      <c r="S70" s="25">
        <f t="shared" si="4"/>
        <v>0</v>
      </c>
      <c r="T70" s="25">
        <f t="shared" si="4"/>
        <v>0</v>
      </c>
      <c r="U70" s="31">
        <f t="shared" si="15"/>
        <v>0</v>
      </c>
      <c r="V70" s="31">
        <f t="shared" si="16"/>
        <v>0</v>
      </c>
      <c r="W70" s="25">
        <f t="shared" si="6"/>
        <v>0</v>
      </c>
      <c r="X70" s="115"/>
      <c r="Y70" s="115">
        <f t="shared" si="19"/>
        <v>0</v>
      </c>
    </row>
    <row r="71" spans="1:25" s="32" customFormat="1" ht="24.75" hidden="1" customHeight="1" outlineLevel="3" x14ac:dyDescent="0.35">
      <c r="A71" s="26" t="s">
        <v>360</v>
      </c>
      <c r="B71" s="27" t="s">
        <v>10</v>
      </c>
      <c r="C71" s="29"/>
      <c r="D71" s="29"/>
      <c r="E71" s="29"/>
      <c r="F71" s="29"/>
      <c r="G71" s="29"/>
      <c r="H71" s="29"/>
      <c r="I71" s="29"/>
      <c r="J71" s="29">
        <v>5</v>
      </c>
      <c r="K71" s="29">
        <f t="shared" si="17"/>
        <v>2768</v>
      </c>
      <c r="L71" s="29">
        <v>2400</v>
      </c>
      <c r="M71" s="29">
        <v>3000</v>
      </c>
      <c r="N71" s="29">
        <v>2904</v>
      </c>
      <c r="O71" s="29">
        <f t="shared" si="18"/>
        <v>0</v>
      </c>
      <c r="P71" s="35">
        <v>62</v>
      </c>
      <c r="Q71" s="21">
        <f t="shared" si="8"/>
        <v>0</v>
      </c>
      <c r="R71" s="25">
        <f t="shared" si="4"/>
        <v>0</v>
      </c>
      <c r="S71" s="25">
        <f t="shared" si="4"/>
        <v>0</v>
      </c>
      <c r="T71" s="25">
        <f t="shared" si="4"/>
        <v>0</v>
      </c>
      <c r="U71" s="31">
        <f t="shared" si="15"/>
        <v>0</v>
      </c>
      <c r="V71" s="31">
        <f t="shared" si="16"/>
        <v>0</v>
      </c>
      <c r="W71" s="25">
        <f t="shared" ref="W71:W134" si="20">$O71*W$2</f>
        <v>0</v>
      </c>
      <c r="X71" s="115"/>
      <c r="Y71" s="115">
        <f t="shared" si="19"/>
        <v>0</v>
      </c>
    </row>
    <row r="72" spans="1:25" s="32" customFormat="1" ht="24.75" hidden="1" customHeight="1" outlineLevel="3" x14ac:dyDescent="0.35">
      <c r="A72" s="26" t="s">
        <v>13</v>
      </c>
      <c r="B72" s="27" t="s">
        <v>10</v>
      </c>
      <c r="C72" s="29"/>
      <c r="D72" s="29"/>
      <c r="E72" s="29"/>
      <c r="F72" s="29"/>
      <c r="G72" s="29"/>
      <c r="H72" s="29"/>
      <c r="I72" s="29"/>
      <c r="J72" s="29">
        <v>5</v>
      </c>
      <c r="K72" s="29">
        <f t="shared" si="17"/>
        <v>1830</v>
      </c>
      <c r="L72" s="29">
        <v>1700</v>
      </c>
      <c r="M72" s="29">
        <v>1890</v>
      </c>
      <c r="N72" s="29">
        <v>1900</v>
      </c>
      <c r="O72" s="29">
        <f t="shared" si="18"/>
        <v>0</v>
      </c>
      <c r="P72" s="35">
        <v>63</v>
      </c>
      <c r="Q72" s="21">
        <f t="shared" ref="Q72:Q135" si="21">SUM(R72:W72)</f>
        <v>0</v>
      </c>
      <c r="R72" s="25">
        <f t="shared" ref="R72:T135" si="22">$O72*R$2</f>
        <v>0</v>
      </c>
      <c r="S72" s="25">
        <f t="shared" si="22"/>
        <v>0</v>
      </c>
      <c r="T72" s="25">
        <f t="shared" si="22"/>
        <v>0</v>
      </c>
      <c r="U72" s="31">
        <f t="shared" si="15"/>
        <v>0</v>
      </c>
      <c r="V72" s="31">
        <f t="shared" si="16"/>
        <v>0</v>
      </c>
      <c r="W72" s="25">
        <f t="shared" si="20"/>
        <v>0</v>
      </c>
      <c r="X72" s="115"/>
      <c r="Y72" s="115">
        <f t="shared" si="19"/>
        <v>0</v>
      </c>
    </row>
    <row r="73" spans="1:25" s="32" customFormat="1" ht="24.75" hidden="1" customHeight="1" outlineLevel="3" x14ac:dyDescent="0.35">
      <c r="A73" s="26" t="s">
        <v>362</v>
      </c>
      <c r="B73" s="27" t="s">
        <v>10</v>
      </c>
      <c r="C73" s="29"/>
      <c r="D73" s="29"/>
      <c r="E73" s="29"/>
      <c r="F73" s="29"/>
      <c r="G73" s="29"/>
      <c r="H73" s="29"/>
      <c r="I73" s="29"/>
      <c r="J73" s="29">
        <v>5</v>
      </c>
      <c r="K73" s="29">
        <f t="shared" si="17"/>
        <v>1222.5333333333333</v>
      </c>
      <c r="L73" s="29">
        <v>1060</v>
      </c>
      <c r="M73" s="29">
        <v>1325</v>
      </c>
      <c r="N73" s="29">
        <v>1282.5999999999999</v>
      </c>
      <c r="O73" s="29">
        <f t="shared" si="18"/>
        <v>0</v>
      </c>
      <c r="P73" s="35">
        <v>64</v>
      </c>
      <c r="Q73" s="21">
        <f t="shared" si="21"/>
        <v>0</v>
      </c>
      <c r="R73" s="25">
        <f t="shared" si="22"/>
        <v>0</v>
      </c>
      <c r="S73" s="25">
        <f t="shared" si="22"/>
        <v>0</v>
      </c>
      <c r="T73" s="25">
        <f t="shared" si="22"/>
        <v>0</v>
      </c>
      <c r="U73" s="31">
        <f t="shared" si="15"/>
        <v>0</v>
      </c>
      <c r="V73" s="31">
        <f t="shared" si="16"/>
        <v>0</v>
      </c>
      <c r="W73" s="25">
        <f t="shared" si="20"/>
        <v>0</v>
      </c>
      <c r="X73" s="115"/>
      <c r="Y73" s="115">
        <f t="shared" si="19"/>
        <v>0</v>
      </c>
    </row>
    <row r="74" spans="1:25" s="32" customFormat="1" ht="24.75" hidden="1" customHeight="1" outlineLevel="3" x14ac:dyDescent="0.35">
      <c r="A74" s="26" t="s">
        <v>363</v>
      </c>
      <c r="B74" s="27" t="s">
        <v>10</v>
      </c>
      <c r="C74" s="29"/>
      <c r="D74" s="29"/>
      <c r="E74" s="29"/>
      <c r="F74" s="29"/>
      <c r="G74" s="29"/>
      <c r="H74" s="29"/>
      <c r="I74" s="29"/>
      <c r="J74" s="29">
        <v>5</v>
      </c>
      <c r="K74" s="29">
        <f t="shared" si="17"/>
        <v>2782.3333333333335</v>
      </c>
      <c r="L74" s="29">
        <v>1800</v>
      </c>
      <c r="M74" s="29">
        <v>2620</v>
      </c>
      <c r="N74" s="29">
        <v>3927</v>
      </c>
      <c r="O74" s="29">
        <f t="shared" si="18"/>
        <v>0</v>
      </c>
      <c r="P74" s="35">
        <v>65</v>
      </c>
      <c r="Q74" s="21">
        <f t="shared" si="21"/>
        <v>0</v>
      </c>
      <c r="R74" s="25">
        <f t="shared" si="22"/>
        <v>0</v>
      </c>
      <c r="S74" s="25">
        <f t="shared" si="22"/>
        <v>0</v>
      </c>
      <c r="T74" s="25">
        <f t="shared" si="22"/>
        <v>0</v>
      </c>
      <c r="U74" s="31">
        <f t="shared" si="15"/>
        <v>0</v>
      </c>
      <c r="V74" s="31">
        <f t="shared" si="16"/>
        <v>0</v>
      </c>
      <c r="W74" s="25">
        <f t="shared" si="20"/>
        <v>0</v>
      </c>
      <c r="X74" s="115"/>
      <c r="Y74" s="115">
        <f t="shared" si="19"/>
        <v>0</v>
      </c>
    </row>
    <row r="75" spans="1:25" s="32" customFormat="1" ht="24.75" hidden="1" customHeight="1" outlineLevel="3" x14ac:dyDescent="0.35">
      <c r="A75" s="26" t="s">
        <v>364</v>
      </c>
      <c r="B75" s="27" t="s">
        <v>10</v>
      </c>
      <c r="C75" s="29"/>
      <c r="D75" s="29"/>
      <c r="E75" s="29"/>
      <c r="F75" s="29"/>
      <c r="G75" s="29"/>
      <c r="H75" s="29"/>
      <c r="I75" s="29"/>
      <c r="J75" s="29">
        <v>5</v>
      </c>
      <c r="K75" s="29">
        <f t="shared" si="17"/>
        <v>2249</v>
      </c>
      <c r="L75" s="29">
        <v>1950</v>
      </c>
      <c r="M75" s="29">
        <v>2437.5</v>
      </c>
      <c r="N75" s="29">
        <v>2359.5</v>
      </c>
      <c r="O75" s="29">
        <f t="shared" si="18"/>
        <v>0</v>
      </c>
      <c r="P75" s="35">
        <v>66</v>
      </c>
      <c r="Q75" s="21">
        <f t="shared" si="21"/>
        <v>0</v>
      </c>
      <c r="R75" s="25">
        <f t="shared" si="22"/>
        <v>0</v>
      </c>
      <c r="S75" s="25">
        <f t="shared" si="22"/>
        <v>0</v>
      </c>
      <c r="T75" s="25">
        <f t="shared" si="22"/>
        <v>0</v>
      </c>
      <c r="U75" s="31">
        <f t="shared" si="15"/>
        <v>0</v>
      </c>
      <c r="V75" s="31">
        <f t="shared" si="16"/>
        <v>0</v>
      </c>
      <c r="W75" s="25">
        <f t="shared" si="20"/>
        <v>0</v>
      </c>
      <c r="X75" s="115"/>
      <c r="Y75" s="115">
        <f t="shared" si="19"/>
        <v>0</v>
      </c>
    </row>
    <row r="76" spans="1:25" s="32" customFormat="1" ht="24.75" hidden="1" customHeight="1" outlineLevel="3" x14ac:dyDescent="0.35">
      <c r="A76" s="26" t="s">
        <v>365</v>
      </c>
      <c r="B76" s="27" t="s">
        <v>10</v>
      </c>
      <c r="C76" s="29"/>
      <c r="D76" s="29"/>
      <c r="E76" s="29"/>
      <c r="F76" s="29"/>
      <c r="G76" s="29"/>
      <c r="H76" s="29"/>
      <c r="I76" s="29"/>
      <c r="J76" s="29">
        <v>5</v>
      </c>
      <c r="K76" s="29">
        <f t="shared" si="17"/>
        <v>12866.666666666666</v>
      </c>
      <c r="L76" s="29">
        <v>15300</v>
      </c>
      <c r="M76" s="29">
        <v>9500</v>
      </c>
      <c r="N76" s="29">
        <v>13800</v>
      </c>
      <c r="O76" s="29">
        <f t="shared" si="18"/>
        <v>0</v>
      </c>
      <c r="P76" s="35">
        <v>67</v>
      </c>
      <c r="Q76" s="21">
        <f t="shared" si="21"/>
        <v>0</v>
      </c>
      <c r="R76" s="25">
        <f t="shared" si="22"/>
        <v>0</v>
      </c>
      <c r="S76" s="25">
        <f t="shared" si="22"/>
        <v>0</v>
      </c>
      <c r="T76" s="25">
        <f t="shared" si="22"/>
        <v>0</v>
      </c>
      <c r="U76" s="31">
        <f t="shared" si="15"/>
        <v>0</v>
      </c>
      <c r="V76" s="31">
        <f t="shared" si="16"/>
        <v>0</v>
      </c>
      <c r="W76" s="25">
        <f t="shared" si="20"/>
        <v>0</v>
      </c>
      <c r="X76" s="115"/>
      <c r="Y76" s="115">
        <f t="shared" si="19"/>
        <v>0</v>
      </c>
    </row>
    <row r="77" spans="1:25" s="32" customFormat="1" ht="24.75" hidden="1" customHeight="1" outlineLevel="2" x14ac:dyDescent="0.35">
      <c r="A77" s="26" t="s">
        <v>325</v>
      </c>
      <c r="B77" s="27" t="s">
        <v>10</v>
      </c>
      <c r="C77" s="29">
        <f>I77/$W$2</f>
        <v>1.3323730644580483</v>
      </c>
      <c r="D77" s="29"/>
      <c r="E77" s="29">
        <v>140</v>
      </c>
      <c r="F77" s="29"/>
      <c r="G77" s="29"/>
      <c r="H77" s="29"/>
      <c r="I77" s="29">
        <v>1110</v>
      </c>
      <c r="J77" s="29">
        <v>1</v>
      </c>
      <c r="K77" s="29">
        <f t="shared" si="17"/>
        <v>18.099999999999998</v>
      </c>
      <c r="L77" s="29">
        <v>20</v>
      </c>
      <c r="M77" s="29">
        <v>22.4</v>
      </c>
      <c r="N77" s="29">
        <v>11.9</v>
      </c>
      <c r="O77" s="29">
        <f t="shared" si="18"/>
        <v>24.115952466690672</v>
      </c>
      <c r="P77" s="35">
        <v>68</v>
      </c>
      <c r="Q77" s="21">
        <f>SUM(R77:W77)</f>
        <v>71682.257111991348</v>
      </c>
      <c r="R77" s="25">
        <f t="shared" si="22"/>
        <v>11508.132517104788</v>
      </c>
      <c r="S77" s="25">
        <f t="shared" si="22"/>
        <v>17341.781418797262</v>
      </c>
      <c r="T77" s="25">
        <f t="shared" si="22"/>
        <v>22741.343176089304</v>
      </c>
      <c r="U77" s="31">
        <f t="shared" si="15"/>
        <v>0</v>
      </c>
      <c r="V77" s="31">
        <f t="shared" si="16"/>
        <v>0</v>
      </c>
      <c r="W77" s="25">
        <f t="shared" si="20"/>
        <v>20091</v>
      </c>
      <c r="X77" s="115"/>
      <c r="Y77" s="115">
        <f t="shared" si="19"/>
        <v>0</v>
      </c>
    </row>
    <row r="78" spans="1:25" s="32" customFormat="1" ht="54.75" hidden="1" customHeight="1" outlineLevel="2" x14ac:dyDescent="0.35">
      <c r="A78" s="26" t="s">
        <v>308</v>
      </c>
      <c r="B78" s="27" t="s">
        <v>10</v>
      </c>
      <c r="C78" s="29">
        <f>I78/$W$2</f>
        <v>0.23646621053895089</v>
      </c>
      <c r="D78" s="29"/>
      <c r="E78" s="29"/>
      <c r="F78" s="29"/>
      <c r="G78" s="29"/>
      <c r="H78" s="29"/>
      <c r="I78" s="29">
        <v>197</v>
      </c>
      <c r="J78" s="29">
        <v>1</v>
      </c>
      <c r="K78" s="29">
        <v>0</v>
      </c>
      <c r="L78" s="29"/>
      <c r="M78" s="29"/>
      <c r="N78" s="29"/>
      <c r="O78" s="29">
        <f t="shared" si="18"/>
        <v>0</v>
      </c>
      <c r="P78" s="35"/>
      <c r="Q78" s="21">
        <f t="shared" si="21"/>
        <v>0</v>
      </c>
      <c r="R78" s="25">
        <f t="shared" si="22"/>
        <v>0</v>
      </c>
      <c r="S78" s="25">
        <f t="shared" si="22"/>
        <v>0</v>
      </c>
      <c r="T78" s="25">
        <f t="shared" si="22"/>
        <v>0</v>
      </c>
      <c r="U78" s="31">
        <f t="shared" si="15"/>
        <v>0</v>
      </c>
      <c r="V78" s="31">
        <f t="shared" si="16"/>
        <v>0</v>
      </c>
      <c r="W78" s="25">
        <f t="shared" si="20"/>
        <v>0</v>
      </c>
      <c r="X78" s="115"/>
      <c r="Y78" s="115">
        <f t="shared" si="19"/>
        <v>0</v>
      </c>
    </row>
    <row r="79" spans="1:25" ht="52.5" customHeight="1" outlineLevel="1" collapsed="1" x14ac:dyDescent="0.35">
      <c r="A79" s="22" t="s">
        <v>7</v>
      </c>
      <c r="B79" s="23" t="s">
        <v>3</v>
      </c>
      <c r="C79" s="19">
        <f>SUM(C80:C153)</f>
        <v>70.578596891740588</v>
      </c>
      <c r="D79" s="20" t="s">
        <v>3</v>
      </c>
      <c r="E79" s="20" t="s">
        <v>3</v>
      </c>
      <c r="F79" s="20" t="s">
        <v>3</v>
      </c>
      <c r="G79" s="20" t="s">
        <v>3</v>
      </c>
      <c r="H79" s="20" t="s">
        <v>3</v>
      </c>
      <c r="I79" s="20" t="s">
        <v>3</v>
      </c>
      <c r="J79" s="20" t="s">
        <v>3</v>
      </c>
      <c r="K79" s="20" t="s">
        <v>3</v>
      </c>
      <c r="L79" s="20"/>
      <c r="M79" s="20"/>
      <c r="N79" s="20"/>
      <c r="O79" s="24">
        <f>O80+O83+O87+O95+O135</f>
        <v>1215.9051304007137</v>
      </c>
      <c r="P79" s="20" t="s">
        <v>3</v>
      </c>
      <c r="Q79" s="21">
        <f t="shared" si="21"/>
        <v>3960503.5164856729</v>
      </c>
      <c r="R79" s="25">
        <f t="shared" ref="R79:W79" si="23">R80+R83+R87+R95+R135</f>
        <v>580229.92822722055</v>
      </c>
      <c r="S79" s="25">
        <f t="shared" si="23"/>
        <v>874357.37927115336</v>
      </c>
      <c r="T79" s="25">
        <f t="shared" si="23"/>
        <v>1146598.5379678733</v>
      </c>
      <c r="U79" s="25">
        <f t="shared" si="23"/>
        <v>170819.12766531715</v>
      </c>
      <c r="V79" s="25">
        <f t="shared" si="23"/>
        <v>175527.97921727394</v>
      </c>
      <c r="W79" s="25">
        <f t="shared" si="23"/>
        <v>1012970.5641368345</v>
      </c>
      <c r="X79" s="115"/>
      <c r="Y79" s="115">
        <f t="shared" si="19"/>
        <v>0</v>
      </c>
    </row>
    <row r="80" spans="1:25" s="32" customFormat="1" ht="24.75" hidden="1" customHeight="1" outlineLevel="2" collapsed="1" x14ac:dyDescent="0.35">
      <c r="A80" s="33" t="s">
        <v>475</v>
      </c>
      <c r="B80" s="34" t="s">
        <v>3</v>
      </c>
      <c r="C80" s="34" t="s">
        <v>3</v>
      </c>
      <c r="D80" s="34" t="s">
        <v>3</v>
      </c>
      <c r="E80" s="34" t="s">
        <v>3</v>
      </c>
      <c r="F80" s="34" t="s">
        <v>3</v>
      </c>
      <c r="G80" s="34" t="s">
        <v>3</v>
      </c>
      <c r="H80" s="34" t="s">
        <v>3</v>
      </c>
      <c r="I80" s="34" t="s">
        <v>3</v>
      </c>
      <c r="J80" s="34" t="s">
        <v>3</v>
      </c>
      <c r="K80" s="34" t="s">
        <v>3</v>
      </c>
      <c r="L80" s="34"/>
      <c r="M80" s="34"/>
      <c r="N80" s="34"/>
      <c r="O80" s="29">
        <f>SUM(O81:O82)</f>
        <v>205.99823853891434</v>
      </c>
      <c r="P80" s="34" t="s">
        <v>3</v>
      </c>
      <c r="Q80" s="21">
        <f t="shared" si="21"/>
        <v>655189.86598745501</v>
      </c>
      <c r="R80" s="25">
        <f t="shared" si="22"/>
        <v>98302.359430769924</v>
      </c>
      <c r="S80" s="25">
        <f t="shared" si="22"/>
        <v>148133.33333333331</v>
      </c>
      <c r="T80" s="25">
        <f t="shared" si="22"/>
        <v>194256.33894219622</v>
      </c>
      <c r="U80" s="31">
        <f>SUM(U81:U82)</f>
        <v>22414.912280701752</v>
      </c>
      <c r="V80" s="31">
        <f>SUM(V81:V82)</f>
        <v>20465.78947368421</v>
      </c>
      <c r="W80" s="25">
        <f t="shared" si="20"/>
        <v>171617.13252676954</v>
      </c>
      <c r="X80" s="115"/>
      <c r="Y80" s="115">
        <f t="shared" si="19"/>
        <v>0</v>
      </c>
    </row>
    <row r="81" spans="1:25" s="32" customFormat="1" ht="24.75" hidden="1" customHeight="1" outlineLevel="3" x14ac:dyDescent="0.35">
      <c r="A81" s="26" t="s">
        <v>470</v>
      </c>
      <c r="B81" s="27" t="s">
        <v>273</v>
      </c>
      <c r="C81" s="28">
        <f>E81/$S$2</f>
        <v>10.568766513697677</v>
      </c>
      <c r="D81" s="39">
        <f>380*19</f>
        <v>7220</v>
      </c>
      <c r="E81" s="39">
        <f>400*19</f>
        <v>7600</v>
      </c>
      <c r="F81" s="39">
        <f>600*19</f>
        <v>11400</v>
      </c>
      <c r="G81" s="29">
        <v>1150</v>
      </c>
      <c r="H81" s="29">
        <v>1050</v>
      </c>
      <c r="I81" s="29">
        <v>8800</v>
      </c>
      <c r="J81" s="29">
        <v>1</v>
      </c>
      <c r="K81" s="29">
        <f>AVERAGE(L81:N81)</f>
        <v>13.157894736842104</v>
      </c>
      <c r="L81" s="29">
        <f>240/19</f>
        <v>12.631578947368421</v>
      </c>
      <c r="M81" s="29">
        <f>250/19</f>
        <v>13.157894736842104</v>
      </c>
      <c r="N81" s="29">
        <f>260/19</f>
        <v>13.684210526315789</v>
      </c>
      <c r="O81" s="29">
        <f>C81/$J81*$K81</f>
        <v>139.06271728549572</v>
      </c>
      <c r="P81" s="35">
        <v>70</v>
      </c>
      <c r="Q81" s="21">
        <f t="shared" si="21"/>
        <v>442297.38928046013</v>
      </c>
      <c r="R81" s="25">
        <f t="shared" si="22"/>
        <v>66360.728688638555</v>
      </c>
      <c r="S81" s="25">
        <f t="shared" si="22"/>
        <v>99999.999999999971</v>
      </c>
      <c r="T81" s="25">
        <f t="shared" si="22"/>
        <v>131136.14240022245</v>
      </c>
      <c r="U81" s="31">
        <f t="shared" ref="U81:U139" si="24">G81*$K81</f>
        <v>15131.57894736842</v>
      </c>
      <c r="V81" s="31">
        <f t="shared" ref="V81:V139" si="25">H81*$K81</f>
        <v>13815.78947368421</v>
      </c>
      <c r="W81" s="25">
        <f t="shared" si="20"/>
        <v>115853.14977054649</v>
      </c>
      <c r="X81" s="115"/>
      <c r="Y81" s="115">
        <f t="shared" si="19"/>
        <v>0</v>
      </c>
    </row>
    <row r="82" spans="1:25" s="32" customFormat="1" ht="24.75" hidden="1" customHeight="1" outlineLevel="3" x14ac:dyDescent="0.35">
      <c r="A82" s="26" t="s">
        <v>172</v>
      </c>
      <c r="B82" s="27" t="s">
        <v>10</v>
      </c>
      <c r="C82" s="28">
        <f>E82/$S$2</f>
        <v>52.843832568488388</v>
      </c>
      <c r="D82" s="29">
        <f t="shared" ref="D82:I82" si="26">D81/0.2</f>
        <v>36100</v>
      </c>
      <c r="E82" s="29">
        <f t="shared" si="26"/>
        <v>38000</v>
      </c>
      <c r="F82" s="29">
        <f t="shared" si="26"/>
        <v>57000</v>
      </c>
      <c r="G82" s="29">
        <f t="shared" si="26"/>
        <v>5750</v>
      </c>
      <c r="H82" s="29">
        <f t="shared" si="26"/>
        <v>5250</v>
      </c>
      <c r="I82" s="29">
        <f t="shared" si="26"/>
        <v>44000</v>
      </c>
      <c r="J82" s="29">
        <v>1</v>
      </c>
      <c r="K82" s="29">
        <f>AVERAGE(L82:N82)</f>
        <v>1.2666666666666666</v>
      </c>
      <c r="L82" s="29">
        <v>1</v>
      </c>
      <c r="M82" s="29">
        <v>1.3</v>
      </c>
      <c r="N82" s="29">
        <v>1.5</v>
      </c>
      <c r="O82" s="29">
        <f>C82/$J82*$K82</f>
        <v>66.935521253418628</v>
      </c>
      <c r="P82" s="35">
        <v>71</v>
      </c>
      <c r="Q82" s="21">
        <f t="shared" si="21"/>
        <v>212892.47670699487</v>
      </c>
      <c r="R82" s="25">
        <f t="shared" si="22"/>
        <v>31941.630742131369</v>
      </c>
      <c r="S82" s="25">
        <f t="shared" si="22"/>
        <v>48133.333333333336</v>
      </c>
      <c r="T82" s="25">
        <f t="shared" si="22"/>
        <v>63120.196541973768</v>
      </c>
      <c r="U82" s="31">
        <f t="shared" si="24"/>
        <v>7283.333333333333</v>
      </c>
      <c r="V82" s="31">
        <f t="shared" si="25"/>
        <v>6650</v>
      </c>
      <c r="W82" s="25">
        <f t="shared" si="20"/>
        <v>55763.982756223064</v>
      </c>
      <c r="X82" s="115"/>
      <c r="Y82" s="115">
        <f t="shared" si="19"/>
        <v>0</v>
      </c>
    </row>
    <row r="83" spans="1:25" s="32" customFormat="1" ht="26.25" hidden="1" customHeight="1" outlineLevel="2" collapsed="1" x14ac:dyDescent="0.35">
      <c r="A83" s="33" t="s">
        <v>474</v>
      </c>
      <c r="B83" s="34" t="s">
        <v>3</v>
      </c>
      <c r="C83" s="34" t="s">
        <v>3</v>
      </c>
      <c r="D83" s="34" t="s">
        <v>3</v>
      </c>
      <c r="E83" s="34" t="s">
        <v>3</v>
      </c>
      <c r="F83" s="34" t="s">
        <v>3</v>
      </c>
      <c r="G83" s="34" t="s">
        <v>3</v>
      </c>
      <c r="H83" s="34" t="s">
        <v>3</v>
      </c>
      <c r="I83" s="34" t="s">
        <v>3</v>
      </c>
      <c r="J83" s="34" t="s">
        <v>3</v>
      </c>
      <c r="K83" s="34" t="s">
        <v>3</v>
      </c>
      <c r="L83" s="34"/>
      <c r="M83" s="34"/>
      <c r="N83" s="34"/>
      <c r="O83" s="29">
        <f>SUM(O84:O86)</f>
        <v>99.922279392450434</v>
      </c>
      <c r="P83" s="34" t="s">
        <v>3</v>
      </c>
      <c r="Q83" s="21">
        <f t="shared" si="21"/>
        <v>342268.11659945297</v>
      </c>
      <c r="R83" s="25">
        <f t="shared" si="22"/>
        <v>47682.911726077349</v>
      </c>
      <c r="S83" s="25">
        <f t="shared" si="22"/>
        <v>71854.111111111109</v>
      </c>
      <c r="T83" s="25">
        <f t="shared" si="22"/>
        <v>94226.709467080756</v>
      </c>
      <c r="U83" s="31">
        <f>SUM(U84:U86)</f>
        <v>22629.566666666666</v>
      </c>
      <c r="V83" s="31">
        <f>SUM(V84:V86)</f>
        <v>22629.566666666666</v>
      </c>
      <c r="W83" s="25">
        <f t="shared" si="20"/>
        <v>83245.250961850455</v>
      </c>
      <c r="X83" s="115"/>
      <c r="Y83" s="115">
        <f t="shared" si="19"/>
        <v>0</v>
      </c>
    </row>
    <row r="84" spans="1:25" s="32" customFormat="1" ht="24.75" hidden="1" customHeight="1" outlineLevel="3" x14ac:dyDescent="0.35">
      <c r="A84" s="26" t="s">
        <v>471</v>
      </c>
      <c r="B84" s="27" t="s">
        <v>57</v>
      </c>
      <c r="C84" s="28">
        <f t="shared" ref="C84:C94" si="27">E84/$S$2</f>
        <v>0.13906271728549574</v>
      </c>
      <c r="D84" s="39">
        <v>75</v>
      </c>
      <c r="E84" s="39">
        <v>100</v>
      </c>
      <c r="F84" s="39">
        <v>132</v>
      </c>
      <c r="G84" s="39">
        <v>30</v>
      </c>
      <c r="H84" s="39">
        <v>30</v>
      </c>
      <c r="I84" s="39">
        <v>150</v>
      </c>
      <c r="J84" s="29">
        <v>1</v>
      </c>
      <c r="K84" s="29">
        <f>AVERAGE(L84:N84)</f>
        <v>464.32</v>
      </c>
      <c r="L84" s="29">
        <v>439.4</v>
      </c>
      <c r="M84" s="29">
        <v>452.58</v>
      </c>
      <c r="N84" s="29">
        <v>500.98</v>
      </c>
      <c r="O84" s="29">
        <f>C84/$J84*$K84</f>
        <v>64.569600890001382</v>
      </c>
      <c r="P84" s="35">
        <v>72</v>
      </c>
      <c r="Q84" s="21">
        <f t="shared" si="21"/>
        <v>219785.88168544011</v>
      </c>
      <c r="R84" s="25">
        <f t="shared" si="22"/>
        <v>30812.61354470866</v>
      </c>
      <c r="S84" s="25">
        <f t="shared" si="22"/>
        <v>46431.999999999993</v>
      </c>
      <c r="T84" s="25">
        <f t="shared" si="22"/>
        <v>60889.133639271306</v>
      </c>
      <c r="U84" s="31">
        <f t="shared" si="24"/>
        <v>13929.6</v>
      </c>
      <c r="V84" s="31">
        <f t="shared" si="25"/>
        <v>13929.6</v>
      </c>
      <c r="W84" s="25">
        <f t="shared" si="20"/>
        <v>53792.934501460149</v>
      </c>
      <c r="X84" s="115"/>
      <c r="Y84" s="115">
        <f t="shared" si="19"/>
        <v>0</v>
      </c>
    </row>
    <row r="85" spans="1:25" s="32" customFormat="1" ht="24.75" hidden="1" customHeight="1" outlineLevel="3" x14ac:dyDescent="0.35">
      <c r="A85" s="26" t="s">
        <v>233</v>
      </c>
      <c r="B85" s="27" t="s">
        <v>57</v>
      </c>
      <c r="C85" s="28">
        <f t="shared" si="27"/>
        <v>0.13906271728549574</v>
      </c>
      <c r="D85" s="29">
        <v>75</v>
      </c>
      <c r="E85" s="29">
        <v>100</v>
      </c>
      <c r="F85" s="29">
        <v>132</v>
      </c>
      <c r="G85" s="29">
        <v>30</v>
      </c>
      <c r="H85" s="29">
        <v>30</v>
      </c>
      <c r="I85" s="29">
        <v>150</v>
      </c>
      <c r="J85" s="29">
        <v>1</v>
      </c>
      <c r="K85" s="29">
        <f>AVERAGE(L85:N85)</f>
        <v>238.88777777777776</v>
      </c>
      <c r="L85" s="29">
        <v>263.33</v>
      </c>
      <c r="M85" s="29">
        <v>260</v>
      </c>
      <c r="N85" s="29">
        <f>29000/150</f>
        <v>193.33333333333334</v>
      </c>
      <c r="O85" s="29">
        <f>C85/$J85*$K85</f>
        <v>33.220383504071442</v>
      </c>
      <c r="P85" s="35">
        <v>73</v>
      </c>
      <c r="Q85" s="21">
        <f t="shared" si="21"/>
        <v>113077.53459416862</v>
      </c>
      <c r="R85" s="25">
        <f t="shared" si="22"/>
        <v>15852.767008142891</v>
      </c>
      <c r="S85" s="25">
        <f t="shared" si="22"/>
        <v>23888.777777777774</v>
      </c>
      <c r="T85" s="25">
        <f t="shared" si="22"/>
        <v>31326.821644339369</v>
      </c>
      <c r="U85" s="31">
        <f t="shared" si="24"/>
        <v>7166.6333333333323</v>
      </c>
      <c r="V85" s="31">
        <f t="shared" si="25"/>
        <v>7166.6333333333323</v>
      </c>
      <c r="W85" s="25">
        <f t="shared" si="20"/>
        <v>27675.901497241921</v>
      </c>
      <c r="X85" s="115"/>
      <c r="Y85" s="115">
        <f t="shared" si="19"/>
        <v>0</v>
      </c>
    </row>
    <row r="86" spans="1:25" s="32" customFormat="1" ht="24.75" hidden="1" customHeight="1" outlineLevel="3" x14ac:dyDescent="0.35">
      <c r="A86" s="37" t="s">
        <v>234</v>
      </c>
      <c r="B86" s="27" t="s">
        <v>57</v>
      </c>
      <c r="C86" s="28">
        <f t="shared" si="27"/>
        <v>1.3906271728549575E-3</v>
      </c>
      <c r="D86" s="39">
        <v>1</v>
      </c>
      <c r="E86" s="39">
        <v>1</v>
      </c>
      <c r="F86" s="39">
        <v>1</v>
      </c>
      <c r="G86" s="39">
        <v>1</v>
      </c>
      <c r="H86" s="39">
        <v>1</v>
      </c>
      <c r="I86" s="39">
        <v>1</v>
      </c>
      <c r="J86" s="29">
        <v>1</v>
      </c>
      <c r="K86" s="29">
        <f>AVERAGE(L86:N86)</f>
        <v>1533.3333333333333</v>
      </c>
      <c r="L86" s="29">
        <v>1600</v>
      </c>
      <c r="M86" s="29">
        <v>1500</v>
      </c>
      <c r="N86" s="29">
        <v>1500</v>
      </c>
      <c r="O86" s="29">
        <f>C86/$J86*$K86</f>
        <v>2.1322949983776014</v>
      </c>
      <c r="P86" s="35">
        <v>74</v>
      </c>
      <c r="Q86" s="21">
        <f t="shared" si="21"/>
        <v>9404.7003198442471</v>
      </c>
      <c r="R86" s="25">
        <f t="shared" si="22"/>
        <v>1017.5311732257913</v>
      </c>
      <c r="S86" s="25">
        <f t="shared" si="22"/>
        <v>1533.3333333333333</v>
      </c>
      <c r="T86" s="25">
        <f t="shared" si="22"/>
        <v>2010.754183470078</v>
      </c>
      <c r="U86" s="31">
        <f t="shared" si="24"/>
        <v>1533.3333333333333</v>
      </c>
      <c r="V86" s="31">
        <f t="shared" si="25"/>
        <v>1533.3333333333333</v>
      </c>
      <c r="W86" s="25">
        <f t="shared" si="20"/>
        <v>1776.4149631483797</v>
      </c>
      <c r="X86" s="115"/>
      <c r="Y86" s="115">
        <f t="shared" si="19"/>
        <v>0</v>
      </c>
    </row>
    <row r="87" spans="1:25" s="36" customFormat="1" ht="24.75" hidden="1" customHeight="1" outlineLevel="2" collapsed="1" x14ac:dyDescent="0.35">
      <c r="A87" s="33" t="s">
        <v>65</v>
      </c>
      <c r="B87" s="34" t="s">
        <v>3</v>
      </c>
      <c r="C87" s="34" t="s">
        <v>3</v>
      </c>
      <c r="D87" s="34" t="s">
        <v>3</v>
      </c>
      <c r="E87" s="34" t="s">
        <v>3</v>
      </c>
      <c r="F87" s="34" t="s">
        <v>3</v>
      </c>
      <c r="G87" s="34" t="s">
        <v>3</v>
      </c>
      <c r="H87" s="34" t="s">
        <v>3</v>
      </c>
      <c r="I87" s="34" t="s">
        <v>3</v>
      </c>
      <c r="J87" s="34" t="s">
        <v>3</v>
      </c>
      <c r="K87" s="34" t="s">
        <v>3</v>
      </c>
      <c r="L87" s="34"/>
      <c r="M87" s="34"/>
      <c r="N87" s="34"/>
      <c r="O87" s="29">
        <f>SUM(O88:O94)</f>
        <v>610.75159169374228</v>
      </c>
      <c r="P87" s="34" t="s">
        <v>3</v>
      </c>
      <c r="Q87" s="21">
        <f t="shared" si="21"/>
        <v>1971384.5696120181</v>
      </c>
      <c r="R87" s="25">
        <f t="shared" si="22"/>
        <v>291450.65955625381</v>
      </c>
      <c r="S87" s="25">
        <f t="shared" si="22"/>
        <v>439191.46958697011</v>
      </c>
      <c r="T87" s="25">
        <f t="shared" si="22"/>
        <v>575938.75096719898</v>
      </c>
      <c r="U87" s="31">
        <f>SUM(U88:U94)</f>
        <v>74664.282051282047</v>
      </c>
      <c r="V87" s="31">
        <f>SUM(V88:V94)</f>
        <v>81322.256410256407</v>
      </c>
      <c r="W87" s="25">
        <f t="shared" si="20"/>
        <v>508817.15104005672</v>
      </c>
      <c r="X87" s="115"/>
      <c r="Y87" s="115">
        <f t="shared" si="19"/>
        <v>0</v>
      </c>
    </row>
    <row r="88" spans="1:25" s="36" customFormat="1" ht="24.75" hidden="1" customHeight="1" outlineLevel="3" x14ac:dyDescent="0.35">
      <c r="A88" s="26" t="s">
        <v>173</v>
      </c>
      <c r="B88" s="27" t="s">
        <v>8</v>
      </c>
      <c r="C88" s="28">
        <f t="shared" si="27"/>
        <v>3.0593797802809065E-2</v>
      </c>
      <c r="D88" s="29">
        <v>20</v>
      </c>
      <c r="E88" s="29">
        <v>22</v>
      </c>
      <c r="F88" s="29">
        <v>29</v>
      </c>
      <c r="G88" s="29"/>
      <c r="H88" s="29"/>
      <c r="I88" s="29">
        <v>17</v>
      </c>
      <c r="J88" s="29">
        <v>1</v>
      </c>
      <c r="K88" s="29">
        <f t="shared" ref="K88:K94" si="28">AVERAGE(L88:N88)</f>
        <v>4045.8333333333335</v>
      </c>
      <c r="L88" s="29">
        <f>67600/16</f>
        <v>4225</v>
      </c>
      <c r="M88" s="29">
        <f>61600/16</f>
        <v>3850</v>
      </c>
      <c r="N88" s="29">
        <f>65000/16</f>
        <v>4062.5</v>
      </c>
      <c r="O88" s="29">
        <f>C88/$J88*$K88</f>
        <v>123.77740694386502</v>
      </c>
      <c r="P88" s="35">
        <v>75</v>
      </c>
      <c r="Q88" s="21">
        <f t="shared" si="21"/>
        <v>367915.96439994441</v>
      </c>
      <c r="R88" s="25">
        <f t="shared" si="22"/>
        <v>59066.578593612387</v>
      </c>
      <c r="S88" s="25">
        <f t="shared" si="22"/>
        <v>89008.333333333343</v>
      </c>
      <c r="T88" s="25">
        <f t="shared" si="22"/>
        <v>116722.09474806472</v>
      </c>
      <c r="U88" s="31">
        <f t="shared" si="24"/>
        <v>0</v>
      </c>
      <c r="V88" s="31">
        <f t="shared" si="25"/>
        <v>0</v>
      </c>
      <c r="W88" s="25">
        <f t="shared" si="20"/>
        <v>103118.95772493395</v>
      </c>
      <c r="X88" s="116"/>
      <c r="Y88" s="115">
        <f t="shared" si="19"/>
        <v>0</v>
      </c>
    </row>
    <row r="89" spans="1:25" s="36" customFormat="1" ht="24.75" hidden="1" customHeight="1" outlineLevel="3" x14ac:dyDescent="0.35">
      <c r="A89" s="26" t="s">
        <v>232</v>
      </c>
      <c r="B89" s="27" t="s">
        <v>8</v>
      </c>
      <c r="C89" s="28">
        <f t="shared" si="27"/>
        <v>0.1015157836184119</v>
      </c>
      <c r="D89" s="29">
        <v>35</v>
      </c>
      <c r="E89" s="29">
        <v>73</v>
      </c>
      <c r="F89" s="29"/>
      <c r="G89" s="29"/>
      <c r="H89" s="29"/>
      <c r="I89" s="29"/>
      <c r="J89" s="29">
        <v>1</v>
      </c>
      <c r="K89" s="29">
        <f t="shared" si="28"/>
        <v>570</v>
      </c>
      <c r="L89" s="29">
        <v>570</v>
      </c>
      <c r="M89" s="29"/>
      <c r="N89" s="29"/>
      <c r="O89" s="29">
        <f>C89/$J89*$K89</f>
        <v>57.863996662494785</v>
      </c>
      <c r="P89" s="35">
        <v>76</v>
      </c>
      <c r="Q89" s="21">
        <f t="shared" si="21"/>
        <v>171994.9436795995</v>
      </c>
      <c r="R89" s="25">
        <f t="shared" si="22"/>
        <v>27612.69920734251</v>
      </c>
      <c r="S89" s="25">
        <f t="shared" si="22"/>
        <v>41610</v>
      </c>
      <c r="T89" s="25">
        <f t="shared" si="22"/>
        <v>54565.748852732584</v>
      </c>
      <c r="U89" s="31">
        <f t="shared" si="24"/>
        <v>0</v>
      </c>
      <c r="V89" s="31">
        <f t="shared" si="25"/>
        <v>0</v>
      </c>
      <c r="W89" s="25">
        <f t="shared" si="20"/>
        <v>48206.495619524409</v>
      </c>
      <c r="X89" s="116"/>
      <c r="Y89" s="115">
        <f t="shared" si="19"/>
        <v>0</v>
      </c>
    </row>
    <row r="90" spans="1:25" s="36" customFormat="1" ht="24.75" hidden="1" customHeight="1" outlineLevel="3" x14ac:dyDescent="0.35">
      <c r="A90" s="26" t="s">
        <v>235</v>
      </c>
      <c r="B90" s="27" t="s">
        <v>57</v>
      </c>
      <c r="C90" s="28">
        <f>D90/$T$2</f>
        <v>7.7412513255567333E-2</v>
      </c>
      <c r="D90" s="29">
        <v>73</v>
      </c>
      <c r="E90" s="29"/>
      <c r="F90" s="29"/>
      <c r="G90" s="29">
        <v>27</v>
      </c>
      <c r="H90" s="29">
        <v>27</v>
      </c>
      <c r="I90" s="29"/>
      <c r="J90" s="29">
        <v>1</v>
      </c>
      <c r="K90" s="29">
        <f t="shared" si="28"/>
        <v>2200</v>
      </c>
      <c r="L90" s="29">
        <v>2400</v>
      </c>
      <c r="M90" s="29">
        <v>2000</v>
      </c>
      <c r="N90" s="29"/>
      <c r="O90" s="29">
        <f>C90/$J90*$K90</f>
        <v>170.30752916224813</v>
      </c>
      <c r="P90" s="35">
        <v>77</v>
      </c>
      <c r="Q90" s="21">
        <f t="shared" si="21"/>
        <v>625022.09968186636</v>
      </c>
      <c r="R90" s="25">
        <f t="shared" si="22"/>
        <v>81270.75291622481</v>
      </c>
      <c r="S90" s="25">
        <f t="shared" si="22"/>
        <v>122468.14422057263</v>
      </c>
      <c r="T90" s="25">
        <f t="shared" si="22"/>
        <v>160600</v>
      </c>
      <c r="U90" s="31">
        <f t="shared" si="24"/>
        <v>59400</v>
      </c>
      <c r="V90" s="31">
        <f t="shared" si="25"/>
        <v>59400</v>
      </c>
      <c r="W90" s="25">
        <f t="shared" si="20"/>
        <v>141883.20254506893</v>
      </c>
      <c r="X90" s="116"/>
      <c r="Y90" s="115">
        <f t="shared" si="19"/>
        <v>0</v>
      </c>
    </row>
    <row r="91" spans="1:25" s="41" customFormat="1" ht="24.75" hidden="1" customHeight="1" outlineLevel="3" x14ac:dyDescent="0.35">
      <c r="A91" s="26" t="s">
        <v>236</v>
      </c>
      <c r="B91" s="27" t="s">
        <v>57</v>
      </c>
      <c r="C91" s="28">
        <f>E91/$T$2</f>
        <v>7.4231177094379638E-2</v>
      </c>
      <c r="D91" s="29">
        <v>30</v>
      </c>
      <c r="E91" s="29">
        <v>70</v>
      </c>
      <c r="F91" s="29"/>
      <c r="G91" s="29"/>
      <c r="H91" s="29"/>
      <c r="I91" s="29"/>
      <c r="J91" s="29">
        <v>1</v>
      </c>
      <c r="K91" s="29">
        <f t="shared" si="28"/>
        <v>1800</v>
      </c>
      <c r="L91" s="29">
        <v>1600</v>
      </c>
      <c r="M91" s="29">
        <v>2000</v>
      </c>
      <c r="N91" s="29"/>
      <c r="O91" s="29">
        <f>C91/$J91*$K91</f>
        <v>133.61611876988334</v>
      </c>
      <c r="P91" s="35">
        <v>78</v>
      </c>
      <c r="Q91" s="21">
        <f t="shared" si="21"/>
        <v>397160.55143160129</v>
      </c>
      <c r="R91" s="25">
        <f t="shared" si="22"/>
        <v>63761.611876988332</v>
      </c>
      <c r="S91" s="25">
        <f t="shared" si="22"/>
        <v>96083.351007423116</v>
      </c>
      <c r="T91" s="25">
        <f t="shared" si="22"/>
        <v>125999.99999999999</v>
      </c>
      <c r="U91" s="31">
        <f t="shared" si="24"/>
        <v>0</v>
      </c>
      <c r="V91" s="31">
        <f t="shared" si="25"/>
        <v>0</v>
      </c>
      <c r="W91" s="25">
        <f t="shared" si="20"/>
        <v>111315.58854718982</v>
      </c>
      <c r="X91" s="117"/>
      <c r="Y91" s="115">
        <f t="shared" si="19"/>
        <v>0</v>
      </c>
    </row>
    <row r="92" spans="1:25" s="36" customFormat="1" ht="24.75" hidden="1" customHeight="1" outlineLevel="3" x14ac:dyDescent="0.35">
      <c r="A92" s="26" t="s">
        <v>424</v>
      </c>
      <c r="B92" s="27" t="s">
        <v>57</v>
      </c>
      <c r="C92" s="28">
        <f t="shared" si="27"/>
        <v>0.20859407592824364</v>
      </c>
      <c r="D92" s="29"/>
      <c r="E92" s="29">
        <v>150</v>
      </c>
      <c r="F92" s="29">
        <v>43</v>
      </c>
      <c r="G92" s="29">
        <v>30</v>
      </c>
      <c r="H92" s="29">
        <v>22</v>
      </c>
      <c r="I92" s="29">
        <v>228</v>
      </c>
      <c r="J92" s="29">
        <v>1</v>
      </c>
      <c r="K92" s="29">
        <f t="shared" si="28"/>
        <v>400</v>
      </c>
      <c r="L92" s="29">
        <v>350</v>
      </c>
      <c r="M92" s="29">
        <v>400</v>
      </c>
      <c r="N92" s="29">
        <v>450</v>
      </c>
      <c r="O92" s="29">
        <f>C92/$J92*$K92</f>
        <v>83.437630371297459</v>
      </c>
      <c r="P92" s="35">
        <v>79</v>
      </c>
      <c r="Q92" s="21">
        <f t="shared" si="21"/>
        <v>268810.01251564454</v>
      </c>
      <c r="R92" s="25">
        <f t="shared" si="22"/>
        <v>39816.437213183148</v>
      </c>
      <c r="S92" s="25">
        <f t="shared" si="22"/>
        <v>60000.000000000007</v>
      </c>
      <c r="T92" s="25">
        <f t="shared" si="22"/>
        <v>78681.6854401335</v>
      </c>
      <c r="U92" s="31">
        <f t="shared" si="24"/>
        <v>12000</v>
      </c>
      <c r="V92" s="31">
        <f t="shared" si="25"/>
        <v>8800</v>
      </c>
      <c r="W92" s="25">
        <f t="shared" si="20"/>
        <v>69511.889862327909</v>
      </c>
      <c r="X92" s="116"/>
      <c r="Y92" s="115">
        <f t="shared" si="19"/>
        <v>0</v>
      </c>
    </row>
    <row r="93" spans="1:25" s="36" customFormat="1" ht="24.75" hidden="1" customHeight="1" outlineLevel="3" x14ac:dyDescent="0.35">
      <c r="A93" s="26" t="s">
        <v>238</v>
      </c>
      <c r="B93" s="27" t="s">
        <v>10</v>
      </c>
      <c r="C93" s="28">
        <f t="shared" si="27"/>
        <v>2.7812543457099152E-2</v>
      </c>
      <c r="D93" s="29">
        <v>13</v>
      </c>
      <c r="E93" s="29">
        <v>20</v>
      </c>
      <c r="F93" s="29">
        <v>28</v>
      </c>
      <c r="G93" s="29">
        <v>1</v>
      </c>
      <c r="H93" s="29">
        <v>8</v>
      </c>
      <c r="I93" s="29"/>
      <c r="J93" s="29">
        <v>1</v>
      </c>
      <c r="K93" s="29">
        <f t="shared" si="28"/>
        <v>1408.2820512820515</v>
      </c>
      <c r="L93" s="29">
        <f>(5*2100+8*950)/13</f>
        <v>1392.3076923076924</v>
      </c>
      <c r="M93" s="29">
        <f>(5*2059+8*1091)/13</f>
        <v>1463.3076923076924</v>
      </c>
      <c r="N93" s="29">
        <f>(5*1800+1100*8)/13</f>
        <v>1369.2307692307693</v>
      </c>
      <c r="O93" s="29">
        <f t="shared" ref="O93:O153" si="29">C93/$J93*$K93</f>
        <v>39.167905751134796</v>
      </c>
      <c r="P93" s="35">
        <v>80</v>
      </c>
      <c r="Q93" s="21">
        <f t="shared" si="21"/>
        <v>129097.22151621152</v>
      </c>
      <c r="R93" s="25">
        <f t="shared" si="22"/>
        <v>18690.924624441523</v>
      </c>
      <c r="S93" s="25">
        <f t="shared" si="22"/>
        <v>28165.641025641035</v>
      </c>
      <c r="T93" s="25">
        <f t="shared" si="22"/>
        <v>36935.33512332011</v>
      </c>
      <c r="U93" s="31">
        <f t="shared" si="24"/>
        <v>1408.2820512820515</v>
      </c>
      <c r="V93" s="31">
        <f t="shared" si="25"/>
        <v>11266.256410256412</v>
      </c>
      <c r="W93" s="25">
        <f t="shared" si="20"/>
        <v>32630.7822812704</v>
      </c>
      <c r="X93" s="116"/>
      <c r="Y93" s="115">
        <f t="shared" si="19"/>
        <v>0</v>
      </c>
    </row>
    <row r="94" spans="1:25" s="32" customFormat="1" ht="24.75" hidden="1" customHeight="1" outlineLevel="3" x14ac:dyDescent="0.35">
      <c r="A94" s="37" t="s">
        <v>47</v>
      </c>
      <c r="B94" s="27"/>
      <c r="C94" s="28">
        <f t="shared" si="27"/>
        <v>1.3906271728549575E-3</v>
      </c>
      <c r="D94" s="39">
        <v>1</v>
      </c>
      <c r="E94" s="39">
        <v>1</v>
      </c>
      <c r="F94" s="39">
        <v>1</v>
      </c>
      <c r="G94" s="39">
        <v>1</v>
      </c>
      <c r="H94" s="39">
        <v>1</v>
      </c>
      <c r="I94" s="39">
        <v>1</v>
      </c>
      <c r="J94" s="29">
        <v>1</v>
      </c>
      <c r="K94" s="29">
        <f t="shared" si="28"/>
        <v>1856</v>
      </c>
      <c r="L94" s="29">
        <v>1188</v>
      </c>
      <c r="M94" s="29">
        <v>1380</v>
      </c>
      <c r="N94" s="29">
        <v>3000</v>
      </c>
      <c r="O94" s="29">
        <f t="shared" si="29"/>
        <v>2.5810040328188011</v>
      </c>
      <c r="P94" s="35">
        <v>81</v>
      </c>
      <c r="Q94" s="21">
        <f t="shared" si="21"/>
        <v>11383.776387150605</v>
      </c>
      <c r="R94" s="25">
        <f t="shared" si="22"/>
        <v>1231.6551244611319</v>
      </c>
      <c r="S94" s="25">
        <f t="shared" si="22"/>
        <v>1856</v>
      </c>
      <c r="T94" s="25">
        <f t="shared" si="22"/>
        <v>2433.8868029481296</v>
      </c>
      <c r="U94" s="31">
        <f t="shared" si="24"/>
        <v>1856</v>
      </c>
      <c r="V94" s="31">
        <f t="shared" si="25"/>
        <v>1856</v>
      </c>
      <c r="W94" s="25">
        <f t="shared" si="20"/>
        <v>2150.234459741343</v>
      </c>
      <c r="X94" s="115"/>
      <c r="Y94" s="115">
        <f t="shared" si="19"/>
        <v>0</v>
      </c>
    </row>
    <row r="95" spans="1:25" s="32" customFormat="1" ht="15" hidden="1" customHeight="1" outlineLevel="2" collapsed="1" x14ac:dyDescent="0.35">
      <c r="A95" s="33" t="s">
        <v>66</v>
      </c>
      <c r="B95" s="34" t="s">
        <v>3</v>
      </c>
      <c r="C95" s="34" t="s">
        <v>3</v>
      </c>
      <c r="D95" s="34" t="s">
        <v>3</v>
      </c>
      <c r="E95" s="34" t="s">
        <v>3</v>
      </c>
      <c r="F95" s="34" t="s">
        <v>3</v>
      </c>
      <c r="G95" s="34" t="s">
        <v>3</v>
      </c>
      <c r="H95" s="34" t="s">
        <v>3</v>
      </c>
      <c r="I95" s="34" t="s">
        <v>3</v>
      </c>
      <c r="J95" s="34" t="s">
        <v>3</v>
      </c>
      <c r="K95" s="34" t="s">
        <v>3</v>
      </c>
      <c r="L95" s="34"/>
      <c r="M95" s="34"/>
      <c r="N95" s="34"/>
      <c r="O95" s="29">
        <f>SUM(O96:O134)</f>
        <v>287.6069654801239</v>
      </c>
      <c r="P95" s="34" t="s">
        <v>3</v>
      </c>
      <c r="Q95" s="21">
        <f t="shared" si="21"/>
        <v>957103.67752645374</v>
      </c>
      <c r="R95" s="25">
        <f t="shared" si="22"/>
        <v>137246.04392711513</v>
      </c>
      <c r="S95" s="25">
        <f t="shared" si="22"/>
        <v>206818.16887675712</v>
      </c>
      <c r="T95" s="25">
        <f t="shared" si="22"/>
        <v>271213.36844775686</v>
      </c>
      <c r="U95" s="31">
        <f>SUM(U96:U134)</f>
        <v>51110.366666666669</v>
      </c>
      <c r="V95" s="31">
        <f>SUM(V96:V134)</f>
        <v>51110.366666666669</v>
      </c>
      <c r="W95" s="25">
        <f t="shared" si="20"/>
        <v>239605.36294149124</v>
      </c>
      <c r="X95" s="115"/>
      <c r="Y95" s="115">
        <f t="shared" si="19"/>
        <v>0</v>
      </c>
    </row>
    <row r="96" spans="1:25" s="32" customFormat="1" ht="24.75" hidden="1" customHeight="1" outlineLevel="3" x14ac:dyDescent="0.35">
      <c r="A96" s="26" t="s">
        <v>28</v>
      </c>
      <c r="B96" s="38" t="s">
        <v>260</v>
      </c>
      <c r="C96" s="28">
        <f>F96/$T$2</f>
        <v>0.29692470837751855</v>
      </c>
      <c r="D96" s="39">
        <v>200</v>
      </c>
      <c r="E96" s="39">
        <v>500</v>
      </c>
      <c r="F96" s="39">
        <v>280</v>
      </c>
      <c r="G96" s="39">
        <v>60</v>
      </c>
      <c r="H96" s="39">
        <v>60</v>
      </c>
      <c r="I96" s="39">
        <v>280</v>
      </c>
      <c r="J96" s="39">
        <v>1</v>
      </c>
      <c r="K96" s="29">
        <f>AVERAGE(L96:N96)</f>
        <v>246.29333333333338</v>
      </c>
      <c r="L96" s="100">
        <v>257.19</v>
      </c>
      <c r="M96" s="100">
        <v>263.73</v>
      </c>
      <c r="N96" s="100">
        <v>217.96</v>
      </c>
      <c r="O96" s="29">
        <f t="shared" si="29"/>
        <v>73.130576175326979</v>
      </c>
      <c r="P96" s="35">
        <v>82</v>
      </c>
      <c r="Q96" s="21">
        <f t="shared" si="21"/>
        <v>246928.52462354192</v>
      </c>
      <c r="R96" s="25">
        <f t="shared" si="22"/>
        <v>34897.910950866033</v>
      </c>
      <c r="S96" s="25">
        <f t="shared" si="22"/>
        <v>52588.197327677633</v>
      </c>
      <c r="T96" s="25">
        <f t="shared" si="22"/>
        <v>68962.133333333346</v>
      </c>
      <c r="U96" s="31">
        <f t="shared" si="24"/>
        <v>14777.600000000002</v>
      </c>
      <c r="V96" s="31">
        <f t="shared" si="25"/>
        <v>14777.600000000002</v>
      </c>
      <c r="W96" s="25">
        <f t="shared" si="20"/>
        <v>60925.083011664909</v>
      </c>
      <c r="X96" s="115"/>
      <c r="Y96" s="115">
        <f t="shared" si="19"/>
        <v>0</v>
      </c>
    </row>
    <row r="97" spans="1:25" s="32" customFormat="1" ht="24.75" hidden="1" customHeight="1" outlineLevel="3" x14ac:dyDescent="0.35">
      <c r="A97" s="37" t="s">
        <v>323</v>
      </c>
      <c r="B97" s="27" t="s">
        <v>10</v>
      </c>
      <c r="C97" s="28">
        <f t="shared" ref="C97:C104" si="30">I97/$W$2</f>
        <v>6.0016804705317485E-2</v>
      </c>
      <c r="D97" s="39"/>
      <c r="E97" s="39">
        <v>20</v>
      </c>
      <c r="F97" s="39"/>
      <c r="G97" s="39"/>
      <c r="H97" s="39"/>
      <c r="I97" s="39">
        <v>50</v>
      </c>
      <c r="J97" s="29">
        <v>1</v>
      </c>
      <c r="K97" s="29">
        <f>AVERAGE(L97:N97)</f>
        <v>93.743333333333325</v>
      </c>
      <c r="L97" s="29">
        <v>97.89</v>
      </c>
      <c r="M97" s="29">
        <v>100.38</v>
      </c>
      <c r="N97" s="29">
        <v>82.96</v>
      </c>
      <c r="O97" s="29">
        <f t="shared" si="29"/>
        <v>5.6261753290921446</v>
      </c>
      <c r="P97" s="35">
        <v>83</v>
      </c>
      <c r="Q97" s="21">
        <f t="shared" si="21"/>
        <v>16723.243548193492</v>
      </c>
      <c r="R97" s="25">
        <f t="shared" si="22"/>
        <v>2684.8108670427714</v>
      </c>
      <c r="S97" s="25">
        <f t="shared" si="22"/>
        <v>4045.7826791501611</v>
      </c>
      <c r="T97" s="25">
        <f t="shared" si="22"/>
        <v>5305.4833353338927</v>
      </c>
      <c r="U97" s="31">
        <f t="shared" si="24"/>
        <v>0</v>
      </c>
      <c r="V97" s="31">
        <f t="shared" si="25"/>
        <v>0</v>
      </c>
      <c r="W97" s="25">
        <f t="shared" si="20"/>
        <v>4687.1666666666661</v>
      </c>
      <c r="X97" s="115"/>
      <c r="Y97" s="115">
        <f t="shared" si="19"/>
        <v>0</v>
      </c>
    </row>
    <row r="98" spans="1:25" s="32" customFormat="1" ht="24.75" hidden="1" customHeight="1" outlineLevel="3" x14ac:dyDescent="0.35">
      <c r="A98" s="37" t="s">
        <v>324</v>
      </c>
      <c r="B98" s="27" t="s">
        <v>10</v>
      </c>
      <c r="C98" s="28">
        <f t="shared" si="30"/>
        <v>6.0016804705317485E-2</v>
      </c>
      <c r="D98" s="39"/>
      <c r="E98" s="39">
        <v>10</v>
      </c>
      <c r="F98" s="39"/>
      <c r="G98" s="39">
        <v>50</v>
      </c>
      <c r="H98" s="39">
        <v>50</v>
      </c>
      <c r="I98" s="39">
        <v>50</v>
      </c>
      <c r="J98" s="29">
        <v>1</v>
      </c>
      <c r="K98" s="29">
        <f>AVERAGE(L98:N98)</f>
        <v>112.23333333333333</v>
      </c>
      <c r="L98" s="29">
        <v>117.2</v>
      </c>
      <c r="M98" s="29">
        <v>120.18</v>
      </c>
      <c r="N98" s="29">
        <v>99.32</v>
      </c>
      <c r="O98" s="29">
        <f t="shared" si="29"/>
        <v>6.7358860480934659</v>
      </c>
      <c r="P98" s="35">
        <v>84</v>
      </c>
      <c r="Q98" s="21">
        <f t="shared" si="21"/>
        <v>31245.081022686354</v>
      </c>
      <c r="R98" s="25">
        <f t="shared" si="22"/>
        <v>3214.3648221502017</v>
      </c>
      <c r="S98" s="25">
        <f t="shared" si="22"/>
        <v>4843.7756571840118</v>
      </c>
      <c r="T98" s="25">
        <f t="shared" si="22"/>
        <v>6351.9405433521388</v>
      </c>
      <c r="U98" s="31">
        <f t="shared" si="24"/>
        <v>5611.666666666667</v>
      </c>
      <c r="V98" s="31">
        <f t="shared" si="25"/>
        <v>5611.666666666667</v>
      </c>
      <c r="W98" s="25">
        <f t="shared" si="20"/>
        <v>5611.666666666667</v>
      </c>
      <c r="X98" s="115"/>
      <c r="Y98" s="115">
        <f t="shared" si="19"/>
        <v>0</v>
      </c>
    </row>
    <row r="99" spans="1:25" s="32" customFormat="1" ht="24.75" hidden="1" customHeight="1" outlineLevel="3" x14ac:dyDescent="0.35">
      <c r="A99" s="37" t="s">
        <v>328</v>
      </c>
      <c r="B99" s="27" t="s">
        <v>26</v>
      </c>
      <c r="C99" s="28">
        <f t="shared" si="30"/>
        <v>2.4006721882126995E-2</v>
      </c>
      <c r="D99" s="39">
        <v>10</v>
      </c>
      <c r="E99" s="39">
        <v>15</v>
      </c>
      <c r="F99" s="39">
        <v>20</v>
      </c>
      <c r="G99" s="39">
        <v>3</v>
      </c>
      <c r="H99" s="39">
        <v>3</v>
      </c>
      <c r="I99" s="39">
        <v>20</v>
      </c>
      <c r="J99" s="29">
        <v>1</v>
      </c>
      <c r="K99" s="29">
        <v>534</v>
      </c>
      <c r="L99" s="29">
        <v>544</v>
      </c>
      <c r="M99" s="29">
        <v>544</v>
      </c>
      <c r="N99" s="29">
        <v>514</v>
      </c>
      <c r="O99" s="29">
        <f t="shared" si="29"/>
        <v>12.819589485055815</v>
      </c>
      <c r="P99" s="35">
        <v>85</v>
      </c>
      <c r="Q99" s="21">
        <f t="shared" si="21"/>
        <v>41308.947785379904</v>
      </c>
      <c r="R99" s="25">
        <f t="shared" si="22"/>
        <v>6117.5081022686345</v>
      </c>
      <c r="S99" s="25">
        <f t="shared" si="22"/>
        <v>9218.5667987036359</v>
      </c>
      <c r="T99" s="25">
        <f t="shared" si="22"/>
        <v>12088.872884407634</v>
      </c>
      <c r="U99" s="31">
        <f t="shared" si="24"/>
        <v>1602</v>
      </c>
      <c r="V99" s="31">
        <f t="shared" si="25"/>
        <v>1602</v>
      </c>
      <c r="W99" s="25">
        <f t="shared" si="20"/>
        <v>10680</v>
      </c>
      <c r="X99" s="115"/>
      <c r="Y99" s="115">
        <f t="shared" si="19"/>
        <v>0</v>
      </c>
    </row>
    <row r="100" spans="1:25" s="32" customFormat="1" ht="24.75" hidden="1" customHeight="1" outlineLevel="3" x14ac:dyDescent="0.35">
      <c r="A100" s="37" t="s">
        <v>342</v>
      </c>
      <c r="B100" s="27" t="s">
        <v>10</v>
      </c>
      <c r="C100" s="28">
        <f t="shared" si="30"/>
        <v>3.0008402352658742E-2</v>
      </c>
      <c r="D100" s="39"/>
      <c r="E100" s="39"/>
      <c r="F100" s="39"/>
      <c r="G100" s="39">
        <v>10</v>
      </c>
      <c r="H100" s="39">
        <v>10</v>
      </c>
      <c r="I100" s="39">
        <v>25</v>
      </c>
      <c r="J100" s="29">
        <v>1</v>
      </c>
      <c r="K100" s="29">
        <f t="shared" ref="K100:K115" si="31">AVERAGE(L100:N100)</f>
        <v>22.436666666666667</v>
      </c>
      <c r="L100" s="29">
        <v>9</v>
      </c>
      <c r="M100" s="29">
        <v>32.43</v>
      </c>
      <c r="N100" s="29">
        <v>25.88</v>
      </c>
      <c r="O100" s="29">
        <f t="shared" si="29"/>
        <v>0.67328852078582002</v>
      </c>
      <c r="P100" s="35">
        <v>86</v>
      </c>
      <c r="Q100" s="21">
        <f t="shared" si="21"/>
        <v>2450.0161325171048</v>
      </c>
      <c r="R100" s="25">
        <f t="shared" si="22"/>
        <v>321.29328211899332</v>
      </c>
      <c r="S100" s="25">
        <f t="shared" si="22"/>
        <v>484.16177529708318</v>
      </c>
      <c r="T100" s="25">
        <f t="shared" si="22"/>
        <v>634.91107510102825</v>
      </c>
      <c r="U100" s="31">
        <f t="shared" si="24"/>
        <v>224.36666666666667</v>
      </c>
      <c r="V100" s="31">
        <f t="shared" si="25"/>
        <v>224.36666666666667</v>
      </c>
      <c r="W100" s="25">
        <f t="shared" si="20"/>
        <v>560.91666666666663</v>
      </c>
      <c r="X100" s="115"/>
      <c r="Y100" s="115">
        <f t="shared" si="19"/>
        <v>0</v>
      </c>
    </row>
    <row r="101" spans="1:25" s="32" customFormat="1" ht="24.75" hidden="1" customHeight="1" outlineLevel="3" x14ac:dyDescent="0.35">
      <c r="A101" s="37" t="s">
        <v>301</v>
      </c>
      <c r="B101" s="38" t="s">
        <v>10</v>
      </c>
      <c r="C101" s="28">
        <f t="shared" si="30"/>
        <v>8.402352658744448E-3</v>
      </c>
      <c r="D101" s="39"/>
      <c r="E101" s="39">
        <v>60</v>
      </c>
      <c r="F101" s="39"/>
      <c r="G101" s="39">
        <v>20</v>
      </c>
      <c r="H101" s="39">
        <v>20</v>
      </c>
      <c r="I101" s="39">
        <v>7</v>
      </c>
      <c r="J101" s="39">
        <v>1</v>
      </c>
      <c r="K101" s="29">
        <f t="shared" si="31"/>
        <v>16.09</v>
      </c>
      <c r="L101" s="100">
        <v>16.8</v>
      </c>
      <c r="M101" s="100">
        <v>17.23</v>
      </c>
      <c r="N101" s="100">
        <v>14.24</v>
      </c>
      <c r="O101" s="29">
        <f t="shared" si="29"/>
        <v>0.13519385427919817</v>
      </c>
      <c r="P101" s="35">
        <v>87</v>
      </c>
      <c r="Q101" s="21">
        <f t="shared" si="21"/>
        <v>1045.4502124594887</v>
      </c>
      <c r="R101" s="25">
        <f t="shared" si="22"/>
        <v>64.514507262033362</v>
      </c>
      <c r="S101" s="25">
        <f t="shared" si="22"/>
        <v>97.217900612171405</v>
      </c>
      <c r="T101" s="25">
        <f t="shared" si="22"/>
        <v>127.48780458528387</v>
      </c>
      <c r="U101" s="31">
        <f t="shared" si="24"/>
        <v>321.8</v>
      </c>
      <c r="V101" s="31">
        <f t="shared" si="25"/>
        <v>321.8</v>
      </c>
      <c r="W101" s="25">
        <f t="shared" si="20"/>
        <v>112.63</v>
      </c>
      <c r="X101" s="115"/>
      <c r="Y101" s="115">
        <f t="shared" si="19"/>
        <v>0</v>
      </c>
    </row>
    <row r="102" spans="1:25" s="32" customFormat="1" ht="24.75" hidden="1" customHeight="1" outlineLevel="3" x14ac:dyDescent="0.35">
      <c r="A102" s="37" t="s">
        <v>302</v>
      </c>
      <c r="B102" s="38" t="s">
        <v>10</v>
      </c>
      <c r="C102" s="28">
        <f t="shared" si="30"/>
        <v>0.14404033129276198</v>
      </c>
      <c r="D102" s="39">
        <v>80</v>
      </c>
      <c r="E102" s="39">
        <v>50</v>
      </c>
      <c r="F102" s="39"/>
      <c r="G102" s="39">
        <v>50</v>
      </c>
      <c r="H102" s="39">
        <v>50</v>
      </c>
      <c r="I102" s="39">
        <v>120</v>
      </c>
      <c r="J102" s="39">
        <v>1</v>
      </c>
      <c r="K102" s="29">
        <f t="shared" si="31"/>
        <v>49.300000000000004</v>
      </c>
      <c r="L102" s="100">
        <v>51.48</v>
      </c>
      <c r="M102" s="100">
        <v>52.79</v>
      </c>
      <c r="N102" s="100">
        <v>43.63</v>
      </c>
      <c r="O102" s="29">
        <f t="shared" si="29"/>
        <v>7.101188332733166</v>
      </c>
      <c r="P102" s="35">
        <v>88</v>
      </c>
      <c r="Q102" s="21">
        <f t="shared" si="21"/>
        <v>26037.572200216062</v>
      </c>
      <c r="R102" s="25">
        <f t="shared" si="22"/>
        <v>3388.6870723802667</v>
      </c>
      <c r="S102" s="25">
        <f t="shared" si="22"/>
        <v>5106.4645300684197</v>
      </c>
      <c r="T102" s="25">
        <f t="shared" si="22"/>
        <v>6696.4205977673755</v>
      </c>
      <c r="U102" s="31">
        <f t="shared" si="24"/>
        <v>2465</v>
      </c>
      <c r="V102" s="31">
        <f t="shared" si="25"/>
        <v>2465</v>
      </c>
      <c r="W102" s="25">
        <f t="shared" si="20"/>
        <v>5916.0000000000009</v>
      </c>
      <c r="X102" s="115"/>
      <c r="Y102" s="115">
        <f t="shared" si="19"/>
        <v>0</v>
      </c>
    </row>
    <row r="103" spans="1:25" s="32" customFormat="1" ht="24.75" hidden="1" customHeight="1" outlineLevel="3" x14ac:dyDescent="0.35">
      <c r="A103" s="37" t="s">
        <v>303</v>
      </c>
      <c r="B103" s="38" t="s">
        <v>10</v>
      </c>
      <c r="C103" s="28">
        <f t="shared" si="30"/>
        <v>6.0016804705317485E-2</v>
      </c>
      <c r="D103" s="39">
        <v>50</v>
      </c>
      <c r="E103" s="39">
        <v>50</v>
      </c>
      <c r="F103" s="39">
        <v>50</v>
      </c>
      <c r="G103" s="39">
        <v>25</v>
      </c>
      <c r="H103" s="39">
        <v>25</v>
      </c>
      <c r="I103" s="39">
        <v>50</v>
      </c>
      <c r="J103" s="39">
        <v>1</v>
      </c>
      <c r="K103" s="29">
        <f t="shared" si="31"/>
        <v>26.313333333333333</v>
      </c>
      <c r="L103" s="100">
        <v>27.42</v>
      </c>
      <c r="M103" s="100">
        <v>28.21</v>
      </c>
      <c r="N103" s="100">
        <v>23.31</v>
      </c>
      <c r="O103" s="29">
        <f t="shared" si="29"/>
        <v>1.5792421878125873</v>
      </c>
      <c r="P103" s="35">
        <v>89</v>
      </c>
      <c r="Q103" s="21">
        <f t="shared" si="21"/>
        <v>6009.8061457208005</v>
      </c>
      <c r="R103" s="25">
        <f t="shared" si="22"/>
        <v>753.61437202416664</v>
      </c>
      <c r="S103" s="25">
        <f t="shared" si="22"/>
        <v>1135.6330572560316</v>
      </c>
      <c r="T103" s="25">
        <f t="shared" si="22"/>
        <v>1489.2253831072699</v>
      </c>
      <c r="U103" s="31">
        <f t="shared" si="24"/>
        <v>657.83333333333326</v>
      </c>
      <c r="V103" s="31">
        <f t="shared" si="25"/>
        <v>657.83333333333326</v>
      </c>
      <c r="W103" s="25">
        <f t="shared" si="20"/>
        <v>1315.6666666666665</v>
      </c>
      <c r="X103" s="115"/>
      <c r="Y103" s="115">
        <f t="shared" si="19"/>
        <v>0</v>
      </c>
    </row>
    <row r="104" spans="1:25" s="32" customFormat="1" ht="24.75" hidden="1" customHeight="1" outlineLevel="3" x14ac:dyDescent="0.35">
      <c r="A104" s="37" t="s">
        <v>336</v>
      </c>
      <c r="B104" s="27" t="s">
        <v>10</v>
      </c>
      <c r="C104" s="28">
        <f t="shared" si="30"/>
        <v>5.4015124234785737E-2</v>
      </c>
      <c r="D104" s="39"/>
      <c r="E104" s="39"/>
      <c r="F104" s="39"/>
      <c r="G104" s="39"/>
      <c r="H104" s="39"/>
      <c r="I104" s="39">
        <v>45</v>
      </c>
      <c r="J104" s="29">
        <v>1</v>
      </c>
      <c r="K104" s="29">
        <f t="shared" si="31"/>
        <v>43.686666666666667</v>
      </c>
      <c r="L104" s="29">
        <v>45.62</v>
      </c>
      <c r="M104" s="29">
        <v>46.78</v>
      </c>
      <c r="N104" s="29">
        <v>38.659999999999997</v>
      </c>
      <c r="O104" s="29">
        <f t="shared" si="29"/>
        <v>2.3597407274036728</v>
      </c>
      <c r="P104" s="35">
        <v>90</v>
      </c>
      <c r="Q104" s="21">
        <f t="shared" si="21"/>
        <v>7014.0933381346767</v>
      </c>
      <c r="R104" s="25">
        <f t="shared" si="22"/>
        <v>1126.0682751170327</v>
      </c>
      <c r="S104" s="25">
        <f t="shared" si="22"/>
        <v>1696.8895570759812</v>
      </c>
      <c r="T104" s="25">
        <f t="shared" si="22"/>
        <v>2225.2355059416636</v>
      </c>
      <c r="U104" s="31">
        <f t="shared" si="24"/>
        <v>0</v>
      </c>
      <c r="V104" s="31">
        <f t="shared" si="25"/>
        <v>0</v>
      </c>
      <c r="W104" s="25">
        <f t="shared" si="20"/>
        <v>1965.8999999999999</v>
      </c>
      <c r="X104" s="115"/>
      <c r="Y104" s="115">
        <f t="shared" si="19"/>
        <v>0</v>
      </c>
    </row>
    <row r="105" spans="1:25" s="32" customFormat="1" ht="24.75" hidden="1" customHeight="1" outlineLevel="3" x14ac:dyDescent="0.35">
      <c r="A105" s="37" t="s">
        <v>477</v>
      </c>
      <c r="B105" s="27" t="s">
        <v>10</v>
      </c>
      <c r="C105" s="28">
        <f>E105/$S$2</f>
        <v>0.27812543457099148</v>
      </c>
      <c r="D105" s="39"/>
      <c r="E105" s="39">
        <v>200</v>
      </c>
      <c r="F105" s="39"/>
      <c r="G105" s="39"/>
      <c r="H105" s="39"/>
      <c r="I105" s="39"/>
      <c r="J105" s="29">
        <v>1</v>
      </c>
      <c r="K105" s="29">
        <f t="shared" si="31"/>
        <v>275.59999999999997</v>
      </c>
      <c r="L105" s="29">
        <v>286.74</v>
      </c>
      <c r="M105" s="29">
        <v>294.02999999999997</v>
      </c>
      <c r="N105" s="29">
        <v>246.03</v>
      </c>
      <c r="O105" s="29">
        <f t="shared" si="29"/>
        <v>76.651369767765246</v>
      </c>
      <c r="P105" s="35">
        <v>91</v>
      </c>
      <c r="Q105" s="21">
        <f t="shared" si="21"/>
        <v>227838.53149770541</v>
      </c>
      <c r="R105" s="25">
        <f t="shared" si="22"/>
        <v>36578.033653177576</v>
      </c>
      <c r="S105" s="25">
        <f t="shared" si="22"/>
        <v>55119.999999999993</v>
      </c>
      <c r="T105" s="25">
        <f t="shared" si="22"/>
        <v>72282.241691002622</v>
      </c>
      <c r="U105" s="31">
        <f t="shared" si="24"/>
        <v>0</v>
      </c>
      <c r="V105" s="31">
        <f t="shared" si="25"/>
        <v>0</v>
      </c>
      <c r="W105" s="25">
        <f t="shared" si="20"/>
        <v>63858.256153525232</v>
      </c>
      <c r="X105" s="115"/>
      <c r="Y105" s="115">
        <f t="shared" si="19"/>
        <v>0</v>
      </c>
    </row>
    <row r="106" spans="1:25" s="32" customFormat="1" ht="24.75" hidden="1" customHeight="1" outlineLevel="3" x14ac:dyDescent="0.35">
      <c r="A106" s="37" t="s">
        <v>343</v>
      </c>
      <c r="B106" s="27" t="s">
        <v>10</v>
      </c>
      <c r="C106" s="28">
        <f>E106/$S$2</f>
        <v>2.225003476567932E-2</v>
      </c>
      <c r="D106" s="39">
        <v>6</v>
      </c>
      <c r="E106" s="39">
        <v>16</v>
      </c>
      <c r="F106" s="39"/>
      <c r="G106" s="39">
        <v>20</v>
      </c>
      <c r="H106" s="39">
        <v>20</v>
      </c>
      <c r="I106" s="39">
        <v>2</v>
      </c>
      <c r="J106" s="29">
        <v>1</v>
      </c>
      <c r="K106" s="29">
        <f t="shared" si="31"/>
        <v>29.77333333333333</v>
      </c>
      <c r="L106" s="29">
        <v>31.09</v>
      </c>
      <c r="M106" s="29">
        <v>31.88</v>
      </c>
      <c r="N106" s="29">
        <v>26.35</v>
      </c>
      <c r="O106" s="29">
        <f t="shared" si="29"/>
        <v>0.6624577017568255</v>
      </c>
      <c r="P106" s="35">
        <v>92</v>
      </c>
      <c r="Q106" s="21">
        <f t="shared" si="21"/>
        <v>3160.0226060353216</v>
      </c>
      <c r="R106" s="25">
        <f t="shared" si="22"/>
        <v>316.12481527835712</v>
      </c>
      <c r="S106" s="25">
        <f t="shared" si="22"/>
        <v>476.37333333333322</v>
      </c>
      <c r="T106" s="25">
        <f t="shared" si="22"/>
        <v>624.69761275668645</v>
      </c>
      <c r="U106" s="31">
        <f t="shared" si="24"/>
        <v>595.46666666666658</v>
      </c>
      <c r="V106" s="31">
        <f t="shared" si="25"/>
        <v>595.46666666666658</v>
      </c>
      <c r="W106" s="25">
        <f t="shared" si="20"/>
        <v>551.89351133361129</v>
      </c>
      <c r="X106" s="115"/>
      <c r="Y106" s="115">
        <f t="shared" si="19"/>
        <v>0</v>
      </c>
    </row>
    <row r="107" spans="1:25" s="32" customFormat="1" ht="24.75" hidden="1" customHeight="1" outlineLevel="3" x14ac:dyDescent="0.35">
      <c r="A107" s="37" t="s">
        <v>341</v>
      </c>
      <c r="B107" s="27" t="s">
        <v>26</v>
      </c>
      <c r="C107" s="28">
        <f>E107/$S$2</f>
        <v>1.3906271728549576E-2</v>
      </c>
      <c r="D107" s="39"/>
      <c r="E107" s="39">
        <v>10</v>
      </c>
      <c r="F107" s="39"/>
      <c r="G107" s="39">
        <v>10</v>
      </c>
      <c r="H107" s="39">
        <v>10</v>
      </c>
      <c r="I107" s="39"/>
      <c r="J107" s="29">
        <v>1</v>
      </c>
      <c r="K107" s="29">
        <f t="shared" si="31"/>
        <v>30.330000000000002</v>
      </c>
      <c r="L107" s="29">
        <v>18.399999999999999</v>
      </c>
      <c r="M107" s="29">
        <v>22.63</v>
      </c>
      <c r="N107" s="29">
        <v>49.96</v>
      </c>
      <c r="O107" s="29">
        <f t="shared" si="29"/>
        <v>0.42177722152690866</v>
      </c>
      <c r="P107" s="35">
        <v>93</v>
      </c>
      <c r="Q107" s="21">
        <f t="shared" si="21"/>
        <v>1860.2906132665833</v>
      </c>
      <c r="R107" s="25">
        <f t="shared" si="22"/>
        <v>201.2720901126408</v>
      </c>
      <c r="S107" s="25">
        <f t="shared" si="22"/>
        <v>303.3</v>
      </c>
      <c r="T107" s="25">
        <f t="shared" si="22"/>
        <v>397.73591989987489</v>
      </c>
      <c r="U107" s="31">
        <f t="shared" si="24"/>
        <v>303.3</v>
      </c>
      <c r="V107" s="31">
        <f t="shared" si="25"/>
        <v>303.3</v>
      </c>
      <c r="W107" s="25">
        <f t="shared" si="20"/>
        <v>351.38260325406759</v>
      </c>
      <c r="X107" s="115"/>
      <c r="Y107" s="115">
        <f t="shared" si="19"/>
        <v>0</v>
      </c>
    </row>
    <row r="108" spans="1:25" s="32" customFormat="1" ht="24.75" hidden="1" customHeight="1" outlineLevel="3" x14ac:dyDescent="0.35">
      <c r="A108" s="37" t="s">
        <v>307</v>
      </c>
      <c r="B108" s="38" t="s">
        <v>26</v>
      </c>
      <c r="C108" s="28">
        <f>I108/$W$2</f>
        <v>6.0016804705317485E-2</v>
      </c>
      <c r="D108" s="39"/>
      <c r="E108" s="39"/>
      <c r="F108" s="39"/>
      <c r="G108" s="39"/>
      <c r="H108" s="39"/>
      <c r="I108" s="39">
        <v>50</v>
      </c>
      <c r="J108" s="39">
        <v>1</v>
      </c>
      <c r="K108" s="29">
        <f t="shared" si="31"/>
        <v>199.04</v>
      </c>
      <c r="L108" s="100">
        <v>207.85</v>
      </c>
      <c r="M108" s="100">
        <v>213.13</v>
      </c>
      <c r="N108" s="100">
        <v>176.14</v>
      </c>
      <c r="O108" s="29">
        <f t="shared" si="29"/>
        <v>11.945744808546392</v>
      </c>
      <c r="P108" s="35">
        <v>94</v>
      </c>
      <c r="Q108" s="21">
        <f t="shared" si="21"/>
        <v>35507.531868923295</v>
      </c>
      <c r="R108" s="25">
        <f t="shared" si="22"/>
        <v>5700.509422638338</v>
      </c>
      <c r="S108" s="25">
        <f t="shared" si="22"/>
        <v>8590.1850918257114</v>
      </c>
      <c r="T108" s="25">
        <f t="shared" si="22"/>
        <v>11264.837354459247</v>
      </c>
      <c r="U108" s="31">
        <f t="shared" si="24"/>
        <v>0</v>
      </c>
      <c r="V108" s="31">
        <f t="shared" si="25"/>
        <v>0</v>
      </c>
      <c r="W108" s="25">
        <f t="shared" si="20"/>
        <v>9952</v>
      </c>
      <c r="X108" s="115"/>
      <c r="Y108" s="115">
        <f t="shared" si="19"/>
        <v>0</v>
      </c>
    </row>
    <row r="109" spans="1:25" s="32" customFormat="1" ht="24.75" hidden="1" customHeight="1" outlineLevel="3" x14ac:dyDescent="0.35">
      <c r="A109" s="37" t="s">
        <v>311</v>
      </c>
      <c r="B109" s="27" t="s">
        <v>10</v>
      </c>
      <c r="C109" s="28">
        <f>E109/$S$2</f>
        <v>0.13906271728549574</v>
      </c>
      <c r="D109" s="39">
        <v>40</v>
      </c>
      <c r="E109" s="39">
        <v>100</v>
      </c>
      <c r="F109" s="39"/>
      <c r="G109" s="39">
        <v>100</v>
      </c>
      <c r="H109" s="39">
        <v>100</v>
      </c>
      <c r="I109" s="39">
        <v>110</v>
      </c>
      <c r="J109" s="29">
        <v>1</v>
      </c>
      <c r="K109" s="29">
        <f t="shared" si="31"/>
        <v>114.63666666666666</v>
      </c>
      <c r="L109" s="29">
        <v>119.71</v>
      </c>
      <c r="M109" s="29">
        <v>122.75</v>
      </c>
      <c r="N109" s="29">
        <v>101.45</v>
      </c>
      <c r="O109" s="29">
        <f t="shared" si="29"/>
        <v>15.941686367218278</v>
      </c>
      <c r="P109" s="35">
        <v>95</v>
      </c>
      <c r="Q109" s="21">
        <f t="shared" si="21"/>
        <v>70312.401891252943</v>
      </c>
      <c r="R109" s="25">
        <f t="shared" si="22"/>
        <v>7607.3727344365616</v>
      </c>
      <c r="S109" s="25">
        <f t="shared" si="22"/>
        <v>11463.666666666664</v>
      </c>
      <c r="T109" s="25">
        <f t="shared" si="22"/>
        <v>15033.010244286836</v>
      </c>
      <c r="U109" s="31">
        <f t="shared" si="24"/>
        <v>11463.666666666666</v>
      </c>
      <c r="V109" s="31">
        <f t="shared" si="25"/>
        <v>11463.666666666666</v>
      </c>
      <c r="W109" s="25">
        <f t="shared" si="20"/>
        <v>13281.018912529547</v>
      </c>
      <c r="X109" s="115"/>
      <c r="Y109" s="115">
        <f t="shared" si="19"/>
        <v>0</v>
      </c>
    </row>
    <row r="110" spans="1:25" s="32" customFormat="1" ht="24.75" hidden="1" customHeight="1" outlineLevel="3" x14ac:dyDescent="0.35">
      <c r="A110" s="37" t="s">
        <v>304</v>
      </c>
      <c r="B110" s="38" t="s">
        <v>10</v>
      </c>
      <c r="C110" s="28">
        <f>D110/$R$2</f>
        <v>3.5624476110645431</v>
      </c>
      <c r="D110" s="39">
        <v>1700</v>
      </c>
      <c r="E110" s="39"/>
      <c r="F110" s="39"/>
      <c r="G110" s="39">
        <v>1000</v>
      </c>
      <c r="H110" s="39">
        <v>1000</v>
      </c>
      <c r="I110" s="39">
        <v>0</v>
      </c>
      <c r="J110" s="39">
        <v>1</v>
      </c>
      <c r="K110" s="29">
        <f t="shared" si="31"/>
        <v>1.51</v>
      </c>
      <c r="L110" s="100">
        <v>1.4</v>
      </c>
      <c r="M110" s="100">
        <v>1.58</v>
      </c>
      <c r="N110" s="100">
        <v>1.55</v>
      </c>
      <c r="O110" s="29">
        <f t="shared" si="29"/>
        <v>5.3792958927074599</v>
      </c>
      <c r="P110" s="35">
        <v>96</v>
      </c>
      <c r="Q110" s="21">
        <f t="shared" si="21"/>
        <v>19009.419111483654</v>
      </c>
      <c r="R110" s="25">
        <f t="shared" si="22"/>
        <v>2567</v>
      </c>
      <c r="S110" s="25">
        <f t="shared" si="22"/>
        <v>3868.2516764459347</v>
      </c>
      <c r="T110" s="25">
        <f t="shared" si="22"/>
        <v>5072.6760268231346</v>
      </c>
      <c r="U110" s="31">
        <f t="shared" si="24"/>
        <v>1510</v>
      </c>
      <c r="V110" s="31">
        <f t="shared" si="25"/>
        <v>1510</v>
      </c>
      <c r="W110" s="25">
        <f t="shared" si="20"/>
        <v>4481.4914082145851</v>
      </c>
      <c r="X110" s="115"/>
      <c r="Y110" s="115">
        <f t="shared" si="19"/>
        <v>0</v>
      </c>
    </row>
    <row r="111" spans="1:25" s="32" customFormat="1" ht="24.75" hidden="1" customHeight="1" outlineLevel="3" x14ac:dyDescent="0.35">
      <c r="A111" s="37" t="s">
        <v>306</v>
      </c>
      <c r="B111" s="38" t="s">
        <v>26</v>
      </c>
      <c r="C111" s="28">
        <f>I111/$W$2</f>
        <v>3.6010082823190494E-2</v>
      </c>
      <c r="D111" s="39"/>
      <c r="E111" s="39"/>
      <c r="F111" s="39"/>
      <c r="G111" s="39"/>
      <c r="H111" s="39"/>
      <c r="I111" s="39">
        <v>30</v>
      </c>
      <c r="J111" s="39">
        <v>1</v>
      </c>
      <c r="K111" s="29">
        <f t="shared" si="31"/>
        <v>129.82666666666668</v>
      </c>
      <c r="L111" s="100">
        <v>135.57</v>
      </c>
      <c r="M111" s="100">
        <v>139.02000000000001</v>
      </c>
      <c r="N111" s="100">
        <v>114.89</v>
      </c>
      <c r="O111" s="29">
        <f t="shared" si="29"/>
        <v>4.6750690193254121</v>
      </c>
      <c r="P111" s="35">
        <v>97</v>
      </c>
      <c r="Q111" s="21">
        <f t="shared" si="21"/>
        <v>13896.175153042856</v>
      </c>
      <c r="R111" s="25">
        <f t="shared" si="22"/>
        <v>2230.9429360220865</v>
      </c>
      <c r="S111" s="25">
        <f t="shared" si="22"/>
        <v>3361.8421317969041</v>
      </c>
      <c r="T111" s="25">
        <f t="shared" si="22"/>
        <v>4408.5900852238638</v>
      </c>
      <c r="U111" s="31">
        <f t="shared" si="24"/>
        <v>0</v>
      </c>
      <c r="V111" s="31">
        <f t="shared" si="25"/>
        <v>0</v>
      </c>
      <c r="W111" s="25">
        <f t="shared" si="20"/>
        <v>3894.8000000000011</v>
      </c>
      <c r="X111" s="115"/>
      <c r="Y111" s="115">
        <f t="shared" si="19"/>
        <v>0</v>
      </c>
    </row>
    <row r="112" spans="1:25" s="32" customFormat="1" ht="24.75" hidden="1" customHeight="1" outlineLevel="3" x14ac:dyDescent="0.35">
      <c r="A112" s="37" t="s">
        <v>309</v>
      </c>
      <c r="B112" s="27" t="s">
        <v>10</v>
      </c>
      <c r="C112" s="28">
        <f>E112/$S$2</f>
        <v>2.7812543457099152E-2</v>
      </c>
      <c r="D112" s="39">
        <v>14</v>
      </c>
      <c r="E112" s="39">
        <v>20</v>
      </c>
      <c r="F112" s="39"/>
      <c r="G112" s="39">
        <v>30</v>
      </c>
      <c r="H112" s="39">
        <v>30</v>
      </c>
      <c r="I112" s="39">
        <v>1</v>
      </c>
      <c r="J112" s="29">
        <v>1</v>
      </c>
      <c r="K112" s="29">
        <f t="shared" si="31"/>
        <v>53.403333333333336</v>
      </c>
      <c r="L112" s="29">
        <v>55.77</v>
      </c>
      <c r="M112" s="29">
        <v>57.18</v>
      </c>
      <c r="N112" s="29">
        <v>47.26</v>
      </c>
      <c r="O112" s="29">
        <f t="shared" si="29"/>
        <v>1.4852825290872851</v>
      </c>
      <c r="P112" s="35">
        <v>98</v>
      </c>
      <c r="Q112" s="21">
        <f t="shared" si="21"/>
        <v>7619.053789459047</v>
      </c>
      <c r="R112" s="25">
        <f t="shared" si="22"/>
        <v>708.77682288045241</v>
      </c>
      <c r="S112" s="25">
        <f t="shared" si="22"/>
        <v>1068.0666666666668</v>
      </c>
      <c r="T112" s="25">
        <f t="shared" si="22"/>
        <v>1400.6214249293098</v>
      </c>
      <c r="U112" s="31">
        <f t="shared" si="24"/>
        <v>1602.1000000000001</v>
      </c>
      <c r="V112" s="31">
        <f t="shared" si="25"/>
        <v>1602.1000000000001</v>
      </c>
      <c r="W112" s="25">
        <f t="shared" si="20"/>
        <v>1237.3888749826172</v>
      </c>
      <c r="X112" s="115"/>
      <c r="Y112" s="115">
        <f t="shared" si="19"/>
        <v>0</v>
      </c>
    </row>
    <row r="113" spans="1:25" s="32" customFormat="1" ht="24.75" hidden="1" customHeight="1" outlineLevel="3" x14ac:dyDescent="0.35">
      <c r="A113" s="37" t="s">
        <v>310</v>
      </c>
      <c r="B113" s="27" t="s">
        <v>10</v>
      </c>
      <c r="C113" s="28">
        <f>E113/$S$2</f>
        <v>1.3906271728549576E-2</v>
      </c>
      <c r="D113" s="39">
        <v>5</v>
      </c>
      <c r="E113" s="39">
        <v>10</v>
      </c>
      <c r="F113" s="39"/>
      <c r="G113" s="39"/>
      <c r="H113" s="39"/>
      <c r="I113" s="39"/>
      <c r="J113" s="29">
        <v>1</v>
      </c>
      <c r="K113" s="29">
        <f t="shared" si="31"/>
        <v>86.553333333333327</v>
      </c>
      <c r="L113" s="29">
        <v>86.83</v>
      </c>
      <c r="M113" s="29">
        <v>86</v>
      </c>
      <c r="N113" s="29">
        <v>86.83</v>
      </c>
      <c r="O113" s="29">
        <f t="shared" si="29"/>
        <v>1.203634172345061</v>
      </c>
      <c r="P113" s="35">
        <v>99</v>
      </c>
      <c r="Q113" s="21">
        <f t="shared" si="21"/>
        <v>3577.6822138784596</v>
      </c>
      <c r="R113" s="25">
        <f t="shared" si="22"/>
        <v>574.37422704306312</v>
      </c>
      <c r="S113" s="25">
        <f t="shared" si="22"/>
        <v>865.53333333333342</v>
      </c>
      <c r="T113" s="25">
        <f t="shared" si="22"/>
        <v>1135.0270245213926</v>
      </c>
      <c r="U113" s="31">
        <f t="shared" si="24"/>
        <v>0</v>
      </c>
      <c r="V113" s="31">
        <f t="shared" si="25"/>
        <v>0</v>
      </c>
      <c r="W113" s="25">
        <f t="shared" si="20"/>
        <v>1002.7476289806704</v>
      </c>
      <c r="X113" s="115"/>
      <c r="Y113" s="115">
        <f t="shared" si="19"/>
        <v>0</v>
      </c>
    </row>
    <row r="114" spans="1:25" s="32" customFormat="1" ht="24.75" hidden="1" customHeight="1" outlineLevel="3" x14ac:dyDescent="0.35">
      <c r="A114" s="37" t="s">
        <v>316</v>
      </c>
      <c r="B114" s="27" t="s">
        <v>10</v>
      </c>
      <c r="C114" s="28">
        <f>D114/$R$2</f>
        <v>2.7242246437552388E-2</v>
      </c>
      <c r="D114" s="39">
        <v>13</v>
      </c>
      <c r="E114" s="39"/>
      <c r="F114" s="39"/>
      <c r="G114" s="39">
        <v>10</v>
      </c>
      <c r="H114" s="39">
        <v>10</v>
      </c>
      <c r="I114" s="39"/>
      <c r="J114" s="29">
        <v>1</v>
      </c>
      <c r="K114" s="29">
        <f t="shared" si="31"/>
        <v>47.993333333333332</v>
      </c>
      <c r="L114" s="29">
        <v>40</v>
      </c>
      <c r="M114" s="29">
        <v>52.1</v>
      </c>
      <c r="N114" s="29">
        <v>51.88</v>
      </c>
      <c r="O114" s="29">
        <f t="shared" si="29"/>
        <v>1.3074462140262642</v>
      </c>
      <c r="P114" s="35">
        <v>100</v>
      </c>
      <c r="Q114" s="21">
        <f t="shared" si="21"/>
        <v>4846.1197932383348</v>
      </c>
      <c r="R114" s="25">
        <f t="shared" si="22"/>
        <v>623.91333333333318</v>
      </c>
      <c r="S114" s="25">
        <f t="shared" si="22"/>
        <v>940.1845725062866</v>
      </c>
      <c r="T114" s="25">
        <f t="shared" si="22"/>
        <v>1232.9217798267671</v>
      </c>
      <c r="U114" s="31">
        <f t="shared" si="24"/>
        <v>479.93333333333334</v>
      </c>
      <c r="V114" s="31">
        <f t="shared" si="25"/>
        <v>479.93333333333334</v>
      </c>
      <c r="W114" s="25">
        <f t="shared" si="20"/>
        <v>1089.2334409052808</v>
      </c>
      <c r="X114" s="115"/>
      <c r="Y114" s="115">
        <f t="shared" si="19"/>
        <v>0</v>
      </c>
    </row>
    <row r="115" spans="1:25" s="32" customFormat="1" ht="24.75" hidden="1" customHeight="1" outlineLevel="3" x14ac:dyDescent="0.35">
      <c r="A115" s="37" t="s">
        <v>317</v>
      </c>
      <c r="B115" s="27" t="s">
        <v>10</v>
      </c>
      <c r="C115" s="28">
        <f>D115/$R$2</f>
        <v>2.9337803855825649E-2</v>
      </c>
      <c r="D115" s="39">
        <v>14</v>
      </c>
      <c r="E115" s="39"/>
      <c r="F115" s="39"/>
      <c r="G115" s="39">
        <v>10</v>
      </c>
      <c r="H115" s="39">
        <v>10</v>
      </c>
      <c r="I115" s="39"/>
      <c r="J115" s="29">
        <v>1</v>
      </c>
      <c r="K115" s="29">
        <f t="shared" si="31"/>
        <v>92.29</v>
      </c>
      <c r="L115" s="29">
        <v>78</v>
      </c>
      <c r="M115" s="29">
        <v>110</v>
      </c>
      <c r="N115" s="29">
        <v>88.87</v>
      </c>
      <c r="O115" s="29">
        <f t="shared" si="29"/>
        <v>2.7075859178541495</v>
      </c>
      <c r="P115" s="35">
        <v>101</v>
      </c>
      <c r="Q115" s="21">
        <f t="shared" si="21"/>
        <v>9893.8283822296726</v>
      </c>
      <c r="R115" s="25">
        <f t="shared" si="22"/>
        <v>1292.0600000000002</v>
      </c>
      <c r="S115" s="25">
        <f t="shared" si="22"/>
        <v>1947.025033528919</v>
      </c>
      <c r="T115" s="25">
        <f t="shared" si="22"/>
        <v>2553.2535205364629</v>
      </c>
      <c r="U115" s="31">
        <f t="shared" si="24"/>
        <v>922.90000000000009</v>
      </c>
      <c r="V115" s="31">
        <f t="shared" si="25"/>
        <v>922.90000000000009</v>
      </c>
      <c r="W115" s="25">
        <f t="shared" si="20"/>
        <v>2255.6898281642921</v>
      </c>
      <c r="X115" s="115"/>
      <c r="Y115" s="115">
        <f t="shared" si="19"/>
        <v>0</v>
      </c>
    </row>
    <row r="116" spans="1:25" s="32" customFormat="1" ht="24.75" hidden="1" customHeight="1" outlineLevel="3" x14ac:dyDescent="0.35">
      <c r="A116" s="37" t="s">
        <v>346</v>
      </c>
      <c r="B116" s="27" t="s">
        <v>10</v>
      </c>
      <c r="C116" s="28">
        <f>D116/$R$2</f>
        <v>0</v>
      </c>
      <c r="D116" s="39"/>
      <c r="E116" s="39"/>
      <c r="F116" s="39"/>
      <c r="G116" s="39"/>
      <c r="H116" s="39"/>
      <c r="I116" s="39"/>
      <c r="J116" s="29">
        <v>1</v>
      </c>
      <c r="K116" s="29">
        <f>AVERAGE(L116:N116)</f>
        <v>98</v>
      </c>
      <c r="L116" s="29">
        <v>98</v>
      </c>
      <c r="M116" s="29"/>
      <c r="N116" s="29"/>
      <c r="O116" s="29"/>
      <c r="P116" s="35">
        <v>102</v>
      </c>
      <c r="Q116" s="21">
        <f t="shared" si="21"/>
        <v>0</v>
      </c>
      <c r="R116" s="25">
        <f t="shared" si="22"/>
        <v>0</v>
      </c>
      <c r="S116" s="25">
        <f t="shared" si="22"/>
        <v>0</v>
      </c>
      <c r="T116" s="25">
        <f t="shared" si="22"/>
        <v>0</v>
      </c>
      <c r="U116" s="31">
        <f t="shared" si="24"/>
        <v>0</v>
      </c>
      <c r="V116" s="31">
        <f t="shared" si="25"/>
        <v>0</v>
      </c>
      <c r="W116" s="25">
        <f t="shared" si="20"/>
        <v>0</v>
      </c>
      <c r="X116" s="115"/>
      <c r="Y116" s="115">
        <f t="shared" si="19"/>
        <v>0</v>
      </c>
    </row>
    <row r="117" spans="1:25" s="32" customFormat="1" ht="24.75" hidden="1" customHeight="1" outlineLevel="3" x14ac:dyDescent="0.35">
      <c r="A117" s="37" t="s">
        <v>318</v>
      </c>
      <c r="B117" s="27" t="s">
        <v>10</v>
      </c>
      <c r="C117" s="28">
        <f>I117/$W$2</f>
        <v>2.1606049693914296E-2</v>
      </c>
      <c r="D117" s="39"/>
      <c r="E117" s="39"/>
      <c r="F117" s="39"/>
      <c r="G117" s="39"/>
      <c r="H117" s="39"/>
      <c r="I117" s="39">
        <v>18</v>
      </c>
      <c r="J117" s="29">
        <v>1</v>
      </c>
      <c r="K117" s="29">
        <f t="shared" ref="K117:K134" si="32">AVERAGE(L117:N117)</f>
        <v>85.236666666666665</v>
      </c>
      <c r="L117" s="29">
        <v>89.01</v>
      </c>
      <c r="M117" s="29">
        <v>91.27</v>
      </c>
      <c r="N117" s="29">
        <v>75.430000000000007</v>
      </c>
      <c r="O117" s="29">
        <f t="shared" si="29"/>
        <v>1.8416276557436082</v>
      </c>
      <c r="P117" s="35">
        <v>103</v>
      </c>
      <c r="Q117" s="21">
        <f t="shared" si="21"/>
        <v>5474.0540439323013</v>
      </c>
      <c r="R117" s="25">
        <f t="shared" si="22"/>
        <v>878.8247173208498</v>
      </c>
      <c r="S117" s="25">
        <f t="shared" si="22"/>
        <v>1324.3144472452286</v>
      </c>
      <c r="T117" s="25">
        <f t="shared" si="22"/>
        <v>1736.6548793662225</v>
      </c>
      <c r="U117" s="31">
        <f t="shared" si="24"/>
        <v>0</v>
      </c>
      <c r="V117" s="31">
        <f t="shared" si="25"/>
        <v>0</v>
      </c>
      <c r="W117" s="25">
        <f t="shared" si="20"/>
        <v>1534.26</v>
      </c>
      <c r="X117" s="115"/>
      <c r="Y117" s="115">
        <f t="shared" si="19"/>
        <v>0</v>
      </c>
    </row>
    <row r="118" spans="1:25" s="32" customFormat="1" ht="24.75" hidden="1" customHeight="1" outlineLevel="3" x14ac:dyDescent="0.35">
      <c r="A118" s="37" t="s">
        <v>319</v>
      </c>
      <c r="B118" s="27" t="s">
        <v>10</v>
      </c>
      <c r="C118" s="28">
        <f>E118/$S$2</f>
        <v>0.17382839660686969</v>
      </c>
      <c r="D118" s="39"/>
      <c r="E118" s="39">
        <v>125</v>
      </c>
      <c r="F118" s="39"/>
      <c r="G118" s="39"/>
      <c r="H118" s="39"/>
      <c r="I118" s="39">
        <v>5</v>
      </c>
      <c r="J118" s="29">
        <v>1</v>
      </c>
      <c r="K118" s="29">
        <f t="shared" si="32"/>
        <v>79.876666666666665</v>
      </c>
      <c r="L118" s="29">
        <v>83.41</v>
      </c>
      <c r="M118" s="29">
        <v>85.53</v>
      </c>
      <c r="N118" s="29">
        <v>70.69</v>
      </c>
      <c r="O118" s="29">
        <f t="shared" si="29"/>
        <v>13.884832892968062</v>
      </c>
      <c r="P118" s="35">
        <v>104</v>
      </c>
      <c r="Q118" s="21">
        <f t="shared" si="21"/>
        <v>41271.277291058264</v>
      </c>
      <c r="R118" s="25">
        <f t="shared" si="22"/>
        <v>6625.8422565243591</v>
      </c>
      <c r="S118" s="25">
        <f t="shared" si="22"/>
        <v>9984.5833333333339</v>
      </c>
      <c r="T118" s="25">
        <f t="shared" si="22"/>
        <v>13093.397418068882</v>
      </c>
      <c r="U118" s="31">
        <f t="shared" si="24"/>
        <v>0</v>
      </c>
      <c r="V118" s="31">
        <f t="shared" si="25"/>
        <v>0</v>
      </c>
      <c r="W118" s="25">
        <f t="shared" si="20"/>
        <v>11567.454283131692</v>
      </c>
      <c r="X118" s="115"/>
      <c r="Y118" s="115">
        <f t="shared" si="19"/>
        <v>0</v>
      </c>
    </row>
    <row r="119" spans="1:25" s="32" customFormat="1" ht="24.75" hidden="1" customHeight="1" outlineLevel="3" x14ac:dyDescent="0.35">
      <c r="A119" s="37" t="s">
        <v>525</v>
      </c>
      <c r="B119" s="27" t="s">
        <v>10</v>
      </c>
      <c r="C119" s="28">
        <f>D119/$R$2</f>
        <v>3.143336127409891E-2</v>
      </c>
      <c r="D119" s="39">
        <v>15</v>
      </c>
      <c r="E119" s="39"/>
      <c r="F119" s="39"/>
      <c r="G119" s="39"/>
      <c r="H119" s="39"/>
      <c r="I119" s="39">
        <v>0</v>
      </c>
      <c r="J119" s="29">
        <v>1</v>
      </c>
      <c r="K119" s="29">
        <f t="shared" si="32"/>
        <v>162.49333333333334</v>
      </c>
      <c r="L119" s="29">
        <v>169.68</v>
      </c>
      <c r="M119" s="29">
        <v>174</v>
      </c>
      <c r="N119" s="29">
        <v>143.80000000000001</v>
      </c>
      <c r="O119" s="29">
        <f t="shared" si="29"/>
        <v>5.1077116512992458</v>
      </c>
      <c r="P119" s="35">
        <v>105</v>
      </c>
      <c r="Q119" s="21">
        <f t="shared" si="21"/>
        <v>15182.162112321879</v>
      </c>
      <c r="R119" s="25">
        <f t="shared" si="22"/>
        <v>2437.4</v>
      </c>
      <c r="S119" s="25">
        <f t="shared" si="22"/>
        <v>3672.9554484492878</v>
      </c>
      <c r="T119" s="25">
        <f t="shared" si="22"/>
        <v>4816.5720871751892</v>
      </c>
      <c r="U119" s="31">
        <f t="shared" si="24"/>
        <v>0</v>
      </c>
      <c r="V119" s="31">
        <f t="shared" si="25"/>
        <v>0</v>
      </c>
      <c r="W119" s="25">
        <f t="shared" si="20"/>
        <v>4255.2345766974022</v>
      </c>
      <c r="X119" s="115"/>
      <c r="Y119" s="115">
        <f t="shared" si="19"/>
        <v>0</v>
      </c>
    </row>
    <row r="120" spans="1:25" s="32" customFormat="1" ht="24.75" hidden="1" customHeight="1" outlineLevel="3" x14ac:dyDescent="0.35">
      <c r="A120" s="37" t="s">
        <v>334</v>
      </c>
      <c r="B120" s="27" t="s">
        <v>10</v>
      </c>
      <c r="C120" s="28">
        <f>I120/$W$2</f>
        <v>1.2003360941063497E-2</v>
      </c>
      <c r="D120" s="39"/>
      <c r="E120" s="39"/>
      <c r="F120" s="39"/>
      <c r="G120" s="39"/>
      <c r="H120" s="39"/>
      <c r="I120" s="39">
        <v>10</v>
      </c>
      <c r="J120" s="29">
        <v>1</v>
      </c>
      <c r="K120" s="29">
        <f t="shared" si="32"/>
        <v>76.953333333333333</v>
      </c>
      <c r="L120" s="29">
        <v>80.36</v>
      </c>
      <c r="M120" s="29">
        <v>82.4</v>
      </c>
      <c r="N120" s="29">
        <v>68.099999999999994</v>
      </c>
      <c r="O120" s="29">
        <f t="shared" si="29"/>
        <v>0.92369863561797305</v>
      </c>
      <c r="P120" s="35">
        <v>106</v>
      </c>
      <c r="Q120" s="21">
        <f t="shared" si="21"/>
        <v>2745.601824510863</v>
      </c>
      <c r="R120" s="25">
        <f t="shared" si="22"/>
        <v>440.78898891689676</v>
      </c>
      <c r="S120" s="25">
        <f t="shared" si="22"/>
        <v>664.23168887288443</v>
      </c>
      <c r="T120" s="25">
        <f t="shared" si="22"/>
        <v>871.04781338774853</v>
      </c>
      <c r="U120" s="31">
        <f t="shared" si="24"/>
        <v>0</v>
      </c>
      <c r="V120" s="31">
        <f t="shared" si="25"/>
        <v>0</v>
      </c>
      <c r="W120" s="25">
        <f t="shared" si="20"/>
        <v>769.53333333333342</v>
      </c>
      <c r="X120" s="115"/>
      <c r="Y120" s="115">
        <f t="shared" si="19"/>
        <v>0</v>
      </c>
    </row>
    <row r="121" spans="1:25" s="32" customFormat="1" ht="24.75" hidden="1" customHeight="1" outlineLevel="3" x14ac:dyDescent="0.35">
      <c r="A121" s="37" t="s">
        <v>335</v>
      </c>
      <c r="B121" s="27" t="s">
        <v>10</v>
      </c>
      <c r="C121" s="28">
        <f>I121/$W$2</f>
        <v>2.4006721882126995E-2</v>
      </c>
      <c r="D121" s="39"/>
      <c r="E121" s="39"/>
      <c r="F121" s="39"/>
      <c r="G121" s="39"/>
      <c r="H121" s="39"/>
      <c r="I121" s="39">
        <v>20</v>
      </c>
      <c r="J121" s="29">
        <v>1</v>
      </c>
      <c r="K121" s="29">
        <f t="shared" si="32"/>
        <v>50.306666666666672</v>
      </c>
      <c r="L121" s="29">
        <v>52.53</v>
      </c>
      <c r="M121" s="29">
        <v>53.87</v>
      </c>
      <c r="N121" s="29">
        <v>44.52</v>
      </c>
      <c r="O121" s="29">
        <f t="shared" si="29"/>
        <v>1.2076981554835355</v>
      </c>
      <c r="P121" s="35">
        <v>107</v>
      </c>
      <c r="Q121" s="21">
        <f t="shared" si="21"/>
        <v>3589.7619973592609</v>
      </c>
      <c r="R121" s="25">
        <f t="shared" si="22"/>
        <v>576.31355979674311</v>
      </c>
      <c r="S121" s="25">
        <f t="shared" si="22"/>
        <v>868.45574360821047</v>
      </c>
      <c r="T121" s="25">
        <f t="shared" si="22"/>
        <v>1138.859360620974</v>
      </c>
      <c r="U121" s="31">
        <f t="shared" si="24"/>
        <v>0</v>
      </c>
      <c r="V121" s="31">
        <f t="shared" si="25"/>
        <v>0</v>
      </c>
      <c r="W121" s="25">
        <f t="shared" si="20"/>
        <v>1006.1333333333334</v>
      </c>
      <c r="X121" s="115"/>
      <c r="Y121" s="115">
        <f t="shared" si="19"/>
        <v>0</v>
      </c>
    </row>
    <row r="122" spans="1:25" s="32" customFormat="1" ht="24.75" hidden="1" customHeight="1" outlineLevel="3" x14ac:dyDescent="0.35">
      <c r="A122" s="37" t="s">
        <v>337</v>
      </c>
      <c r="B122" s="27" t="s">
        <v>10</v>
      </c>
      <c r="C122" s="28">
        <f>I122/$W$2</f>
        <v>3.6010082823190494E-3</v>
      </c>
      <c r="D122" s="39"/>
      <c r="E122" s="39"/>
      <c r="F122" s="39"/>
      <c r="G122" s="39"/>
      <c r="H122" s="39"/>
      <c r="I122" s="39">
        <v>3</v>
      </c>
      <c r="J122" s="29">
        <v>1</v>
      </c>
      <c r="K122" s="29">
        <f t="shared" si="32"/>
        <v>33.536666666666669</v>
      </c>
      <c r="L122" s="29">
        <v>35.020000000000003</v>
      </c>
      <c r="M122" s="29">
        <v>35.909999999999997</v>
      </c>
      <c r="N122" s="29">
        <v>29.68</v>
      </c>
      <c r="O122" s="29">
        <f t="shared" si="29"/>
        <v>0.12076581442803987</v>
      </c>
      <c r="P122" s="35">
        <v>108</v>
      </c>
      <c r="Q122" s="21">
        <f t="shared" si="21"/>
        <v>358.96430680590572</v>
      </c>
      <c r="R122" s="25">
        <f t="shared" si="22"/>
        <v>57.629446645060625</v>
      </c>
      <c r="S122" s="25">
        <f t="shared" si="22"/>
        <v>86.842697155203467</v>
      </c>
      <c r="T122" s="25">
        <f t="shared" si="22"/>
        <v>113.8821630056416</v>
      </c>
      <c r="U122" s="31">
        <f t="shared" si="24"/>
        <v>0</v>
      </c>
      <c r="V122" s="31">
        <f t="shared" si="25"/>
        <v>0</v>
      </c>
      <c r="W122" s="25">
        <f t="shared" si="20"/>
        <v>100.61000000000001</v>
      </c>
      <c r="X122" s="115"/>
      <c r="Y122" s="115">
        <f t="shared" si="19"/>
        <v>0</v>
      </c>
    </row>
    <row r="123" spans="1:25" s="32" customFormat="1" ht="24.75" hidden="1" customHeight="1" outlineLevel="3" x14ac:dyDescent="0.35">
      <c r="A123" s="37" t="s">
        <v>338</v>
      </c>
      <c r="B123" s="27" t="s">
        <v>26</v>
      </c>
      <c r="C123" s="28">
        <f>E123/$S$2</f>
        <v>2.7812543457099152E-2</v>
      </c>
      <c r="D123" s="39">
        <v>15</v>
      </c>
      <c r="E123" s="39">
        <v>20</v>
      </c>
      <c r="F123" s="39"/>
      <c r="G123" s="39">
        <v>30</v>
      </c>
      <c r="H123" s="39">
        <v>30</v>
      </c>
      <c r="I123" s="39">
        <v>20</v>
      </c>
      <c r="J123" s="29">
        <v>1</v>
      </c>
      <c r="K123" s="29">
        <f t="shared" si="32"/>
        <v>35.979999999999997</v>
      </c>
      <c r="L123" s="29">
        <v>37.57</v>
      </c>
      <c r="M123" s="29">
        <v>38.53</v>
      </c>
      <c r="N123" s="29">
        <v>31.84</v>
      </c>
      <c r="O123" s="29">
        <f t="shared" si="29"/>
        <v>1.0006953135864274</v>
      </c>
      <c r="P123" s="35">
        <v>109</v>
      </c>
      <c r="Q123" s="21">
        <f t="shared" si="21"/>
        <v>5133.2667501042961</v>
      </c>
      <c r="R123" s="25">
        <f t="shared" si="22"/>
        <v>477.53180364344314</v>
      </c>
      <c r="S123" s="25">
        <f t="shared" si="22"/>
        <v>719.59999999999991</v>
      </c>
      <c r="T123" s="25">
        <f t="shared" si="22"/>
        <v>943.65568071200107</v>
      </c>
      <c r="U123" s="31">
        <f t="shared" si="24"/>
        <v>1079.3999999999999</v>
      </c>
      <c r="V123" s="31">
        <f t="shared" si="25"/>
        <v>1079.3999999999999</v>
      </c>
      <c r="W123" s="25">
        <f t="shared" si="20"/>
        <v>833.67926574885269</v>
      </c>
      <c r="X123" s="115"/>
      <c r="Y123" s="115">
        <f t="shared" si="19"/>
        <v>0</v>
      </c>
    </row>
    <row r="124" spans="1:25" s="32" customFormat="1" ht="24.75" hidden="1" customHeight="1" outlineLevel="3" x14ac:dyDescent="0.35">
      <c r="A124" s="37" t="s">
        <v>339</v>
      </c>
      <c r="B124" s="27" t="s">
        <v>26</v>
      </c>
      <c r="C124" s="28">
        <f>I124/$W$2</f>
        <v>4.8013443764253989E-2</v>
      </c>
      <c r="D124" s="39">
        <v>10</v>
      </c>
      <c r="E124" s="39"/>
      <c r="F124" s="39"/>
      <c r="G124" s="39">
        <v>10</v>
      </c>
      <c r="H124" s="39">
        <v>10</v>
      </c>
      <c r="I124" s="39">
        <v>40</v>
      </c>
      <c r="J124" s="29">
        <v>1</v>
      </c>
      <c r="K124" s="29">
        <f t="shared" si="32"/>
        <v>26.26</v>
      </c>
      <c r="L124" s="29">
        <v>27.42</v>
      </c>
      <c r="M124" s="29">
        <v>28.12</v>
      </c>
      <c r="N124" s="29">
        <v>23.24</v>
      </c>
      <c r="O124" s="29">
        <f t="shared" si="29"/>
        <v>1.2608330332493098</v>
      </c>
      <c r="P124" s="35">
        <v>110</v>
      </c>
      <c r="Q124" s="21">
        <f t="shared" si="21"/>
        <v>4272.9001080302478</v>
      </c>
      <c r="R124" s="25">
        <f t="shared" si="22"/>
        <v>601.66952346657069</v>
      </c>
      <c r="S124" s="25">
        <f t="shared" si="22"/>
        <v>906.66503420957872</v>
      </c>
      <c r="T124" s="25">
        <f t="shared" si="22"/>
        <v>1188.9655503540992</v>
      </c>
      <c r="U124" s="31">
        <f t="shared" si="24"/>
        <v>262.60000000000002</v>
      </c>
      <c r="V124" s="31">
        <f t="shared" si="25"/>
        <v>262.60000000000002</v>
      </c>
      <c r="W124" s="25">
        <f t="shared" si="20"/>
        <v>1050.4000000000001</v>
      </c>
      <c r="X124" s="115"/>
      <c r="Y124" s="115">
        <f t="shared" si="19"/>
        <v>0</v>
      </c>
    </row>
    <row r="125" spans="1:25" s="32" customFormat="1" ht="24.75" hidden="1" customHeight="1" outlineLevel="3" x14ac:dyDescent="0.35">
      <c r="A125" s="37" t="s">
        <v>476</v>
      </c>
      <c r="B125" s="27" t="s">
        <v>26</v>
      </c>
      <c r="C125" s="28">
        <f>I125/$W$2</f>
        <v>2.4006721882126995E-2</v>
      </c>
      <c r="D125" s="39">
        <v>15</v>
      </c>
      <c r="E125" s="39"/>
      <c r="F125" s="39"/>
      <c r="G125" s="39"/>
      <c r="H125" s="39"/>
      <c r="I125" s="39">
        <v>20</v>
      </c>
      <c r="J125" s="29">
        <v>1</v>
      </c>
      <c r="K125" s="29">
        <f t="shared" si="32"/>
        <v>45.336666666666666</v>
      </c>
      <c r="L125" s="29">
        <v>47.34</v>
      </c>
      <c r="M125" s="29">
        <v>48.55</v>
      </c>
      <c r="N125" s="29">
        <v>40.119999999999997</v>
      </c>
      <c r="O125" s="29">
        <f t="shared" si="29"/>
        <v>1.0883847477293642</v>
      </c>
      <c r="P125" s="35">
        <v>111</v>
      </c>
      <c r="Q125" s="21">
        <f t="shared" si="21"/>
        <v>3235.1148241507626</v>
      </c>
      <c r="R125" s="25">
        <f t="shared" si="22"/>
        <v>519.37720161645257</v>
      </c>
      <c r="S125" s="25">
        <f t="shared" si="22"/>
        <v>782.6574720921858</v>
      </c>
      <c r="T125" s="25">
        <f t="shared" si="22"/>
        <v>1026.3468171087904</v>
      </c>
      <c r="U125" s="31">
        <f t="shared" si="24"/>
        <v>0</v>
      </c>
      <c r="V125" s="31">
        <f t="shared" si="25"/>
        <v>0</v>
      </c>
      <c r="W125" s="25">
        <f t="shared" si="20"/>
        <v>906.73333333333335</v>
      </c>
      <c r="X125" s="115"/>
      <c r="Y125" s="115">
        <f t="shared" si="19"/>
        <v>0</v>
      </c>
    </row>
    <row r="126" spans="1:25" s="32" customFormat="1" ht="24.75" hidden="1" customHeight="1" outlineLevel="3" x14ac:dyDescent="0.35">
      <c r="A126" s="37" t="s">
        <v>347</v>
      </c>
      <c r="B126" s="27" t="s">
        <v>10</v>
      </c>
      <c r="C126" s="28">
        <f>E126/$S$2</f>
        <v>6.953135864274787E-2</v>
      </c>
      <c r="D126" s="39"/>
      <c r="E126" s="39">
        <v>50</v>
      </c>
      <c r="F126" s="39"/>
      <c r="G126" s="39">
        <v>20</v>
      </c>
      <c r="H126" s="39">
        <v>20</v>
      </c>
      <c r="I126" s="39"/>
      <c r="J126" s="29">
        <v>1</v>
      </c>
      <c r="K126" s="29">
        <f t="shared" si="32"/>
        <v>190.79333333333332</v>
      </c>
      <c r="L126" s="29">
        <v>190</v>
      </c>
      <c r="M126" s="29">
        <v>198</v>
      </c>
      <c r="N126" s="29">
        <v>184.38</v>
      </c>
      <c r="O126" s="29">
        <f t="shared" si="29"/>
        <v>13.266119686645341</v>
      </c>
      <c r="P126" s="35">
        <v>112</v>
      </c>
      <c r="Q126" s="21">
        <f t="shared" si="21"/>
        <v>47063.94748991794</v>
      </c>
      <c r="R126" s="25">
        <f t="shared" si="22"/>
        <v>6330.5923144671569</v>
      </c>
      <c r="S126" s="25">
        <f t="shared" si="22"/>
        <v>9539.6666666666661</v>
      </c>
      <c r="T126" s="25">
        <f t="shared" si="22"/>
        <v>12509.950864506556</v>
      </c>
      <c r="U126" s="31">
        <f t="shared" si="24"/>
        <v>3815.8666666666663</v>
      </c>
      <c r="V126" s="31">
        <f t="shared" si="25"/>
        <v>3815.8666666666663</v>
      </c>
      <c r="W126" s="25">
        <f t="shared" si="20"/>
        <v>11052.004310944234</v>
      </c>
      <c r="X126" s="115"/>
      <c r="Y126" s="115">
        <f t="shared" si="19"/>
        <v>0</v>
      </c>
    </row>
    <row r="127" spans="1:25" s="32" customFormat="1" ht="24.75" hidden="1" customHeight="1" outlineLevel="3" x14ac:dyDescent="0.35">
      <c r="A127" s="37" t="s">
        <v>348</v>
      </c>
      <c r="B127" s="27" t="s">
        <v>10</v>
      </c>
      <c r="C127" s="28">
        <f>E127/$S$2</f>
        <v>4.1718815185648725E-2</v>
      </c>
      <c r="D127" s="39"/>
      <c r="E127" s="39">
        <v>30</v>
      </c>
      <c r="F127" s="39"/>
      <c r="G127" s="39">
        <v>20</v>
      </c>
      <c r="H127" s="39">
        <v>20</v>
      </c>
      <c r="I127" s="39">
        <v>24</v>
      </c>
      <c r="J127" s="29">
        <v>1</v>
      </c>
      <c r="K127" s="29">
        <f t="shared" si="32"/>
        <v>158.69666666666666</v>
      </c>
      <c r="L127" s="29">
        <v>165.72</v>
      </c>
      <c r="M127" s="29">
        <v>169.93</v>
      </c>
      <c r="N127" s="29">
        <v>140.44</v>
      </c>
      <c r="O127" s="29">
        <f t="shared" si="29"/>
        <v>6.6206369072451672</v>
      </c>
      <c r="P127" s="35">
        <v>113</v>
      </c>
      <c r="Q127" s="21">
        <f t="shared" si="21"/>
        <v>26027.047809762204</v>
      </c>
      <c r="R127" s="25">
        <f t="shared" si="22"/>
        <v>3159.3679321373938</v>
      </c>
      <c r="S127" s="25">
        <f t="shared" si="22"/>
        <v>4760.8999999999996</v>
      </c>
      <c r="T127" s="25">
        <f t="shared" si="22"/>
        <v>6243.2606035321924</v>
      </c>
      <c r="U127" s="31">
        <f t="shared" si="24"/>
        <v>3173.9333333333334</v>
      </c>
      <c r="V127" s="31">
        <f t="shared" si="25"/>
        <v>3173.9333333333334</v>
      </c>
      <c r="W127" s="25">
        <f t="shared" si="20"/>
        <v>5515.6526074259491</v>
      </c>
      <c r="X127" s="115"/>
      <c r="Y127" s="115">
        <f t="shared" ref="Y127:Y190" si="33">Q127-R127-S127-T127-U127-V127-W127</f>
        <v>0</v>
      </c>
    </row>
    <row r="128" spans="1:25" s="32" customFormat="1" ht="24.75" hidden="1" customHeight="1" outlineLevel="3" x14ac:dyDescent="0.35">
      <c r="A128" s="37" t="s">
        <v>349</v>
      </c>
      <c r="B128" s="27" t="s">
        <v>10</v>
      </c>
      <c r="C128" s="28">
        <f>E128/$S$2</f>
        <v>6.953135864274787E-2</v>
      </c>
      <c r="D128" s="39"/>
      <c r="E128" s="39">
        <v>50</v>
      </c>
      <c r="F128" s="39"/>
      <c r="G128" s="39">
        <v>20</v>
      </c>
      <c r="H128" s="39">
        <v>20</v>
      </c>
      <c r="I128" s="39">
        <v>58</v>
      </c>
      <c r="J128" s="29">
        <v>1</v>
      </c>
      <c r="K128" s="29">
        <f t="shared" si="32"/>
        <v>12.046666666666667</v>
      </c>
      <c r="L128" s="29">
        <v>12.58</v>
      </c>
      <c r="M128" s="29">
        <v>12.9</v>
      </c>
      <c r="N128" s="29">
        <v>10.66</v>
      </c>
      <c r="O128" s="29">
        <f t="shared" si="29"/>
        <v>0.837621100449636</v>
      </c>
      <c r="P128" s="35">
        <v>114</v>
      </c>
      <c r="Q128" s="21">
        <f t="shared" si="21"/>
        <v>2971.6116256431651</v>
      </c>
      <c r="R128" s="25">
        <f t="shared" si="22"/>
        <v>399.71278913456626</v>
      </c>
      <c r="S128" s="25">
        <f t="shared" si="22"/>
        <v>602.33333333333326</v>
      </c>
      <c r="T128" s="25">
        <f t="shared" si="22"/>
        <v>789.8766977240067</v>
      </c>
      <c r="U128" s="31">
        <f t="shared" si="24"/>
        <v>240.93333333333334</v>
      </c>
      <c r="V128" s="31">
        <f t="shared" si="25"/>
        <v>240.93333333333334</v>
      </c>
      <c r="W128" s="25">
        <f t="shared" si="20"/>
        <v>697.82213878459174</v>
      </c>
      <c r="X128" s="115"/>
      <c r="Y128" s="115">
        <f t="shared" si="33"/>
        <v>0</v>
      </c>
    </row>
    <row r="129" spans="1:25" s="32" customFormat="1" ht="24.75" hidden="1" customHeight="1" outlineLevel="3" x14ac:dyDescent="0.35">
      <c r="A129" s="37" t="s">
        <v>350</v>
      </c>
      <c r="B129" s="27" t="s">
        <v>26</v>
      </c>
      <c r="C129" s="28">
        <f>E129/$S$2</f>
        <v>0.13906271728549574</v>
      </c>
      <c r="D129" s="39">
        <v>20</v>
      </c>
      <c r="E129" s="39">
        <v>100</v>
      </c>
      <c r="F129" s="39"/>
      <c r="G129" s="39"/>
      <c r="H129" s="39"/>
      <c r="I129" s="39">
        <v>50</v>
      </c>
      <c r="J129" s="29">
        <v>1</v>
      </c>
      <c r="K129" s="29">
        <f t="shared" si="32"/>
        <v>8.98</v>
      </c>
      <c r="L129" s="29">
        <v>8.98</v>
      </c>
      <c r="M129" s="29">
        <v>8.98</v>
      </c>
      <c r="N129" s="29">
        <v>8.98</v>
      </c>
      <c r="O129" s="29">
        <f t="shared" si="29"/>
        <v>1.2487832012237519</v>
      </c>
      <c r="P129" s="35">
        <v>115</v>
      </c>
      <c r="Q129" s="21">
        <f t="shared" si="21"/>
        <v>3711.88318731748</v>
      </c>
      <c r="R129" s="25">
        <f t="shared" si="22"/>
        <v>595.91934362397433</v>
      </c>
      <c r="S129" s="25">
        <f t="shared" si="22"/>
        <v>898</v>
      </c>
      <c r="T129" s="25">
        <f t="shared" si="22"/>
        <v>1177.602558753998</v>
      </c>
      <c r="U129" s="31">
        <f t="shared" si="24"/>
        <v>0</v>
      </c>
      <c r="V129" s="31">
        <f t="shared" si="25"/>
        <v>0</v>
      </c>
      <c r="W129" s="25">
        <f t="shared" si="20"/>
        <v>1040.3612849395076</v>
      </c>
      <c r="X129" s="115"/>
      <c r="Y129" s="115">
        <f t="shared" si="33"/>
        <v>0</v>
      </c>
    </row>
    <row r="130" spans="1:25" s="32" customFormat="1" ht="24.75" hidden="1" customHeight="1" outlineLevel="3" x14ac:dyDescent="0.35">
      <c r="A130" s="37" t="s">
        <v>351</v>
      </c>
      <c r="B130" s="27" t="s">
        <v>10</v>
      </c>
      <c r="C130" s="28">
        <f>I130/$W$2</f>
        <v>2.4006721882126995E-2</v>
      </c>
      <c r="D130" s="39"/>
      <c r="E130" s="39"/>
      <c r="F130" s="39"/>
      <c r="G130" s="39"/>
      <c r="H130" s="39"/>
      <c r="I130" s="39">
        <v>20</v>
      </c>
      <c r="J130" s="29">
        <v>1</v>
      </c>
      <c r="K130" s="29">
        <f t="shared" si="32"/>
        <v>92.06</v>
      </c>
      <c r="L130" s="29">
        <v>92.06</v>
      </c>
      <c r="M130" s="29"/>
      <c r="N130" s="29"/>
      <c r="O130" s="29">
        <f t="shared" si="29"/>
        <v>2.210058816468611</v>
      </c>
      <c r="P130" s="35">
        <v>116</v>
      </c>
      <c r="Q130" s="21">
        <f t="shared" si="21"/>
        <v>6569.1788260712992</v>
      </c>
      <c r="R130" s="25">
        <f t="shared" si="22"/>
        <v>1054.6400672188211</v>
      </c>
      <c r="S130" s="25">
        <f t="shared" si="22"/>
        <v>1589.2532949225783</v>
      </c>
      <c r="T130" s="25">
        <f t="shared" si="22"/>
        <v>2084.0854639299</v>
      </c>
      <c r="U130" s="31">
        <f t="shared" si="24"/>
        <v>0</v>
      </c>
      <c r="V130" s="31">
        <f t="shared" si="25"/>
        <v>0</v>
      </c>
      <c r="W130" s="25">
        <f t="shared" si="20"/>
        <v>1841.1999999999998</v>
      </c>
      <c r="X130" s="115"/>
      <c r="Y130" s="115">
        <f t="shared" si="33"/>
        <v>0</v>
      </c>
    </row>
    <row r="131" spans="1:25" s="32" customFormat="1" ht="24.75" hidden="1" customHeight="1" outlineLevel="3" x14ac:dyDescent="0.35">
      <c r="A131" s="37" t="s">
        <v>352</v>
      </c>
      <c r="B131" s="27" t="s">
        <v>10</v>
      </c>
      <c r="C131" s="28">
        <f>I131/$W$2</f>
        <v>1.2003360941063497E-2</v>
      </c>
      <c r="D131" s="39"/>
      <c r="E131" s="39"/>
      <c r="F131" s="39"/>
      <c r="G131" s="39"/>
      <c r="H131" s="39"/>
      <c r="I131" s="39">
        <v>10</v>
      </c>
      <c r="J131" s="29">
        <v>1</v>
      </c>
      <c r="K131" s="29">
        <f t="shared" si="32"/>
        <v>97.14</v>
      </c>
      <c r="L131" s="29">
        <v>97.14</v>
      </c>
      <c r="M131" s="29"/>
      <c r="N131" s="29"/>
      <c r="O131" s="29">
        <f t="shared" si="29"/>
        <v>1.1660064818149081</v>
      </c>
      <c r="P131" s="35">
        <v>117</v>
      </c>
      <c r="Q131" s="21">
        <f t="shared" si="21"/>
        <v>3465.837666546633</v>
      </c>
      <c r="R131" s="25">
        <f t="shared" si="22"/>
        <v>556.41829312207415</v>
      </c>
      <c r="S131" s="25">
        <f t="shared" si="22"/>
        <v>838.47526107310046</v>
      </c>
      <c r="T131" s="25">
        <f t="shared" si="22"/>
        <v>1099.5441123514584</v>
      </c>
      <c r="U131" s="31">
        <f t="shared" si="24"/>
        <v>0</v>
      </c>
      <c r="V131" s="31">
        <f t="shared" si="25"/>
        <v>0</v>
      </c>
      <c r="W131" s="25">
        <f t="shared" si="20"/>
        <v>971.4</v>
      </c>
      <c r="X131" s="115"/>
      <c r="Y131" s="115">
        <f t="shared" si="33"/>
        <v>0</v>
      </c>
    </row>
    <row r="132" spans="1:25" s="32" customFormat="1" ht="24.75" hidden="1" customHeight="1" outlineLevel="3" x14ac:dyDescent="0.35">
      <c r="A132" s="37" t="s">
        <v>370</v>
      </c>
      <c r="B132" s="27" t="s">
        <v>10</v>
      </c>
      <c r="C132" s="28">
        <f>E132/$S$2</f>
        <v>1.3906271728549576E-2</v>
      </c>
      <c r="D132" s="39"/>
      <c r="E132" s="39">
        <v>10</v>
      </c>
      <c r="F132" s="39"/>
      <c r="G132" s="39"/>
      <c r="H132" s="39"/>
      <c r="I132" s="39"/>
      <c r="J132" s="29">
        <v>1</v>
      </c>
      <c r="K132" s="29">
        <f t="shared" si="32"/>
        <v>68.13</v>
      </c>
      <c r="L132" s="29">
        <v>68.13</v>
      </c>
      <c r="M132" s="29">
        <v>68.13</v>
      </c>
      <c r="N132" s="29">
        <v>68.13</v>
      </c>
      <c r="O132" s="29">
        <f t="shared" si="29"/>
        <v>0.94743429286608261</v>
      </c>
      <c r="P132" s="35">
        <v>118</v>
      </c>
      <c r="Q132" s="21">
        <f t="shared" si="21"/>
        <v>2816.1536921151437</v>
      </c>
      <c r="R132" s="25">
        <f t="shared" si="22"/>
        <v>452.11564455569459</v>
      </c>
      <c r="S132" s="25">
        <f t="shared" si="22"/>
        <v>681.30000000000007</v>
      </c>
      <c r="T132" s="25">
        <f t="shared" si="22"/>
        <v>893.43053817271584</v>
      </c>
      <c r="U132" s="31">
        <f t="shared" si="24"/>
        <v>0</v>
      </c>
      <c r="V132" s="31">
        <f t="shared" si="25"/>
        <v>0</v>
      </c>
      <c r="W132" s="25">
        <f t="shared" si="20"/>
        <v>789.30750938673339</v>
      </c>
      <c r="X132" s="115"/>
      <c r="Y132" s="115">
        <f t="shared" si="33"/>
        <v>0</v>
      </c>
    </row>
    <row r="133" spans="1:25" s="32" customFormat="1" ht="24.75" hidden="1" customHeight="1" outlineLevel="3" x14ac:dyDescent="0.35">
      <c r="A133" s="37" t="s">
        <v>371</v>
      </c>
      <c r="B133" s="27" t="s">
        <v>10</v>
      </c>
      <c r="C133" s="28">
        <f>E133/$S$2</f>
        <v>6.9531358642747881E-3</v>
      </c>
      <c r="D133" s="39"/>
      <c r="E133" s="39">
        <v>5</v>
      </c>
      <c r="F133" s="39"/>
      <c r="G133" s="39"/>
      <c r="H133" s="39"/>
      <c r="I133" s="39"/>
      <c r="J133" s="29">
        <v>1</v>
      </c>
      <c r="K133" s="29">
        <f t="shared" si="32"/>
        <v>99.089999999999989</v>
      </c>
      <c r="L133" s="29">
        <v>99.09</v>
      </c>
      <c r="M133" s="29">
        <v>99.09</v>
      </c>
      <c r="N133" s="29">
        <v>99.09</v>
      </c>
      <c r="O133" s="29">
        <f t="shared" si="29"/>
        <v>0.6889862327909887</v>
      </c>
      <c r="P133" s="35">
        <v>119</v>
      </c>
      <c r="Q133" s="21">
        <f t="shared" si="21"/>
        <v>2047.9426783479348</v>
      </c>
      <c r="R133" s="25">
        <f t="shared" si="22"/>
        <v>328.78423028785977</v>
      </c>
      <c r="S133" s="25">
        <f t="shared" si="22"/>
        <v>495.45</v>
      </c>
      <c r="T133" s="25">
        <f t="shared" si="22"/>
        <v>649.71401752190229</v>
      </c>
      <c r="U133" s="31">
        <f t="shared" si="24"/>
        <v>0</v>
      </c>
      <c r="V133" s="31">
        <f t="shared" si="25"/>
        <v>0</v>
      </c>
      <c r="W133" s="25">
        <f t="shared" si="20"/>
        <v>573.99443053817265</v>
      </c>
      <c r="X133" s="115"/>
      <c r="Y133" s="115">
        <f t="shared" si="33"/>
        <v>0</v>
      </c>
    </row>
    <row r="134" spans="1:25" s="32" customFormat="1" ht="24.75" hidden="1" customHeight="1" outlineLevel="3" x14ac:dyDescent="0.35">
      <c r="A134" s="37" t="s">
        <v>29</v>
      </c>
      <c r="B134" s="27" t="s">
        <v>10</v>
      </c>
      <c r="C134" s="28">
        <f>E134/$S$2</f>
        <v>6.9531358642747881E-3</v>
      </c>
      <c r="D134" s="39"/>
      <c r="E134" s="39">
        <v>5</v>
      </c>
      <c r="F134" s="39"/>
      <c r="G134" s="39"/>
      <c r="H134" s="39"/>
      <c r="I134" s="39"/>
      <c r="J134" s="29">
        <v>1</v>
      </c>
      <c r="K134" s="29">
        <f t="shared" si="32"/>
        <v>236.27333333333331</v>
      </c>
      <c r="L134" s="29">
        <v>245</v>
      </c>
      <c r="M134" s="29">
        <v>232</v>
      </c>
      <c r="N134" s="29">
        <v>231.82</v>
      </c>
      <c r="O134" s="29">
        <f t="shared" si="29"/>
        <v>1.6428405877717516</v>
      </c>
      <c r="P134" s="35">
        <v>120</v>
      </c>
      <c r="Q134" s="21">
        <f t="shared" si="21"/>
        <v>4883.1793630927541</v>
      </c>
      <c r="R134" s="25">
        <f t="shared" si="22"/>
        <v>783.96352848467984</v>
      </c>
      <c r="S134" s="25">
        <f t="shared" si="22"/>
        <v>1181.3666666666666</v>
      </c>
      <c r="T134" s="25">
        <f t="shared" si="22"/>
        <v>1549.1986742687618</v>
      </c>
      <c r="U134" s="31">
        <f t="shared" si="24"/>
        <v>0</v>
      </c>
      <c r="V134" s="31">
        <f t="shared" si="25"/>
        <v>0</v>
      </c>
      <c r="W134" s="25">
        <f t="shared" si="20"/>
        <v>1368.6504936726462</v>
      </c>
      <c r="X134" s="115"/>
      <c r="Y134" s="115">
        <f t="shared" si="33"/>
        <v>0</v>
      </c>
    </row>
    <row r="135" spans="1:25" s="32" customFormat="1" ht="12.75" hidden="1" customHeight="1" outlineLevel="2" collapsed="1" x14ac:dyDescent="0.35">
      <c r="A135" s="33" t="s">
        <v>67</v>
      </c>
      <c r="B135" s="34" t="s">
        <v>3</v>
      </c>
      <c r="C135" s="34" t="s">
        <v>3</v>
      </c>
      <c r="D135" s="34" t="s">
        <v>3</v>
      </c>
      <c r="E135" s="34" t="s">
        <v>3</v>
      </c>
      <c r="F135" s="34" t="s">
        <v>3</v>
      </c>
      <c r="G135" s="34" t="s">
        <v>3</v>
      </c>
      <c r="H135" s="34" t="s">
        <v>3</v>
      </c>
      <c r="I135" s="34" t="s">
        <v>3</v>
      </c>
      <c r="J135" s="34" t="s">
        <v>3</v>
      </c>
      <c r="K135" s="34" t="s">
        <v>3</v>
      </c>
      <c r="L135" s="34"/>
      <c r="M135" s="34"/>
      <c r="N135" s="34"/>
      <c r="O135" s="29">
        <f>SUM(O136:O153)</f>
        <v>11.626055295482733</v>
      </c>
      <c r="P135" s="34" t="s">
        <v>3</v>
      </c>
      <c r="Q135" s="21">
        <f t="shared" si="21"/>
        <v>34557.286760292875</v>
      </c>
      <c r="R135" s="25">
        <f t="shared" si="22"/>
        <v>5547.9535870043601</v>
      </c>
      <c r="S135" s="25">
        <f t="shared" si="22"/>
        <v>8360.2963629816331</v>
      </c>
      <c r="T135" s="25">
        <f t="shared" si="22"/>
        <v>10963.370143640217</v>
      </c>
      <c r="U135" s="31">
        <f>SUM(U136:U153)</f>
        <v>0</v>
      </c>
      <c r="V135" s="31">
        <f>SUM(V136:V153)</f>
        <v>0</v>
      </c>
      <c r="W135" s="25">
        <f t="shared" ref="W135:W153" si="34">$O135*W$2</f>
        <v>9685.6666666666642</v>
      </c>
      <c r="X135" s="115"/>
      <c r="Y135" s="115">
        <f t="shared" si="33"/>
        <v>0</v>
      </c>
    </row>
    <row r="136" spans="1:25" s="32" customFormat="1" ht="24.75" hidden="1" customHeight="1" outlineLevel="3" x14ac:dyDescent="0.35">
      <c r="A136" s="37" t="s">
        <v>406</v>
      </c>
      <c r="B136" s="27" t="s">
        <v>10</v>
      </c>
      <c r="C136" s="28">
        <f>I136/$W$2</f>
        <v>2.4006721882126995E-2</v>
      </c>
      <c r="D136" s="39"/>
      <c r="E136" s="39"/>
      <c r="F136" s="39"/>
      <c r="G136" s="39"/>
      <c r="H136" s="39"/>
      <c r="I136" s="39">
        <v>20</v>
      </c>
      <c r="J136" s="29">
        <v>1</v>
      </c>
      <c r="K136" s="29">
        <f t="shared" ref="K136:K153" si="35">AVERAGE(L136:N136)</f>
        <v>10.666666666666666</v>
      </c>
      <c r="L136" s="29">
        <v>13</v>
      </c>
      <c r="M136" s="29">
        <v>9</v>
      </c>
      <c r="N136" s="29">
        <v>10</v>
      </c>
      <c r="O136" s="29">
        <f t="shared" si="29"/>
        <v>0.25607170007602126</v>
      </c>
      <c r="P136" s="35">
        <v>121</v>
      </c>
      <c r="Q136" s="21">
        <f t="shared" ref="Q136:Q153" si="36">SUM(R136:W136)</f>
        <v>761.14752130596548</v>
      </c>
      <c r="R136" s="25">
        <f t="shared" ref="R136:T153" si="37">$O136*R$2</f>
        <v>122.19741527627734</v>
      </c>
      <c r="S136" s="25">
        <f t="shared" si="37"/>
        <v>184.1411595246669</v>
      </c>
      <c r="T136" s="25">
        <f t="shared" si="37"/>
        <v>241.47561317168805</v>
      </c>
      <c r="U136" s="31">
        <f t="shared" si="24"/>
        <v>0</v>
      </c>
      <c r="V136" s="31">
        <f t="shared" si="25"/>
        <v>0</v>
      </c>
      <c r="W136" s="25">
        <f t="shared" si="34"/>
        <v>213.33333333333331</v>
      </c>
      <c r="X136" s="115"/>
      <c r="Y136" s="115">
        <f t="shared" si="33"/>
        <v>0</v>
      </c>
    </row>
    <row r="137" spans="1:25" s="32" customFormat="1" ht="24.75" hidden="1" customHeight="1" outlineLevel="3" x14ac:dyDescent="0.35">
      <c r="A137" s="37" t="s">
        <v>407</v>
      </c>
      <c r="B137" s="27" t="s">
        <v>10</v>
      </c>
      <c r="C137" s="28">
        <f t="shared" ref="C137:C153" si="38">I137/$W$2</f>
        <v>3.6010082823190494E-2</v>
      </c>
      <c r="D137" s="39"/>
      <c r="E137" s="39"/>
      <c r="F137" s="39"/>
      <c r="G137" s="39"/>
      <c r="H137" s="39"/>
      <c r="I137" s="39">
        <v>30</v>
      </c>
      <c r="J137" s="29">
        <v>1</v>
      </c>
      <c r="K137" s="29">
        <f t="shared" si="35"/>
        <v>6.666666666666667</v>
      </c>
      <c r="L137" s="29">
        <v>9</v>
      </c>
      <c r="M137" s="29">
        <v>5</v>
      </c>
      <c r="N137" s="29">
        <v>6</v>
      </c>
      <c r="O137" s="29">
        <f t="shared" si="29"/>
        <v>0.24006721882126997</v>
      </c>
      <c r="P137" s="35">
        <v>122</v>
      </c>
      <c r="Q137" s="21">
        <f t="shared" si="36"/>
        <v>713.57580122434274</v>
      </c>
      <c r="R137" s="25">
        <f t="shared" si="37"/>
        <v>114.56007682151002</v>
      </c>
      <c r="S137" s="25">
        <f t="shared" si="37"/>
        <v>172.63233705437523</v>
      </c>
      <c r="T137" s="25">
        <f t="shared" si="37"/>
        <v>226.38338734845757</v>
      </c>
      <c r="U137" s="31">
        <f t="shared" si="24"/>
        <v>0</v>
      </c>
      <c r="V137" s="31">
        <f t="shared" si="25"/>
        <v>0</v>
      </c>
      <c r="W137" s="25">
        <f t="shared" si="34"/>
        <v>200.00000000000003</v>
      </c>
      <c r="X137" s="115"/>
      <c r="Y137" s="115">
        <f t="shared" si="33"/>
        <v>0</v>
      </c>
    </row>
    <row r="138" spans="1:25" s="32" customFormat="1" ht="24.75" hidden="1" customHeight="1" outlineLevel="3" x14ac:dyDescent="0.35">
      <c r="A138" s="37" t="s">
        <v>408</v>
      </c>
      <c r="B138" s="27" t="s">
        <v>10</v>
      </c>
      <c r="C138" s="28">
        <f t="shared" si="38"/>
        <v>3.6010082823190494E-3</v>
      </c>
      <c r="D138" s="39"/>
      <c r="E138" s="39"/>
      <c r="F138" s="39"/>
      <c r="G138" s="39"/>
      <c r="H138" s="39"/>
      <c r="I138" s="39">
        <v>3</v>
      </c>
      <c r="J138" s="29">
        <v>1</v>
      </c>
      <c r="K138" s="29">
        <f t="shared" si="35"/>
        <v>26</v>
      </c>
      <c r="L138" s="29">
        <v>35</v>
      </c>
      <c r="M138" s="29">
        <v>21</v>
      </c>
      <c r="N138" s="29">
        <v>22</v>
      </c>
      <c r="O138" s="29">
        <f t="shared" si="29"/>
        <v>9.3626215340295277E-2</v>
      </c>
      <c r="P138" s="35">
        <v>123</v>
      </c>
      <c r="Q138" s="21">
        <f t="shared" si="36"/>
        <v>278.29456247749368</v>
      </c>
      <c r="R138" s="25">
        <f t="shared" si="37"/>
        <v>44.678429960388904</v>
      </c>
      <c r="S138" s="25">
        <f t="shared" si="37"/>
        <v>67.326611451206333</v>
      </c>
      <c r="T138" s="25">
        <f t="shared" si="37"/>
        <v>88.289521065898441</v>
      </c>
      <c r="U138" s="31">
        <f t="shared" si="24"/>
        <v>0</v>
      </c>
      <c r="V138" s="31">
        <f t="shared" si="25"/>
        <v>0</v>
      </c>
      <c r="W138" s="25">
        <f t="shared" si="34"/>
        <v>78</v>
      </c>
      <c r="X138" s="115"/>
      <c r="Y138" s="115">
        <f t="shared" si="33"/>
        <v>0</v>
      </c>
    </row>
    <row r="139" spans="1:25" s="32" customFormat="1" ht="24.75" hidden="1" customHeight="1" outlineLevel="3" x14ac:dyDescent="0.35">
      <c r="A139" s="37" t="s">
        <v>409</v>
      </c>
      <c r="B139" s="27" t="s">
        <v>10</v>
      </c>
      <c r="C139" s="28">
        <f t="shared" si="38"/>
        <v>1.2003360941063497E-2</v>
      </c>
      <c r="D139" s="39"/>
      <c r="E139" s="39"/>
      <c r="F139" s="39"/>
      <c r="G139" s="39"/>
      <c r="H139" s="39"/>
      <c r="I139" s="39">
        <v>10</v>
      </c>
      <c r="J139" s="29">
        <v>1</v>
      </c>
      <c r="K139" s="29">
        <f t="shared" si="35"/>
        <v>8</v>
      </c>
      <c r="L139" s="29">
        <v>8</v>
      </c>
      <c r="M139" s="29"/>
      <c r="N139" s="29"/>
      <c r="O139" s="29">
        <f t="shared" si="29"/>
        <v>9.6026887528507979E-2</v>
      </c>
      <c r="P139" s="35">
        <v>124</v>
      </c>
      <c r="Q139" s="21">
        <f t="shared" si="36"/>
        <v>285.43032048973714</v>
      </c>
      <c r="R139" s="25">
        <f t="shared" si="37"/>
        <v>45.824030728604008</v>
      </c>
      <c r="S139" s="25">
        <f t="shared" si="37"/>
        <v>69.052934821750085</v>
      </c>
      <c r="T139" s="25">
        <f t="shared" si="37"/>
        <v>90.553354939383027</v>
      </c>
      <c r="U139" s="31">
        <f t="shared" si="24"/>
        <v>0</v>
      </c>
      <c r="V139" s="31">
        <f t="shared" si="25"/>
        <v>0</v>
      </c>
      <c r="W139" s="25">
        <f t="shared" si="34"/>
        <v>80</v>
      </c>
      <c r="X139" s="115"/>
      <c r="Y139" s="115">
        <f t="shared" si="33"/>
        <v>0</v>
      </c>
    </row>
    <row r="140" spans="1:25" s="32" customFormat="1" ht="24.75" hidden="1" customHeight="1" outlineLevel="3" x14ac:dyDescent="0.35">
      <c r="A140" s="37" t="s">
        <v>410</v>
      </c>
      <c r="B140" s="27" t="s">
        <v>10</v>
      </c>
      <c r="C140" s="28">
        <f t="shared" si="38"/>
        <v>4.2011763293722242E-2</v>
      </c>
      <c r="D140" s="39"/>
      <c r="E140" s="39"/>
      <c r="F140" s="39"/>
      <c r="G140" s="39"/>
      <c r="H140" s="39"/>
      <c r="I140" s="39">
        <v>35</v>
      </c>
      <c r="J140" s="29">
        <v>1</v>
      </c>
      <c r="K140" s="29">
        <f t="shared" si="35"/>
        <v>17</v>
      </c>
      <c r="L140" s="29">
        <v>17</v>
      </c>
      <c r="M140" s="29">
        <v>17</v>
      </c>
      <c r="N140" s="29">
        <v>17</v>
      </c>
      <c r="O140" s="29">
        <f t="shared" si="29"/>
        <v>0.71419997599327811</v>
      </c>
      <c r="P140" s="35">
        <v>125</v>
      </c>
      <c r="Q140" s="21">
        <f t="shared" si="36"/>
        <v>2122.8880086424197</v>
      </c>
      <c r="R140" s="25">
        <f t="shared" si="37"/>
        <v>340.81622854399228</v>
      </c>
      <c r="S140" s="25">
        <f t="shared" si="37"/>
        <v>513.58120273676627</v>
      </c>
      <c r="T140" s="25">
        <f t="shared" si="37"/>
        <v>673.49057736166128</v>
      </c>
      <c r="U140" s="31">
        <f t="shared" ref="U140:U153" si="39">G140*$K140</f>
        <v>0</v>
      </c>
      <c r="V140" s="31">
        <f t="shared" ref="V140:V153" si="40">H140*$K140</f>
        <v>0</v>
      </c>
      <c r="W140" s="25">
        <f t="shared" si="34"/>
        <v>595</v>
      </c>
      <c r="X140" s="115"/>
      <c r="Y140" s="115">
        <f t="shared" si="33"/>
        <v>0</v>
      </c>
    </row>
    <row r="141" spans="1:25" s="32" customFormat="1" ht="24.75" hidden="1" customHeight="1" outlineLevel="3" x14ac:dyDescent="0.35">
      <c r="A141" s="37" t="s">
        <v>411</v>
      </c>
      <c r="B141" s="27" t="s">
        <v>10</v>
      </c>
      <c r="C141" s="28">
        <f t="shared" si="38"/>
        <v>4.2011763293722242E-2</v>
      </c>
      <c r="D141" s="39"/>
      <c r="E141" s="39"/>
      <c r="F141" s="39"/>
      <c r="G141" s="39"/>
      <c r="H141" s="39"/>
      <c r="I141" s="39">
        <v>35</v>
      </c>
      <c r="J141" s="29">
        <v>1</v>
      </c>
      <c r="K141" s="29">
        <f t="shared" si="35"/>
        <v>32</v>
      </c>
      <c r="L141" s="29">
        <v>32</v>
      </c>
      <c r="M141" s="29"/>
      <c r="N141" s="29"/>
      <c r="O141" s="29">
        <f t="shared" si="29"/>
        <v>1.3443764253991117</v>
      </c>
      <c r="P141" s="35">
        <v>126</v>
      </c>
      <c r="Q141" s="21">
        <f t="shared" si="36"/>
        <v>3996.02448685632</v>
      </c>
      <c r="R141" s="25">
        <f t="shared" si="37"/>
        <v>641.53643020045615</v>
      </c>
      <c r="S141" s="25">
        <f t="shared" si="37"/>
        <v>966.74108750450125</v>
      </c>
      <c r="T141" s="25">
        <f t="shared" si="37"/>
        <v>1267.7469691513625</v>
      </c>
      <c r="U141" s="31">
        <f t="shared" si="39"/>
        <v>0</v>
      </c>
      <c r="V141" s="31">
        <f t="shared" si="40"/>
        <v>0</v>
      </c>
      <c r="W141" s="25">
        <f t="shared" si="34"/>
        <v>1120</v>
      </c>
      <c r="X141" s="115"/>
      <c r="Y141" s="115">
        <f t="shared" si="33"/>
        <v>0</v>
      </c>
    </row>
    <row r="142" spans="1:25" s="32" customFormat="1" ht="24.75" hidden="1" customHeight="1" outlineLevel="3" x14ac:dyDescent="0.35">
      <c r="A142" s="37" t="s">
        <v>412</v>
      </c>
      <c r="B142" s="27" t="s">
        <v>10</v>
      </c>
      <c r="C142" s="28">
        <f t="shared" si="38"/>
        <v>2.4006721882126993E-3</v>
      </c>
      <c r="D142" s="39"/>
      <c r="E142" s="39"/>
      <c r="F142" s="39"/>
      <c r="G142" s="39"/>
      <c r="H142" s="39"/>
      <c r="I142" s="39">
        <v>2</v>
      </c>
      <c r="J142" s="29">
        <v>1</v>
      </c>
      <c r="K142" s="29">
        <f t="shared" si="35"/>
        <v>115.33333333333333</v>
      </c>
      <c r="L142" s="29">
        <v>130</v>
      </c>
      <c r="M142" s="29">
        <v>108</v>
      </c>
      <c r="N142" s="29">
        <v>108</v>
      </c>
      <c r="O142" s="29">
        <f t="shared" si="29"/>
        <v>0.27687752570719798</v>
      </c>
      <c r="P142" s="35">
        <v>127</v>
      </c>
      <c r="Q142" s="21">
        <f t="shared" si="36"/>
        <v>822.99075741207525</v>
      </c>
      <c r="R142" s="25">
        <f t="shared" si="37"/>
        <v>132.12595526747486</v>
      </c>
      <c r="S142" s="25">
        <f t="shared" si="37"/>
        <v>199.10262873604609</v>
      </c>
      <c r="T142" s="25">
        <f t="shared" si="37"/>
        <v>261.09550674188768</v>
      </c>
      <c r="U142" s="31">
        <f t="shared" si="39"/>
        <v>0</v>
      </c>
      <c r="V142" s="31">
        <f t="shared" si="40"/>
        <v>0</v>
      </c>
      <c r="W142" s="25">
        <f t="shared" si="34"/>
        <v>230.66666666666666</v>
      </c>
      <c r="X142" s="115"/>
      <c r="Y142" s="115">
        <f t="shared" si="33"/>
        <v>0</v>
      </c>
    </row>
    <row r="143" spans="1:25" s="32" customFormat="1" ht="24.75" hidden="1" customHeight="1" outlineLevel="3" x14ac:dyDescent="0.35">
      <c r="A143" s="37" t="s">
        <v>413</v>
      </c>
      <c r="B143" s="27" t="s">
        <v>10</v>
      </c>
      <c r="C143" s="28">
        <f t="shared" si="38"/>
        <v>2.4006721882126995E-2</v>
      </c>
      <c r="D143" s="39"/>
      <c r="E143" s="39"/>
      <c r="F143" s="39"/>
      <c r="G143" s="39"/>
      <c r="H143" s="39"/>
      <c r="I143" s="39">
        <v>20</v>
      </c>
      <c r="J143" s="29">
        <v>1</v>
      </c>
      <c r="K143" s="29">
        <f t="shared" si="35"/>
        <v>30</v>
      </c>
      <c r="L143" s="29">
        <v>30</v>
      </c>
      <c r="M143" s="29"/>
      <c r="N143" s="29"/>
      <c r="O143" s="29">
        <f t="shared" si="29"/>
        <v>0.72020165646380985</v>
      </c>
      <c r="P143" s="35">
        <v>128</v>
      </c>
      <c r="Q143" s="21">
        <f t="shared" si="36"/>
        <v>2140.7274036730282</v>
      </c>
      <c r="R143" s="25">
        <f t="shared" si="37"/>
        <v>343.68023046453004</v>
      </c>
      <c r="S143" s="25">
        <f t="shared" si="37"/>
        <v>517.89701116312563</v>
      </c>
      <c r="T143" s="25">
        <f t="shared" si="37"/>
        <v>679.15016204537267</v>
      </c>
      <c r="U143" s="31">
        <f t="shared" si="39"/>
        <v>0</v>
      </c>
      <c r="V143" s="31">
        <f t="shared" si="40"/>
        <v>0</v>
      </c>
      <c r="W143" s="25">
        <f t="shared" si="34"/>
        <v>600</v>
      </c>
      <c r="X143" s="115"/>
      <c r="Y143" s="115">
        <f t="shared" si="33"/>
        <v>0</v>
      </c>
    </row>
    <row r="144" spans="1:25" s="32" customFormat="1" ht="24.75" hidden="1" customHeight="1" outlineLevel="3" x14ac:dyDescent="0.35">
      <c r="A144" s="37" t="s">
        <v>414</v>
      </c>
      <c r="B144" s="27" t="s">
        <v>10</v>
      </c>
      <c r="C144" s="28">
        <f t="shared" si="38"/>
        <v>0.24006721882126994</v>
      </c>
      <c r="D144" s="39"/>
      <c r="E144" s="39"/>
      <c r="F144" s="39"/>
      <c r="G144" s="39"/>
      <c r="H144" s="39"/>
      <c r="I144" s="39">
        <v>200</v>
      </c>
      <c r="J144" s="29">
        <v>1</v>
      </c>
      <c r="K144" s="29">
        <f t="shared" si="35"/>
        <v>3.5</v>
      </c>
      <c r="L144" s="29">
        <v>3.5</v>
      </c>
      <c r="M144" s="29">
        <v>3</v>
      </c>
      <c r="N144" s="29">
        <v>4</v>
      </c>
      <c r="O144" s="29">
        <f t="shared" si="29"/>
        <v>0.84023526587444475</v>
      </c>
      <c r="P144" s="35">
        <v>129</v>
      </c>
      <c r="Q144" s="21">
        <f t="shared" si="36"/>
        <v>2497.5153042851998</v>
      </c>
      <c r="R144" s="25">
        <f t="shared" si="37"/>
        <v>400.96026887528501</v>
      </c>
      <c r="S144" s="25">
        <f t="shared" si="37"/>
        <v>604.21317969031327</v>
      </c>
      <c r="T144" s="25">
        <f t="shared" si="37"/>
        <v>792.34185571960143</v>
      </c>
      <c r="U144" s="31">
        <f t="shared" si="39"/>
        <v>0</v>
      </c>
      <c r="V144" s="31">
        <f t="shared" si="40"/>
        <v>0</v>
      </c>
      <c r="W144" s="25">
        <f t="shared" si="34"/>
        <v>699.99999999999989</v>
      </c>
      <c r="X144" s="115"/>
      <c r="Y144" s="115">
        <f t="shared" si="33"/>
        <v>0</v>
      </c>
    </row>
    <row r="145" spans="1:26" s="32" customFormat="1" ht="24.75" hidden="1" customHeight="1" outlineLevel="3" x14ac:dyDescent="0.35">
      <c r="A145" s="37" t="s">
        <v>415</v>
      </c>
      <c r="B145" s="27" t="s">
        <v>10</v>
      </c>
      <c r="C145" s="28">
        <f t="shared" si="38"/>
        <v>2.4006721882126993E-3</v>
      </c>
      <c r="D145" s="39"/>
      <c r="E145" s="39"/>
      <c r="F145" s="39"/>
      <c r="G145" s="39"/>
      <c r="H145" s="39"/>
      <c r="I145" s="39">
        <v>2</v>
      </c>
      <c r="J145" s="29">
        <v>1</v>
      </c>
      <c r="K145" s="29">
        <f t="shared" si="35"/>
        <v>37.666666666666664</v>
      </c>
      <c r="L145" s="29">
        <v>60</v>
      </c>
      <c r="M145" s="29">
        <v>25</v>
      </c>
      <c r="N145" s="29">
        <v>28</v>
      </c>
      <c r="O145" s="29">
        <f t="shared" si="29"/>
        <v>9.0425319089345008E-2</v>
      </c>
      <c r="P145" s="35">
        <v>130</v>
      </c>
      <c r="Q145" s="21">
        <f t="shared" si="36"/>
        <v>268.78021846116911</v>
      </c>
      <c r="R145" s="25">
        <f t="shared" si="37"/>
        <v>43.150962269435439</v>
      </c>
      <c r="S145" s="25">
        <f t="shared" si="37"/>
        <v>65.024846957148</v>
      </c>
      <c r="T145" s="25">
        <f t="shared" si="37"/>
        <v>85.271075901252345</v>
      </c>
      <c r="U145" s="31">
        <f t="shared" si="39"/>
        <v>0</v>
      </c>
      <c r="V145" s="31">
        <f t="shared" si="40"/>
        <v>0</v>
      </c>
      <c r="W145" s="25">
        <f t="shared" si="34"/>
        <v>75.333333333333329</v>
      </c>
      <c r="X145" s="115"/>
      <c r="Y145" s="115">
        <f t="shared" si="33"/>
        <v>0</v>
      </c>
    </row>
    <row r="146" spans="1:26" s="32" customFormat="1" ht="24.75" hidden="1" customHeight="1" outlineLevel="3" x14ac:dyDescent="0.35">
      <c r="A146" s="37" t="s">
        <v>416</v>
      </c>
      <c r="B146" s="27" t="s">
        <v>10</v>
      </c>
      <c r="C146" s="28">
        <f t="shared" si="38"/>
        <v>2.4006721882126993E-3</v>
      </c>
      <c r="D146" s="39"/>
      <c r="E146" s="39"/>
      <c r="F146" s="39"/>
      <c r="G146" s="39"/>
      <c r="H146" s="39"/>
      <c r="I146" s="39">
        <v>2</v>
      </c>
      <c r="J146" s="29">
        <v>1</v>
      </c>
      <c r="K146" s="29">
        <f t="shared" si="35"/>
        <v>150</v>
      </c>
      <c r="L146" s="29">
        <v>150</v>
      </c>
      <c r="M146" s="29"/>
      <c r="N146" s="29"/>
      <c r="O146" s="29">
        <f t="shared" si="29"/>
        <v>0.36010082823190487</v>
      </c>
      <c r="P146" s="35">
        <v>131</v>
      </c>
      <c r="Q146" s="21">
        <f t="shared" si="36"/>
        <v>1070.3637018365141</v>
      </c>
      <c r="R146" s="25">
        <f t="shared" si="37"/>
        <v>171.84011523226499</v>
      </c>
      <c r="S146" s="25">
        <f t="shared" si="37"/>
        <v>258.94850558156281</v>
      </c>
      <c r="T146" s="25">
        <f t="shared" si="37"/>
        <v>339.57508102268628</v>
      </c>
      <c r="U146" s="31">
        <f t="shared" si="39"/>
        <v>0</v>
      </c>
      <c r="V146" s="31">
        <f t="shared" si="40"/>
        <v>0</v>
      </c>
      <c r="W146" s="25">
        <f t="shared" si="34"/>
        <v>299.99999999999994</v>
      </c>
      <c r="X146" s="115"/>
      <c r="Y146" s="115">
        <f t="shared" si="33"/>
        <v>0</v>
      </c>
    </row>
    <row r="147" spans="1:26" s="32" customFormat="1" ht="24.75" hidden="1" customHeight="1" outlineLevel="3" x14ac:dyDescent="0.35">
      <c r="A147" s="37" t="s">
        <v>417</v>
      </c>
      <c r="B147" s="27" t="s">
        <v>10</v>
      </c>
      <c r="C147" s="28">
        <f t="shared" si="38"/>
        <v>2.4006721882126993E-3</v>
      </c>
      <c r="D147" s="39"/>
      <c r="E147" s="39"/>
      <c r="F147" s="39"/>
      <c r="G147" s="39"/>
      <c r="H147" s="39"/>
      <c r="I147" s="39">
        <v>2</v>
      </c>
      <c r="J147" s="29">
        <v>1</v>
      </c>
      <c r="K147" s="29">
        <f t="shared" si="35"/>
        <v>110</v>
      </c>
      <c r="L147" s="29">
        <v>110</v>
      </c>
      <c r="M147" s="29"/>
      <c r="N147" s="29"/>
      <c r="O147" s="29">
        <f t="shared" si="29"/>
        <v>0.2640739407033969</v>
      </c>
      <c r="P147" s="35">
        <v>132</v>
      </c>
      <c r="Q147" s="21">
        <f t="shared" si="36"/>
        <v>784.93338134677697</v>
      </c>
      <c r="R147" s="25">
        <f t="shared" si="37"/>
        <v>126.01608450366101</v>
      </c>
      <c r="S147" s="25">
        <f t="shared" si="37"/>
        <v>189.89557075981273</v>
      </c>
      <c r="T147" s="25">
        <f t="shared" si="37"/>
        <v>249.02172608330329</v>
      </c>
      <c r="U147" s="31">
        <f t="shared" si="39"/>
        <v>0</v>
      </c>
      <c r="V147" s="31">
        <f t="shared" si="40"/>
        <v>0</v>
      </c>
      <c r="W147" s="25">
        <f t="shared" si="34"/>
        <v>219.99999999999997</v>
      </c>
      <c r="X147" s="115"/>
      <c r="Y147" s="115">
        <f t="shared" si="33"/>
        <v>0</v>
      </c>
    </row>
    <row r="148" spans="1:26" s="32" customFormat="1" ht="24.75" hidden="1" customHeight="1" outlineLevel="3" x14ac:dyDescent="0.35">
      <c r="A148" s="37" t="s">
        <v>418</v>
      </c>
      <c r="B148" s="27" t="s">
        <v>10</v>
      </c>
      <c r="C148" s="28">
        <f t="shared" si="38"/>
        <v>3.6010082823190494E-3</v>
      </c>
      <c r="D148" s="39"/>
      <c r="E148" s="39"/>
      <c r="F148" s="39"/>
      <c r="G148" s="39"/>
      <c r="H148" s="39"/>
      <c r="I148" s="39">
        <v>3</v>
      </c>
      <c r="J148" s="29">
        <v>1</v>
      </c>
      <c r="K148" s="29">
        <f t="shared" si="35"/>
        <v>150</v>
      </c>
      <c r="L148" s="29">
        <v>150</v>
      </c>
      <c r="M148" s="29"/>
      <c r="N148" s="29"/>
      <c r="O148" s="29">
        <f t="shared" si="29"/>
        <v>0.54015124234785739</v>
      </c>
      <c r="P148" s="35">
        <v>133</v>
      </c>
      <c r="Q148" s="21">
        <f t="shared" si="36"/>
        <v>1605.5455527547713</v>
      </c>
      <c r="R148" s="25">
        <f t="shared" si="37"/>
        <v>257.76017284839753</v>
      </c>
      <c r="S148" s="25">
        <f t="shared" si="37"/>
        <v>388.42275837234428</v>
      </c>
      <c r="T148" s="25">
        <f t="shared" si="37"/>
        <v>509.36262153402953</v>
      </c>
      <c r="U148" s="31">
        <f t="shared" si="39"/>
        <v>0</v>
      </c>
      <c r="V148" s="31">
        <f t="shared" si="40"/>
        <v>0</v>
      </c>
      <c r="W148" s="25">
        <f t="shared" si="34"/>
        <v>450</v>
      </c>
      <c r="X148" s="115"/>
      <c r="Y148" s="115">
        <f t="shared" si="33"/>
        <v>0</v>
      </c>
    </row>
    <row r="149" spans="1:26" s="32" customFormat="1" ht="24.75" hidden="1" customHeight="1" outlineLevel="3" x14ac:dyDescent="0.35">
      <c r="A149" s="37" t="s">
        <v>419</v>
      </c>
      <c r="B149" s="27" t="s">
        <v>26</v>
      </c>
      <c r="C149" s="28">
        <f t="shared" si="38"/>
        <v>9.6026887528507972E-3</v>
      </c>
      <c r="D149" s="39"/>
      <c r="E149" s="39"/>
      <c r="F149" s="39"/>
      <c r="G149" s="39"/>
      <c r="H149" s="39"/>
      <c r="I149" s="39">
        <v>8</v>
      </c>
      <c r="J149" s="29">
        <v>1</v>
      </c>
      <c r="K149" s="29">
        <f t="shared" si="35"/>
        <v>15</v>
      </c>
      <c r="L149" s="29">
        <v>15</v>
      </c>
      <c r="M149" s="29"/>
      <c r="N149" s="29"/>
      <c r="O149" s="29">
        <f t="shared" si="29"/>
        <v>0.14404033129276195</v>
      </c>
      <c r="P149" s="35">
        <v>134</v>
      </c>
      <c r="Q149" s="21">
        <f t="shared" si="36"/>
        <v>428.1454807346056</v>
      </c>
      <c r="R149" s="25">
        <f t="shared" si="37"/>
        <v>68.736046092905994</v>
      </c>
      <c r="S149" s="25">
        <f t="shared" si="37"/>
        <v>103.57940223262511</v>
      </c>
      <c r="T149" s="25">
        <f t="shared" si="37"/>
        <v>135.83003240907451</v>
      </c>
      <c r="U149" s="31">
        <f t="shared" si="39"/>
        <v>0</v>
      </c>
      <c r="V149" s="31">
        <f t="shared" si="40"/>
        <v>0</v>
      </c>
      <c r="W149" s="25">
        <f t="shared" si="34"/>
        <v>119.99999999999999</v>
      </c>
      <c r="X149" s="115"/>
      <c r="Y149" s="115">
        <f t="shared" si="33"/>
        <v>0</v>
      </c>
    </row>
    <row r="150" spans="1:26" s="32" customFormat="1" ht="24.75" hidden="1" customHeight="1" outlineLevel="3" x14ac:dyDescent="0.35">
      <c r="A150" s="37" t="s">
        <v>420</v>
      </c>
      <c r="B150" s="27" t="s">
        <v>10</v>
      </c>
      <c r="C150" s="28">
        <f t="shared" si="38"/>
        <v>0.18005041411595246</v>
      </c>
      <c r="D150" s="39"/>
      <c r="E150" s="39"/>
      <c r="F150" s="39"/>
      <c r="G150" s="39"/>
      <c r="H150" s="39"/>
      <c r="I150" s="39">
        <v>150</v>
      </c>
      <c r="J150" s="29">
        <v>1</v>
      </c>
      <c r="K150" s="29">
        <f t="shared" si="35"/>
        <v>23</v>
      </c>
      <c r="L150" s="29">
        <v>23</v>
      </c>
      <c r="M150" s="29"/>
      <c r="N150" s="29"/>
      <c r="O150" s="29">
        <f t="shared" si="29"/>
        <v>4.1411595246669064</v>
      </c>
      <c r="P150" s="35">
        <v>135</v>
      </c>
      <c r="Q150" s="21">
        <f t="shared" si="36"/>
        <v>12309.182571119913</v>
      </c>
      <c r="R150" s="25">
        <f t="shared" si="37"/>
        <v>1976.1613251710478</v>
      </c>
      <c r="S150" s="25">
        <f t="shared" si="37"/>
        <v>2977.9078141879727</v>
      </c>
      <c r="T150" s="25">
        <f t="shared" si="37"/>
        <v>3905.1134317608926</v>
      </c>
      <c r="U150" s="31">
        <f t="shared" si="39"/>
        <v>0</v>
      </c>
      <c r="V150" s="31">
        <f t="shared" si="40"/>
        <v>0</v>
      </c>
      <c r="W150" s="25">
        <f t="shared" si="34"/>
        <v>3450</v>
      </c>
      <c r="X150" s="115"/>
      <c r="Y150" s="115">
        <f t="shared" si="33"/>
        <v>0</v>
      </c>
    </row>
    <row r="151" spans="1:26" s="32" customFormat="1" ht="24.75" hidden="1" customHeight="1" outlineLevel="3" x14ac:dyDescent="0.35">
      <c r="A151" s="37" t="s">
        <v>421</v>
      </c>
      <c r="B151" s="27" t="s">
        <v>10</v>
      </c>
      <c r="C151" s="28">
        <f t="shared" si="38"/>
        <v>4.8013443764253986E-3</v>
      </c>
      <c r="D151" s="39"/>
      <c r="E151" s="39"/>
      <c r="F151" s="39"/>
      <c r="G151" s="39"/>
      <c r="H151" s="39"/>
      <c r="I151" s="39">
        <v>4</v>
      </c>
      <c r="J151" s="29">
        <v>1</v>
      </c>
      <c r="K151" s="29">
        <f t="shared" si="35"/>
        <v>90</v>
      </c>
      <c r="L151" s="29">
        <v>90</v>
      </c>
      <c r="M151" s="29"/>
      <c r="N151" s="29"/>
      <c r="O151" s="29">
        <f t="shared" si="29"/>
        <v>0.4321209938782859</v>
      </c>
      <c r="P151" s="35">
        <v>136</v>
      </c>
      <c r="Q151" s="21">
        <f t="shared" si="36"/>
        <v>1284.436442203817</v>
      </c>
      <c r="R151" s="25">
        <f t="shared" si="37"/>
        <v>206.20813827871802</v>
      </c>
      <c r="S151" s="25">
        <f t="shared" si="37"/>
        <v>310.7382066978754</v>
      </c>
      <c r="T151" s="25">
        <f t="shared" si="37"/>
        <v>407.4900972272236</v>
      </c>
      <c r="U151" s="31">
        <f t="shared" si="39"/>
        <v>0</v>
      </c>
      <c r="V151" s="31">
        <f t="shared" si="40"/>
        <v>0</v>
      </c>
      <c r="W151" s="25">
        <f t="shared" si="34"/>
        <v>360</v>
      </c>
      <c r="X151" s="115"/>
      <c r="Y151" s="115">
        <f t="shared" si="33"/>
        <v>0</v>
      </c>
    </row>
    <row r="152" spans="1:26" s="32" customFormat="1" ht="24.75" hidden="1" customHeight="1" outlineLevel="3" x14ac:dyDescent="0.35">
      <c r="A152" s="37" t="s">
        <v>422</v>
      </c>
      <c r="B152" s="27" t="s">
        <v>26</v>
      </c>
      <c r="C152" s="28">
        <f t="shared" si="38"/>
        <v>2.4006721882126995E-2</v>
      </c>
      <c r="D152" s="39"/>
      <c r="E152" s="39"/>
      <c r="F152" s="39"/>
      <c r="G152" s="39"/>
      <c r="H152" s="39"/>
      <c r="I152" s="39">
        <v>20</v>
      </c>
      <c r="J152" s="29">
        <v>1</v>
      </c>
      <c r="K152" s="29">
        <f t="shared" si="35"/>
        <v>40</v>
      </c>
      <c r="L152" s="29">
        <v>40</v>
      </c>
      <c r="M152" s="29"/>
      <c r="N152" s="29"/>
      <c r="O152" s="29">
        <f t="shared" si="29"/>
        <v>0.96026887528507976</v>
      </c>
      <c r="P152" s="35">
        <v>137</v>
      </c>
      <c r="Q152" s="21">
        <f t="shared" si="36"/>
        <v>2854.303204897371</v>
      </c>
      <c r="R152" s="25">
        <f t="shared" si="37"/>
        <v>458.24030728604004</v>
      </c>
      <c r="S152" s="25">
        <f t="shared" si="37"/>
        <v>690.52934821750091</v>
      </c>
      <c r="T152" s="25">
        <f t="shared" si="37"/>
        <v>905.53354939383019</v>
      </c>
      <c r="U152" s="31">
        <f t="shared" si="39"/>
        <v>0</v>
      </c>
      <c r="V152" s="31">
        <f t="shared" si="40"/>
        <v>0</v>
      </c>
      <c r="W152" s="25">
        <f t="shared" si="34"/>
        <v>800</v>
      </c>
      <c r="X152" s="115"/>
      <c r="Y152" s="115">
        <f t="shared" si="33"/>
        <v>0</v>
      </c>
    </row>
    <row r="153" spans="1:26" s="32" customFormat="1" ht="24.75" hidden="1" customHeight="1" outlineLevel="3" x14ac:dyDescent="0.35">
      <c r="A153" s="37" t="s">
        <v>423</v>
      </c>
      <c r="B153" s="27" t="s">
        <v>10</v>
      </c>
      <c r="C153" s="28">
        <f t="shared" si="38"/>
        <v>1.2003360941063497E-2</v>
      </c>
      <c r="D153" s="39"/>
      <c r="E153" s="39"/>
      <c r="F153" s="39"/>
      <c r="G153" s="39"/>
      <c r="H153" s="39"/>
      <c r="I153" s="39">
        <v>10</v>
      </c>
      <c r="J153" s="29">
        <v>1</v>
      </c>
      <c r="K153" s="29">
        <f t="shared" si="35"/>
        <v>9.3333333333333339</v>
      </c>
      <c r="L153" s="29">
        <v>10</v>
      </c>
      <c r="M153" s="29">
        <v>9</v>
      </c>
      <c r="N153" s="29">
        <v>9</v>
      </c>
      <c r="O153" s="29">
        <f t="shared" si="29"/>
        <v>0.11203136878325931</v>
      </c>
      <c r="P153" s="35">
        <v>138</v>
      </c>
      <c r="Q153" s="21">
        <f t="shared" si="36"/>
        <v>333.00204057135994</v>
      </c>
      <c r="R153" s="25">
        <f t="shared" si="37"/>
        <v>53.461369183371339</v>
      </c>
      <c r="S153" s="25">
        <f t="shared" si="37"/>
        <v>80.561757292041776</v>
      </c>
      <c r="T153" s="25">
        <f t="shared" si="37"/>
        <v>105.64558076261353</v>
      </c>
      <c r="U153" s="31">
        <f t="shared" si="39"/>
        <v>0</v>
      </c>
      <c r="V153" s="31">
        <f t="shared" si="40"/>
        <v>0</v>
      </c>
      <c r="W153" s="25">
        <f t="shared" si="34"/>
        <v>93.333333333333329</v>
      </c>
      <c r="X153" s="115"/>
      <c r="Y153" s="115">
        <f t="shared" si="33"/>
        <v>0</v>
      </c>
    </row>
    <row r="154" spans="1:26" s="41" customFormat="1" ht="56.25" customHeight="1" x14ac:dyDescent="0.35">
      <c r="A154" s="17" t="s">
        <v>11</v>
      </c>
      <c r="B154" s="18" t="s">
        <v>3</v>
      </c>
      <c r="C154" s="19">
        <f>C155+C164+C194+C196+C200+C204+C208</f>
        <v>239.48456181738823</v>
      </c>
      <c r="D154" s="20" t="s">
        <v>3</v>
      </c>
      <c r="E154" s="20" t="s">
        <v>3</v>
      </c>
      <c r="F154" s="20" t="s">
        <v>3</v>
      </c>
      <c r="G154" s="20" t="s">
        <v>3</v>
      </c>
      <c r="H154" s="20" t="s">
        <v>3</v>
      </c>
      <c r="I154" s="20" t="s">
        <v>3</v>
      </c>
      <c r="J154" s="20" t="s">
        <v>3</v>
      </c>
      <c r="K154" s="20" t="s">
        <v>3</v>
      </c>
      <c r="L154" s="20"/>
      <c r="M154" s="20"/>
      <c r="N154" s="20"/>
      <c r="O154" s="19">
        <f>O155+O164+O194+O196+O200+O204+O208</f>
        <v>7800.7254723867909</v>
      </c>
      <c r="P154" s="20" t="s">
        <v>3</v>
      </c>
      <c r="Q154" s="21">
        <f t="shared" ref="Q154:W154" si="41">Q155+Q164+Q194+Q196+Q200+Q204+Q208</f>
        <v>32203129.626232062</v>
      </c>
      <c r="R154" s="21">
        <f t="shared" si="41"/>
        <v>4592494.5133015197</v>
      </c>
      <c r="S154" s="21">
        <f t="shared" si="41"/>
        <v>5646764.6632126821</v>
      </c>
      <c r="T154" s="21">
        <f t="shared" si="41"/>
        <v>7356084.120460744</v>
      </c>
      <c r="U154" s="21">
        <f t="shared" si="41"/>
        <v>3180866.163915338</v>
      </c>
      <c r="V154" s="21">
        <f t="shared" si="41"/>
        <v>3933142.7220744616</v>
      </c>
      <c r="W154" s="21">
        <f t="shared" si="41"/>
        <v>7493777.4432673166</v>
      </c>
      <c r="X154" s="117"/>
      <c r="Y154" s="115">
        <f t="shared" si="33"/>
        <v>0</v>
      </c>
      <c r="Z154" s="116"/>
    </row>
    <row r="155" spans="1:26" s="41" customFormat="1" ht="32.25" customHeight="1" outlineLevel="1" collapsed="1" x14ac:dyDescent="0.35">
      <c r="A155" s="22" t="s">
        <v>12</v>
      </c>
      <c r="B155" s="23" t="s">
        <v>3</v>
      </c>
      <c r="C155" s="19">
        <f>SUM(C156:C163)</f>
        <v>193.16837751855778</v>
      </c>
      <c r="D155" s="20" t="s">
        <v>3</v>
      </c>
      <c r="E155" s="20" t="s">
        <v>3</v>
      </c>
      <c r="F155" s="20" t="s">
        <v>3</v>
      </c>
      <c r="G155" s="20" t="s">
        <v>3</v>
      </c>
      <c r="H155" s="20" t="s">
        <v>3</v>
      </c>
      <c r="I155" s="20" t="s">
        <v>3</v>
      </c>
      <c r="J155" s="20" t="s">
        <v>3</v>
      </c>
      <c r="K155" s="20" t="s">
        <v>3</v>
      </c>
      <c r="L155" s="20"/>
      <c r="M155" s="20"/>
      <c r="N155" s="20"/>
      <c r="O155" s="24">
        <f>SUM(O156:O163)</f>
        <v>6229.999088016968</v>
      </c>
      <c r="P155" s="20" t="s">
        <v>3</v>
      </c>
      <c r="Q155" s="21">
        <f>SUM(R155:W155)</f>
        <v>27057567.240000006</v>
      </c>
      <c r="R155" s="25">
        <f t="shared" ref="R155:W155" si="42">SUM(R156:R163)</f>
        <v>3679256.28</v>
      </c>
      <c r="S155" s="25">
        <f t="shared" si="42"/>
        <v>4839665.2500000009</v>
      </c>
      <c r="T155" s="25">
        <f t="shared" si="42"/>
        <v>5874889.1400000006</v>
      </c>
      <c r="U155" s="25">
        <f t="shared" si="42"/>
        <v>2561233.6600000006</v>
      </c>
      <c r="V155" s="25">
        <f t="shared" si="42"/>
        <v>3529798.0100000002</v>
      </c>
      <c r="W155" s="25">
        <f t="shared" si="42"/>
        <v>6572724.9000000013</v>
      </c>
      <c r="X155" s="115"/>
      <c r="Y155" s="115">
        <f t="shared" si="33"/>
        <v>0</v>
      </c>
      <c r="Z155" s="116"/>
    </row>
    <row r="156" spans="1:26" s="36" customFormat="1" ht="26" hidden="1" outlineLevel="2" x14ac:dyDescent="0.35">
      <c r="A156" s="43" t="s">
        <v>48</v>
      </c>
      <c r="B156" s="44" t="s">
        <v>49</v>
      </c>
      <c r="C156" s="28">
        <f t="shared" ref="C156:C163" si="43">F156/$T$2</f>
        <v>1.6197030752916226</v>
      </c>
      <c r="D156" s="45">
        <v>975.65</v>
      </c>
      <c r="E156" s="45">
        <v>1112.5999999999999</v>
      </c>
      <c r="F156" s="45">
        <v>1527.38</v>
      </c>
      <c r="G156" s="45"/>
      <c r="H156" s="45"/>
      <c r="I156" s="45">
        <v>1600.9</v>
      </c>
      <c r="J156" s="29">
        <v>1</v>
      </c>
      <c r="K156" s="29">
        <f>T156/F156</f>
        <v>3101.7699982977383</v>
      </c>
      <c r="L156" s="29"/>
      <c r="M156" s="29"/>
      <c r="N156" s="29"/>
      <c r="O156" s="29">
        <f t="shared" ref="O156:O163" si="44">C156/$J156*$K156</f>
        <v>5023.9464050901379</v>
      </c>
      <c r="P156" s="35" t="s">
        <v>482</v>
      </c>
      <c r="Q156" s="21">
        <f t="shared" ref="Q156:Q163" si="45">SUM(R156:W156)</f>
        <v>16180476.25</v>
      </c>
      <c r="R156" s="46">
        <v>3026241.9</v>
      </c>
      <c r="S156" s="46">
        <v>3451029.3</v>
      </c>
      <c r="T156" s="46">
        <v>4737581.46</v>
      </c>
      <c r="U156" s="46"/>
      <c r="V156" s="46"/>
      <c r="W156" s="46">
        <v>4965623.59</v>
      </c>
      <c r="X156" s="116"/>
      <c r="Y156" s="115">
        <f t="shared" si="33"/>
        <v>0</v>
      </c>
      <c r="Z156" s="116"/>
    </row>
    <row r="157" spans="1:26" s="36" customFormat="1" ht="26" hidden="1" outlineLevel="2" x14ac:dyDescent="0.35">
      <c r="A157" s="43" t="s">
        <v>50</v>
      </c>
      <c r="B157" s="44" t="s">
        <v>49</v>
      </c>
      <c r="C157" s="28">
        <f t="shared" si="43"/>
        <v>0</v>
      </c>
      <c r="D157" s="45"/>
      <c r="E157" s="45"/>
      <c r="F157" s="45"/>
      <c r="G157" s="45">
        <v>638.76</v>
      </c>
      <c r="H157" s="45">
        <v>952.05</v>
      </c>
      <c r="I157" s="45"/>
      <c r="J157" s="29">
        <v>1</v>
      </c>
      <c r="K157" s="29">
        <v>0</v>
      </c>
      <c r="L157" s="29"/>
      <c r="M157" s="29"/>
      <c r="N157" s="29"/>
      <c r="O157" s="29">
        <f t="shared" si="44"/>
        <v>0</v>
      </c>
      <c r="P157" s="35" t="s">
        <v>482</v>
      </c>
      <c r="Q157" s="21">
        <f t="shared" si="45"/>
        <v>5259663.28</v>
      </c>
      <c r="R157" s="46"/>
      <c r="S157" s="46"/>
      <c r="T157" s="46"/>
      <c r="U157" s="46">
        <v>2111919.41</v>
      </c>
      <c r="V157" s="46">
        <v>3147743.87</v>
      </c>
      <c r="W157" s="46"/>
      <c r="X157" s="116"/>
      <c r="Y157" s="115">
        <f t="shared" si="33"/>
        <v>0</v>
      </c>
      <c r="Z157" s="116"/>
    </row>
    <row r="158" spans="1:26" s="36" customFormat="1" ht="26" hidden="1" outlineLevel="2" x14ac:dyDescent="0.35">
      <c r="A158" s="43" t="s">
        <v>51</v>
      </c>
      <c r="B158" s="44" t="s">
        <v>42</v>
      </c>
      <c r="C158" s="28">
        <f t="shared" si="43"/>
        <v>3.4638388123011667</v>
      </c>
      <c r="D158" s="45">
        <v>653.6</v>
      </c>
      <c r="E158" s="45">
        <v>402.78</v>
      </c>
      <c r="F158" s="45">
        <v>3266.4</v>
      </c>
      <c r="G158" s="45">
        <v>129</v>
      </c>
      <c r="H158" s="45">
        <v>1012.08</v>
      </c>
      <c r="I158" s="45">
        <v>967.5</v>
      </c>
      <c r="J158" s="29">
        <v>1</v>
      </c>
      <c r="K158" s="29">
        <f t="shared" ref="K158:K163" si="46">T158/F158</f>
        <v>19.370000612294881</v>
      </c>
      <c r="L158" s="29"/>
      <c r="M158" s="29"/>
      <c r="N158" s="29"/>
      <c r="O158" s="29">
        <f t="shared" si="44"/>
        <v>67.094559915164368</v>
      </c>
      <c r="P158" s="35" t="s">
        <v>482</v>
      </c>
      <c r="Q158" s="21">
        <f t="shared" si="45"/>
        <v>124575.45</v>
      </c>
      <c r="R158" s="46">
        <v>12660.23</v>
      </c>
      <c r="S158" s="46">
        <v>7801.85</v>
      </c>
      <c r="T158" s="46">
        <v>63270.17</v>
      </c>
      <c r="U158" s="46">
        <v>2498.73</v>
      </c>
      <c r="V158" s="46">
        <v>19603.990000000002</v>
      </c>
      <c r="W158" s="46">
        <v>18740.48</v>
      </c>
      <c r="X158" s="116"/>
      <c r="Y158" s="115">
        <f t="shared" si="33"/>
        <v>0</v>
      </c>
      <c r="Z158" s="116"/>
    </row>
    <row r="159" spans="1:26" s="36" customFormat="1" ht="26" hidden="1" outlineLevel="2" x14ac:dyDescent="0.35">
      <c r="A159" s="43" t="s">
        <v>473</v>
      </c>
      <c r="B159" s="44" t="s">
        <v>52</v>
      </c>
      <c r="C159" s="28">
        <f t="shared" si="43"/>
        <v>113.65853658536585</v>
      </c>
      <c r="D159" s="45">
        <v>107370</v>
      </c>
      <c r="E159" s="45">
        <v>223230</v>
      </c>
      <c r="F159" s="45">
        <v>107180</v>
      </c>
      <c r="G159" s="45">
        <v>64840</v>
      </c>
      <c r="H159" s="45">
        <v>25120</v>
      </c>
      <c r="I159" s="45">
        <v>21540</v>
      </c>
      <c r="J159" s="29">
        <v>1</v>
      </c>
      <c r="K159" s="29">
        <f t="shared" si="46"/>
        <v>5.23</v>
      </c>
      <c r="L159" s="29"/>
      <c r="M159" s="29"/>
      <c r="N159" s="29"/>
      <c r="O159" s="29">
        <f t="shared" si="44"/>
        <v>594.43414634146347</v>
      </c>
      <c r="P159" s="35" t="s">
        <v>482</v>
      </c>
      <c r="Q159" s="21">
        <f t="shared" si="45"/>
        <v>2872734.4000000004</v>
      </c>
      <c r="R159" s="46">
        <v>561545.1</v>
      </c>
      <c r="S159" s="46">
        <v>1167492.8999999999</v>
      </c>
      <c r="T159" s="46">
        <v>560551.4</v>
      </c>
      <c r="U159" s="46">
        <v>339113.2</v>
      </c>
      <c r="V159" s="46">
        <v>131377.60000000001</v>
      </c>
      <c r="W159" s="46">
        <v>112654.2</v>
      </c>
      <c r="X159" s="116"/>
      <c r="Y159" s="115">
        <f t="shared" si="33"/>
        <v>3.3469405025243759E-10</v>
      </c>
      <c r="Z159" s="116"/>
    </row>
    <row r="160" spans="1:26" s="36" customFormat="1" ht="26" hidden="1" outlineLevel="2" x14ac:dyDescent="0.35">
      <c r="A160" s="43" t="s">
        <v>472</v>
      </c>
      <c r="B160" s="44" t="s">
        <v>52</v>
      </c>
      <c r="C160" s="28">
        <f t="shared" si="43"/>
        <v>57.739130434782609</v>
      </c>
      <c r="D160" s="45"/>
      <c r="E160" s="45"/>
      <c r="F160" s="45">
        <v>54448</v>
      </c>
      <c r="G160" s="45">
        <v>12040</v>
      </c>
      <c r="H160" s="45">
        <v>33860</v>
      </c>
      <c r="I160" s="45">
        <v>253800</v>
      </c>
      <c r="J160" s="29">
        <v>1</v>
      </c>
      <c r="K160" s="29">
        <f t="shared" si="46"/>
        <v>5.1899999999999995</v>
      </c>
      <c r="L160" s="29"/>
      <c r="M160" s="29"/>
      <c r="N160" s="29"/>
      <c r="O160" s="29">
        <f t="shared" si="44"/>
        <v>299.66608695652172</v>
      </c>
      <c r="P160" s="35" t="s">
        <v>482</v>
      </c>
      <c r="Q160" s="21">
        <f t="shared" si="45"/>
        <v>1838028.12</v>
      </c>
      <c r="R160" s="46">
        <v>0</v>
      </c>
      <c r="S160" s="46">
        <v>0</v>
      </c>
      <c r="T160" s="46">
        <v>282585.12</v>
      </c>
      <c r="U160" s="46">
        <v>62487.6</v>
      </c>
      <c r="V160" s="46">
        <v>175733.4</v>
      </c>
      <c r="W160" s="46">
        <v>1317222</v>
      </c>
      <c r="X160" s="116"/>
      <c r="Y160" s="115">
        <f t="shared" si="33"/>
        <v>0</v>
      </c>
      <c r="Z160" s="116"/>
    </row>
    <row r="161" spans="1:26" s="36" customFormat="1" ht="26" hidden="1" outlineLevel="2" x14ac:dyDescent="0.35">
      <c r="A161" s="43" t="s">
        <v>53</v>
      </c>
      <c r="B161" s="44" t="s">
        <v>42</v>
      </c>
      <c r="C161" s="28">
        <f t="shared" si="43"/>
        <v>4.1823966065747618</v>
      </c>
      <c r="D161" s="45">
        <v>1415</v>
      </c>
      <c r="E161" s="45">
        <v>4473</v>
      </c>
      <c r="F161" s="45">
        <v>3944</v>
      </c>
      <c r="G161" s="45">
        <v>992</v>
      </c>
      <c r="H161" s="45">
        <v>833</v>
      </c>
      <c r="I161" s="45">
        <v>3068</v>
      </c>
      <c r="J161" s="29">
        <v>1</v>
      </c>
      <c r="K161" s="29">
        <f t="shared" si="46"/>
        <v>19.55</v>
      </c>
      <c r="L161" s="29"/>
      <c r="M161" s="29"/>
      <c r="N161" s="29"/>
      <c r="O161" s="29">
        <f t="shared" si="44"/>
        <v>81.765853658536599</v>
      </c>
      <c r="P161" s="35" t="s">
        <v>482</v>
      </c>
      <c r="Q161" s="21">
        <f t="shared" si="45"/>
        <v>287873.75</v>
      </c>
      <c r="R161" s="46">
        <v>27663.25</v>
      </c>
      <c r="S161" s="46">
        <v>87447.15</v>
      </c>
      <c r="T161" s="46">
        <v>77105.2</v>
      </c>
      <c r="U161" s="46">
        <v>19393.599999999999</v>
      </c>
      <c r="V161" s="46">
        <v>16285.15</v>
      </c>
      <c r="W161" s="46">
        <v>59979.4</v>
      </c>
      <c r="X161" s="116"/>
      <c r="Y161" s="115">
        <f t="shared" si="33"/>
        <v>0</v>
      </c>
      <c r="Z161" s="116"/>
    </row>
    <row r="162" spans="1:26" s="36" customFormat="1" ht="26" hidden="1" outlineLevel="2" x14ac:dyDescent="0.35">
      <c r="A162" s="43" t="s">
        <v>54</v>
      </c>
      <c r="B162" s="44" t="s">
        <v>42</v>
      </c>
      <c r="C162" s="28">
        <f t="shared" si="43"/>
        <v>6.7815482502651117</v>
      </c>
      <c r="D162" s="45">
        <f>1415+760</f>
        <v>2175</v>
      </c>
      <c r="E162" s="45">
        <f>4473+698</f>
        <v>5171</v>
      </c>
      <c r="F162" s="45">
        <f>3944+2451</f>
        <v>6395</v>
      </c>
      <c r="G162" s="45">
        <f>992+16</f>
        <v>1008</v>
      </c>
      <c r="H162" s="45">
        <f>833+892</f>
        <v>1725</v>
      </c>
      <c r="I162" s="45">
        <f>3068+955.65</f>
        <v>4023.65</v>
      </c>
      <c r="J162" s="29">
        <v>1</v>
      </c>
      <c r="K162" s="29">
        <f t="shared" si="46"/>
        <v>22.639999999999997</v>
      </c>
      <c r="L162" s="29"/>
      <c r="M162" s="29"/>
      <c r="N162" s="29"/>
      <c r="O162" s="29">
        <f t="shared" si="44"/>
        <v>153.53425238600209</v>
      </c>
      <c r="P162" s="35" t="s">
        <v>482</v>
      </c>
      <c r="Q162" s="21">
        <f t="shared" si="45"/>
        <v>467066.8</v>
      </c>
      <c r="R162" s="46">
        <f>32035.6+17206.4</f>
        <v>49242</v>
      </c>
      <c r="S162" s="46">
        <f>101268.72+15802.72</f>
        <v>117071.44</v>
      </c>
      <c r="T162" s="46">
        <f>89292.16+55490.64</f>
        <v>144782.79999999999</v>
      </c>
      <c r="U162" s="46">
        <f>25458.88+362.24</f>
        <v>25821.120000000003</v>
      </c>
      <c r="V162" s="46">
        <f>18859.12+20194.88</f>
        <v>39054</v>
      </c>
      <c r="W162" s="46">
        <f>69459.52+21635.92</f>
        <v>91095.44</v>
      </c>
      <c r="X162" s="116"/>
      <c r="Y162" s="115">
        <f t="shared" si="33"/>
        <v>0</v>
      </c>
      <c r="Z162" s="116"/>
    </row>
    <row r="163" spans="1:26" s="36" customFormat="1" ht="26" hidden="1" outlineLevel="2" x14ac:dyDescent="0.35">
      <c r="A163" s="43" t="s">
        <v>55</v>
      </c>
      <c r="B163" s="44" t="s">
        <v>42</v>
      </c>
      <c r="C163" s="28">
        <f t="shared" si="43"/>
        <v>5.7232237539766704</v>
      </c>
      <c r="D163" s="45">
        <f>1140</f>
        <v>1140</v>
      </c>
      <c r="E163" s="45">
        <f>5283</f>
        <v>5283</v>
      </c>
      <c r="F163" s="45">
        <f>5397</f>
        <v>5397</v>
      </c>
      <c r="G163" s="45">
        <f>0</f>
        <v>0</v>
      </c>
      <c r="H163" s="45">
        <v>0</v>
      </c>
      <c r="I163" s="45">
        <v>4437</v>
      </c>
      <c r="J163" s="29">
        <v>1</v>
      </c>
      <c r="K163" s="29">
        <f t="shared" si="46"/>
        <v>1.67</v>
      </c>
      <c r="L163" s="29"/>
      <c r="M163" s="29"/>
      <c r="N163" s="29"/>
      <c r="O163" s="29">
        <f t="shared" si="44"/>
        <v>9.5577836691410383</v>
      </c>
      <c r="P163" s="35" t="s">
        <v>482</v>
      </c>
      <c r="Q163" s="21">
        <f t="shared" si="45"/>
        <v>27149.190000000002</v>
      </c>
      <c r="R163" s="46">
        <v>1903.8</v>
      </c>
      <c r="S163" s="46">
        <v>8822.61</v>
      </c>
      <c r="T163" s="46">
        <v>9012.99</v>
      </c>
      <c r="U163" s="46"/>
      <c r="V163" s="46"/>
      <c r="W163" s="46">
        <v>7409.79</v>
      </c>
      <c r="X163" s="116"/>
      <c r="Y163" s="115">
        <f t="shared" si="33"/>
        <v>0</v>
      </c>
      <c r="Z163" s="116"/>
    </row>
    <row r="164" spans="1:26" s="41" customFormat="1" ht="76.5" customHeight="1" outlineLevel="1" x14ac:dyDescent="0.35">
      <c r="A164" s="22" t="s">
        <v>14</v>
      </c>
      <c r="B164" s="23" t="s">
        <v>3</v>
      </c>
      <c r="C164" s="19">
        <f>SUM(C165:C193)</f>
        <v>42.772152704135728</v>
      </c>
      <c r="D164" s="20" t="s">
        <v>3</v>
      </c>
      <c r="E164" s="20" t="s">
        <v>3</v>
      </c>
      <c r="F164" s="20" t="s">
        <v>3</v>
      </c>
      <c r="G164" s="20" t="s">
        <v>3</v>
      </c>
      <c r="H164" s="20" t="s">
        <v>3</v>
      </c>
      <c r="I164" s="20" t="s">
        <v>3</v>
      </c>
      <c r="J164" s="20" t="s">
        <v>3</v>
      </c>
      <c r="K164" s="20" t="s">
        <v>3</v>
      </c>
      <c r="L164" s="20"/>
      <c r="M164" s="20"/>
      <c r="N164" s="20"/>
      <c r="O164" s="24">
        <f>SUM(O165:O193)</f>
        <v>899.27834676564157</v>
      </c>
      <c r="P164" s="20" t="s">
        <v>3</v>
      </c>
      <c r="Q164" s="21">
        <f>SUM(R164:W164)</f>
        <v>2594581.5682016667</v>
      </c>
      <c r="R164" s="25">
        <f t="shared" ref="R164:W164" si="47">SUM(R165:R193)</f>
        <v>398499.74333333335</v>
      </c>
      <c r="S164" s="25">
        <f t="shared" si="47"/>
        <v>366453.16136833333</v>
      </c>
      <c r="T164" s="25">
        <f t="shared" si="47"/>
        <v>848019.48100000003</v>
      </c>
      <c r="U164" s="25">
        <f t="shared" si="47"/>
        <v>391900.75933333335</v>
      </c>
      <c r="V164" s="25">
        <f t="shared" si="47"/>
        <v>253503.50983333332</v>
      </c>
      <c r="W164" s="25">
        <f t="shared" si="47"/>
        <v>336204.91333333333</v>
      </c>
      <c r="X164" s="115"/>
      <c r="Y164" s="115">
        <f t="shared" si="33"/>
        <v>0</v>
      </c>
      <c r="Z164" s="116"/>
    </row>
    <row r="165" spans="1:26" s="32" customFormat="1" ht="24.75" customHeight="1" outlineLevel="2" x14ac:dyDescent="0.35">
      <c r="A165" s="26" t="s">
        <v>32</v>
      </c>
      <c r="B165" s="27" t="s">
        <v>33</v>
      </c>
      <c r="C165" s="28">
        <f t="shared" ref="C165:C185" si="48">F165/$T$2</f>
        <v>0.93864262990455993</v>
      </c>
      <c r="D165" s="29">
        <v>400</v>
      </c>
      <c r="E165" s="29">
        <v>183.90790000000001</v>
      </c>
      <c r="F165" s="29">
        <v>885.14</v>
      </c>
      <c r="G165" s="29">
        <v>425.24</v>
      </c>
      <c r="H165" s="29">
        <v>1751.21</v>
      </c>
      <c r="I165" s="29">
        <v>2500</v>
      </c>
      <c r="J165" s="29">
        <v>1</v>
      </c>
      <c r="K165" s="29">
        <f>AVERAGE(L165:N165)</f>
        <v>1.6499999999999997</v>
      </c>
      <c r="L165" s="29">
        <v>1.25</v>
      </c>
      <c r="M165" s="29">
        <v>1.8</v>
      </c>
      <c r="N165" s="29">
        <v>1.9</v>
      </c>
      <c r="O165" s="29">
        <f t="shared" ref="O165:O193" si="49">C165/$J165*$K165</f>
        <v>1.5487603393425236</v>
      </c>
      <c r="P165" s="35">
        <v>139</v>
      </c>
      <c r="Q165" s="21">
        <f t="shared" ref="Q165:Q228" si="50">SUM(R165:W165)</f>
        <v>10140.071534999999</v>
      </c>
      <c r="R165" s="31">
        <f t="shared" ref="R165:R191" si="51">D165*$K165/$J165</f>
        <v>659.99999999999989</v>
      </c>
      <c r="S165" s="31">
        <f t="shared" ref="S165:S191" si="52">E165*$K165/$J165</f>
        <v>303.44803499999995</v>
      </c>
      <c r="T165" s="31">
        <f t="shared" ref="T165:T191" si="53">F165*$K165/$J165</f>
        <v>1460.4809999999998</v>
      </c>
      <c r="U165" s="31">
        <f t="shared" ref="U165:U191" si="54">G165*$K165/$J165</f>
        <v>701.64599999999984</v>
      </c>
      <c r="V165" s="31">
        <f t="shared" ref="V165:V191" si="55">H165*$K165/$J165</f>
        <v>2889.4964999999997</v>
      </c>
      <c r="W165" s="31">
        <f t="shared" ref="W165:W191" si="56">I165*$K165/$J165</f>
        <v>4124.9999999999991</v>
      </c>
      <c r="X165" s="116"/>
      <c r="Y165" s="115">
        <f t="shared" si="33"/>
        <v>0</v>
      </c>
      <c r="Z165" s="116"/>
    </row>
    <row r="166" spans="1:26" s="32" customFormat="1" ht="24.75" customHeight="1" outlineLevel="2" x14ac:dyDescent="0.35">
      <c r="A166" s="26" t="s">
        <v>34</v>
      </c>
      <c r="B166" s="27" t="s">
        <v>33</v>
      </c>
      <c r="C166" s="28">
        <f t="shared" si="48"/>
        <v>0.42417815482502652</v>
      </c>
      <c r="D166" s="47">
        <v>400</v>
      </c>
      <c r="E166" s="47">
        <v>400</v>
      </c>
      <c r="F166" s="47">
        <v>400</v>
      </c>
      <c r="G166" s="47">
        <v>100</v>
      </c>
      <c r="H166" s="47">
        <v>100</v>
      </c>
      <c r="I166" s="47">
        <v>400</v>
      </c>
      <c r="J166" s="29">
        <v>1</v>
      </c>
      <c r="K166" s="29">
        <f>AVERAGE(L166:N166)</f>
        <v>3.64</v>
      </c>
      <c r="L166" s="29">
        <v>2.99</v>
      </c>
      <c r="M166" s="29">
        <v>3.93</v>
      </c>
      <c r="N166" s="29">
        <v>4</v>
      </c>
      <c r="O166" s="29">
        <f t="shared" si="49"/>
        <v>1.5440084835630965</v>
      </c>
      <c r="P166" s="35">
        <v>140</v>
      </c>
      <c r="Q166" s="21">
        <f t="shared" si="50"/>
        <v>6552</v>
      </c>
      <c r="R166" s="31">
        <f t="shared" si="51"/>
        <v>1456</v>
      </c>
      <c r="S166" s="31">
        <f t="shared" si="52"/>
        <v>1456</v>
      </c>
      <c r="T166" s="31">
        <f t="shared" si="53"/>
        <v>1456</v>
      </c>
      <c r="U166" s="31">
        <f t="shared" si="54"/>
        <v>364</v>
      </c>
      <c r="V166" s="31">
        <f t="shared" si="55"/>
        <v>364</v>
      </c>
      <c r="W166" s="31">
        <f t="shared" si="56"/>
        <v>1456</v>
      </c>
      <c r="X166" s="116"/>
      <c r="Y166" s="115">
        <f t="shared" si="33"/>
        <v>0</v>
      </c>
      <c r="Z166" s="116"/>
    </row>
    <row r="167" spans="1:26" s="32" customFormat="1" ht="24.75" customHeight="1" outlineLevel="2" x14ac:dyDescent="0.35">
      <c r="A167" s="26" t="s">
        <v>35</v>
      </c>
      <c r="B167" s="27" t="s">
        <v>57</v>
      </c>
      <c r="C167" s="28">
        <f t="shared" si="48"/>
        <v>2.1208907741251328E-3</v>
      </c>
      <c r="D167" s="29">
        <v>1</v>
      </c>
      <c r="E167" s="29">
        <v>1</v>
      </c>
      <c r="F167" s="29">
        <v>2</v>
      </c>
      <c r="G167" s="29">
        <v>1</v>
      </c>
      <c r="H167" s="29">
        <v>1</v>
      </c>
      <c r="I167" s="29">
        <v>1</v>
      </c>
      <c r="J167" s="29">
        <v>1</v>
      </c>
      <c r="K167" s="29">
        <f>AVERAGE(L167:N167)*12</f>
        <v>3997.2</v>
      </c>
      <c r="L167" s="29">
        <v>500</v>
      </c>
      <c r="M167" s="29">
        <v>199.3</v>
      </c>
      <c r="N167" s="29">
        <v>300</v>
      </c>
      <c r="O167" s="29">
        <f t="shared" si="49"/>
        <v>8.4776246023329804</v>
      </c>
      <c r="P167" s="35">
        <v>141</v>
      </c>
      <c r="Q167" s="21">
        <f t="shared" si="50"/>
        <v>27980.400000000001</v>
      </c>
      <c r="R167" s="31">
        <f t="shared" si="51"/>
        <v>3997.2</v>
      </c>
      <c r="S167" s="31">
        <f t="shared" si="52"/>
        <v>3997.2</v>
      </c>
      <c r="T167" s="31">
        <f t="shared" si="53"/>
        <v>7994.4</v>
      </c>
      <c r="U167" s="31">
        <f t="shared" si="54"/>
        <v>3997.2</v>
      </c>
      <c r="V167" s="31">
        <f t="shared" si="55"/>
        <v>3997.2</v>
      </c>
      <c r="W167" s="31">
        <f t="shared" si="56"/>
        <v>3997.2</v>
      </c>
      <c r="X167" s="116"/>
      <c r="Y167" s="115">
        <f t="shared" si="33"/>
        <v>0</v>
      </c>
      <c r="Z167" s="116"/>
    </row>
    <row r="168" spans="1:26" s="32" customFormat="1" ht="24.75" customHeight="1" outlineLevel="2" x14ac:dyDescent="0.35">
      <c r="A168" s="26" t="s">
        <v>36</v>
      </c>
      <c r="B168" s="27" t="s">
        <v>57</v>
      </c>
      <c r="C168" s="28">
        <f t="shared" si="48"/>
        <v>0</v>
      </c>
      <c r="D168" s="29">
        <v>8760</v>
      </c>
      <c r="E168" s="29"/>
      <c r="F168" s="29"/>
      <c r="G168" s="29"/>
      <c r="H168" s="29"/>
      <c r="I168" s="29"/>
      <c r="J168" s="29">
        <v>1</v>
      </c>
      <c r="K168" s="29">
        <v>1.69</v>
      </c>
      <c r="L168" s="29"/>
      <c r="M168" s="29"/>
      <c r="N168" s="29"/>
      <c r="O168" s="29">
        <f t="shared" si="49"/>
        <v>0</v>
      </c>
      <c r="P168" s="35">
        <v>0</v>
      </c>
      <c r="Q168" s="21">
        <f t="shared" si="50"/>
        <v>14804.4</v>
      </c>
      <c r="R168" s="31">
        <f t="shared" si="51"/>
        <v>14804.4</v>
      </c>
      <c r="S168" s="31">
        <f t="shared" si="52"/>
        <v>0</v>
      </c>
      <c r="T168" s="31">
        <f t="shared" si="53"/>
        <v>0</v>
      </c>
      <c r="U168" s="31">
        <f t="shared" si="54"/>
        <v>0</v>
      </c>
      <c r="V168" s="31">
        <f t="shared" si="55"/>
        <v>0</v>
      </c>
      <c r="W168" s="31">
        <f t="shared" si="56"/>
        <v>0</v>
      </c>
      <c r="X168" s="116"/>
      <c r="Y168" s="115">
        <f t="shared" si="33"/>
        <v>0</v>
      </c>
      <c r="Z168" s="116"/>
    </row>
    <row r="169" spans="1:26" s="32" customFormat="1" ht="24.75" customHeight="1" outlineLevel="2" x14ac:dyDescent="0.35">
      <c r="A169" s="26" t="s">
        <v>36</v>
      </c>
      <c r="B169" s="27" t="s">
        <v>57</v>
      </c>
      <c r="C169" s="28">
        <f t="shared" si="48"/>
        <v>18.579003181336162</v>
      </c>
      <c r="D169" s="29"/>
      <c r="E169" s="29">
        <v>8760</v>
      </c>
      <c r="F169" s="29">
        <f>8760*2</f>
        <v>17520</v>
      </c>
      <c r="G169" s="29"/>
      <c r="H169" s="29"/>
      <c r="I169" s="29"/>
      <c r="J169" s="29">
        <v>1</v>
      </c>
      <c r="K169" s="29">
        <v>3.28</v>
      </c>
      <c r="L169" s="29"/>
      <c r="M169" s="29"/>
      <c r="N169" s="29"/>
      <c r="O169" s="29">
        <f>C169/$J169*$K169</f>
        <v>60.939130434782605</v>
      </c>
      <c r="P169" s="35">
        <v>142</v>
      </c>
      <c r="Q169" s="21">
        <f t="shared" si="50"/>
        <v>86198.399999999994</v>
      </c>
      <c r="R169" s="31">
        <f t="shared" si="51"/>
        <v>0</v>
      </c>
      <c r="S169" s="31">
        <f t="shared" si="52"/>
        <v>28732.799999999999</v>
      </c>
      <c r="T169" s="31">
        <f t="shared" si="53"/>
        <v>57465.599999999999</v>
      </c>
      <c r="U169" s="31">
        <f t="shared" si="54"/>
        <v>0</v>
      </c>
      <c r="V169" s="31">
        <f t="shared" si="55"/>
        <v>0</v>
      </c>
      <c r="W169" s="31">
        <f t="shared" si="56"/>
        <v>0</v>
      </c>
      <c r="X169" s="116"/>
      <c r="Y169" s="115">
        <f t="shared" si="33"/>
        <v>-7.2759576141834259E-12</v>
      </c>
      <c r="Z169" s="116"/>
    </row>
    <row r="170" spans="1:26" s="32" customFormat="1" ht="24.75" customHeight="1" outlineLevel="2" x14ac:dyDescent="0.35">
      <c r="A170" s="26" t="s">
        <v>36</v>
      </c>
      <c r="B170" s="27" t="s">
        <v>57</v>
      </c>
      <c r="C170" s="28">
        <f t="shared" si="48"/>
        <v>0</v>
      </c>
      <c r="D170" s="29"/>
      <c r="E170" s="29"/>
      <c r="F170" s="29"/>
      <c r="G170" s="29">
        <v>8760</v>
      </c>
      <c r="H170" s="29"/>
      <c r="I170" s="29"/>
      <c r="J170" s="29">
        <v>1</v>
      </c>
      <c r="K170" s="29">
        <f>5.48</f>
        <v>5.48</v>
      </c>
      <c r="L170" s="29"/>
      <c r="M170" s="29"/>
      <c r="N170" s="29"/>
      <c r="O170" s="29">
        <f>C170/$J170*$K170</f>
        <v>0</v>
      </c>
      <c r="P170" s="35">
        <v>0</v>
      </c>
      <c r="Q170" s="21">
        <f t="shared" si="50"/>
        <v>48004.800000000003</v>
      </c>
      <c r="R170" s="31">
        <f t="shared" si="51"/>
        <v>0</v>
      </c>
      <c r="S170" s="31">
        <f t="shared" si="52"/>
        <v>0</v>
      </c>
      <c r="T170" s="31">
        <f t="shared" si="53"/>
        <v>0</v>
      </c>
      <c r="U170" s="31">
        <f t="shared" si="54"/>
        <v>48004.800000000003</v>
      </c>
      <c r="V170" s="31">
        <f t="shared" si="55"/>
        <v>0</v>
      </c>
      <c r="W170" s="31">
        <f t="shared" si="56"/>
        <v>0</v>
      </c>
      <c r="X170" s="116"/>
      <c r="Y170" s="115">
        <f t="shared" si="33"/>
        <v>0</v>
      </c>
      <c r="Z170" s="116"/>
    </row>
    <row r="171" spans="1:26" s="32" customFormat="1" ht="24.75" customHeight="1" outlineLevel="2" x14ac:dyDescent="0.35">
      <c r="A171" s="26" t="s">
        <v>36</v>
      </c>
      <c r="B171" s="27" t="s">
        <v>57</v>
      </c>
      <c r="C171" s="28">
        <f t="shared" si="48"/>
        <v>0</v>
      </c>
      <c r="D171" s="29"/>
      <c r="E171" s="29"/>
      <c r="F171" s="29"/>
      <c r="G171" s="29"/>
      <c r="H171" s="29">
        <v>8760</v>
      </c>
      <c r="I171" s="29"/>
      <c r="J171" s="29">
        <v>1</v>
      </c>
      <c r="K171" s="29">
        <v>1.34</v>
      </c>
      <c r="L171" s="29"/>
      <c r="M171" s="29"/>
      <c r="N171" s="29"/>
      <c r="O171" s="29">
        <f>C171/$J171*$K171</f>
        <v>0</v>
      </c>
      <c r="P171" s="35">
        <v>0</v>
      </c>
      <c r="Q171" s="21">
        <f t="shared" si="50"/>
        <v>11738.400000000001</v>
      </c>
      <c r="R171" s="31">
        <f t="shared" si="51"/>
        <v>0</v>
      </c>
      <c r="S171" s="31">
        <f t="shared" si="52"/>
        <v>0</v>
      </c>
      <c r="T171" s="31">
        <f t="shared" si="53"/>
        <v>0</v>
      </c>
      <c r="U171" s="31">
        <f t="shared" si="54"/>
        <v>0</v>
      </c>
      <c r="V171" s="31">
        <f t="shared" si="55"/>
        <v>11738.400000000001</v>
      </c>
      <c r="W171" s="31">
        <f t="shared" si="56"/>
        <v>0</v>
      </c>
      <c r="X171" s="116"/>
      <c r="Y171" s="115">
        <f t="shared" si="33"/>
        <v>0</v>
      </c>
      <c r="Z171" s="116"/>
    </row>
    <row r="172" spans="1:26" s="32" customFormat="1" ht="24.75" customHeight="1" outlineLevel="2" x14ac:dyDescent="0.35">
      <c r="A172" s="26" t="s">
        <v>36</v>
      </c>
      <c r="B172" s="27" t="s">
        <v>57</v>
      </c>
      <c r="C172" s="28">
        <f t="shared" si="48"/>
        <v>0</v>
      </c>
      <c r="D172" s="29"/>
      <c r="E172" s="29"/>
      <c r="F172" s="29"/>
      <c r="G172" s="29"/>
      <c r="H172" s="29"/>
      <c r="I172" s="29">
        <v>8760</v>
      </c>
      <c r="J172" s="29">
        <v>1</v>
      </c>
      <c r="K172" s="29">
        <v>1.64</v>
      </c>
      <c r="L172" s="29"/>
      <c r="M172" s="29"/>
      <c r="N172" s="29"/>
      <c r="O172" s="29">
        <f>C172/$J172*$K172</f>
        <v>0</v>
      </c>
      <c r="P172" s="35">
        <v>0</v>
      </c>
      <c r="Q172" s="21">
        <f t="shared" si="50"/>
        <v>14366.4</v>
      </c>
      <c r="R172" s="31">
        <f t="shared" si="51"/>
        <v>0</v>
      </c>
      <c r="S172" s="31">
        <f t="shared" si="52"/>
        <v>0</v>
      </c>
      <c r="T172" s="31">
        <f t="shared" si="53"/>
        <v>0</v>
      </c>
      <c r="U172" s="31">
        <f t="shared" si="54"/>
        <v>0</v>
      </c>
      <c r="V172" s="31">
        <f t="shared" si="55"/>
        <v>0</v>
      </c>
      <c r="W172" s="31">
        <f t="shared" si="56"/>
        <v>14366.4</v>
      </c>
      <c r="X172" s="116"/>
      <c r="Y172" s="115">
        <f t="shared" si="33"/>
        <v>0</v>
      </c>
      <c r="Z172" s="116"/>
    </row>
    <row r="173" spans="1:26" s="32" customFormat="1" ht="24.75" customHeight="1" outlineLevel="2" x14ac:dyDescent="0.35">
      <c r="A173" s="26" t="s">
        <v>37</v>
      </c>
      <c r="B173" s="27" t="s">
        <v>57</v>
      </c>
      <c r="C173" s="28">
        <f t="shared" si="48"/>
        <v>18.579003181336162</v>
      </c>
      <c r="D173" s="29">
        <v>8760</v>
      </c>
      <c r="E173" s="29">
        <v>8760</v>
      </c>
      <c r="F173" s="29">
        <f>8760*2</f>
        <v>17520</v>
      </c>
      <c r="G173" s="29">
        <v>8760</v>
      </c>
      <c r="H173" s="29"/>
      <c r="I173" s="29">
        <v>8760</v>
      </c>
      <c r="J173" s="29">
        <v>1</v>
      </c>
      <c r="K173" s="29">
        <f>AVERAGE(L173:N173)</f>
        <v>5.27</v>
      </c>
      <c r="L173" s="29">
        <v>6</v>
      </c>
      <c r="M173" s="29">
        <v>4.8099999999999996</v>
      </c>
      <c r="N173" s="29">
        <v>5</v>
      </c>
      <c r="O173" s="29">
        <f t="shared" si="49"/>
        <v>97.911346765641568</v>
      </c>
      <c r="P173" s="35">
        <v>143</v>
      </c>
      <c r="Q173" s="21">
        <f t="shared" si="50"/>
        <v>276991.2</v>
      </c>
      <c r="R173" s="31">
        <f t="shared" si="51"/>
        <v>46165.2</v>
      </c>
      <c r="S173" s="31">
        <f t="shared" si="52"/>
        <v>46165.2</v>
      </c>
      <c r="T173" s="31">
        <f t="shared" si="53"/>
        <v>92330.4</v>
      </c>
      <c r="U173" s="31">
        <f t="shared" si="54"/>
        <v>46165.2</v>
      </c>
      <c r="V173" s="31">
        <f t="shared" si="55"/>
        <v>0</v>
      </c>
      <c r="W173" s="31">
        <f t="shared" si="56"/>
        <v>46165.2</v>
      </c>
      <c r="X173" s="116"/>
      <c r="Y173" s="115">
        <f t="shared" si="33"/>
        <v>0</v>
      </c>
      <c r="Z173" s="116"/>
    </row>
    <row r="174" spans="1:26" s="32" customFormat="1" ht="24.75" customHeight="1" outlineLevel="2" x14ac:dyDescent="0.35">
      <c r="A174" s="26" t="s">
        <v>43</v>
      </c>
      <c r="B174" s="27" t="s">
        <v>57</v>
      </c>
      <c r="C174" s="28">
        <f t="shared" si="48"/>
        <v>0</v>
      </c>
      <c r="D174" s="29">
        <v>1</v>
      </c>
      <c r="E174" s="29"/>
      <c r="F174" s="29"/>
      <c r="G174" s="29"/>
      <c r="H174" s="29"/>
      <c r="I174" s="29"/>
      <c r="J174" s="29">
        <v>1</v>
      </c>
      <c r="K174" s="29">
        <f>8648.5*12</f>
        <v>103782</v>
      </c>
      <c r="L174" s="29"/>
      <c r="M174" s="29"/>
      <c r="N174" s="29"/>
      <c r="O174" s="29">
        <f t="shared" si="49"/>
        <v>0</v>
      </c>
      <c r="P174" s="35">
        <v>0</v>
      </c>
      <c r="Q174" s="21">
        <f t="shared" si="50"/>
        <v>103782</v>
      </c>
      <c r="R174" s="31">
        <f t="shared" si="51"/>
        <v>103782</v>
      </c>
      <c r="S174" s="31">
        <f t="shared" si="52"/>
        <v>0</v>
      </c>
      <c r="T174" s="31">
        <f t="shared" si="53"/>
        <v>0</v>
      </c>
      <c r="U174" s="31">
        <f t="shared" si="54"/>
        <v>0</v>
      </c>
      <c r="V174" s="31">
        <f t="shared" si="55"/>
        <v>0</v>
      </c>
      <c r="W174" s="31">
        <f t="shared" si="56"/>
        <v>0</v>
      </c>
      <c r="X174" s="116"/>
      <c r="Y174" s="115">
        <f t="shared" si="33"/>
        <v>0</v>
      </c>
      <c r="Z174" s="116"/>
    </row>
    <row r="175" spans="1:26" s="32" customFormat="1" ht="24.75" customHeight="1" outlineLevel="2" x14ac:dyDescent="0.35">
      <c r="A175" s="26" t="s">
        <v>43</v>
      </c>
      <c r="B175" s="27" t="s">
        <v>57</v>
      </c>
      <c r="C175" s="28">
        <f t="shared" si="48"/>
        <v>0</v>
      </c>
      <c r="D175" s="29"/>
      <c r="E175" s="29">
        <v>1</v>
      </c>
      <c r="F175" s="29"/>
      <c r="G175" s="29"/>
      <c r="H175" s="29"/>
      <c r="I175" s="29"/>
      <c r="J175" s="29">
        <v>1</v>
      </c>
      <c r="K175" s="29">
        <f>11657*12</f>
        <v>139884</v>
      </c>
      <c r="L175" s="29"/>
      <c r="M175" s="29"/>
      <c r="N175" s="29"/>
      <c r="O175" s="29">
        <f>C175/$J175*$K175</f>
        <v>0</v>
      </c>
      <c r="P175" s="35">
        <v>0</v>
      </c>
      <c r="Q175" s="21">
        <f t="shared" si="50"/>
        <v>139884</v>
      </c>
      <c r="R175" s="31">
        <f t="shared" si="51"/>
        <v>0</v>
      </c>
      <c r="S175" s="31">
        <f t="shared" si="52"/>
        <v>139884</v>
      </c>
      <c r="T175" s="31">
        <f t="shared" si="53"/>
        <v>0</v>
      </c>
      <c r="U175" s="31">
        <f t="shared" si="54"/>
        <v>0</v>
      </c>
      <c r="V175" s="31">
        <f t="shared" si="55"/>
        <v>0</v>
      </c>
      <c r="W175" s="31">
        <f t="shared" si="56"/>
        <v>0</v>
      </c>
      <c r="X175" s="116"/>
      <c r="Y175" s="115">
        <f t="shared" si="33"/>
        <v>0</v>
      </c>
      <c r="Z175" s="116"/>
    </row>
    <row r="176" spans="1:26" s="32" customFormat="1" ht="24.75" customHeight="1" outlineLevel="2" x14ac:dyDescent="0.35">
      <c r="A176" s="26" t="s">
        <v>43</v>
      </c>
      <c r="B176" s="27" t="s">
        <v>57</v>
      </c>
      <c r="C176" s="28">
        <f t="shared" si="48"/>
        <v>1.0604453870625664E-3</v>
      </c>
      <c r="D176" s="29"/>
      <c r="E176" s="29"/>
      <c r="F176" s="29">
        <v>1</v>
      </c>
      <c r="G176" s="29"/>
      <c r="H176" s="29"/>
      <c r="I176" s="29"/>
      <c r="J176" s="29">
        <v>1</v>
      </c>
      <c r="K176" s="29">
        <f>AVERAGE(L176:N176)</f>
        <v>93710.48</v>
      </c>
      <c r="L176" s="29">
        <f>7800*12</f>
        <v>93600</v>
      </c>
      <c r="M176" s="29">
        <f>12*7627.62</f>
        <v>91531.44</v>
      </c>
      <c r="N176" s="29">
        <f>12*8000</f>
        <v>96000</v>
      </c>
      <c r="O176" s="29">
        <f>C176/$J176*$K176</f>
        <v>99.374846235418886</v>
      </c>
      <c r="P176" s="35">
        <v>144</v>
      </c>
      <c r="Q176" s="21">
        <f t="shared" si="50"/>
        <v>93710.48</v>
      </c>
      <c r="R176" s="31">
        <f t="shared" si="51"/>
        <v>0</v>
      </c>
      <c r="S176" s="31">
        <f t="shared" si="52"/>
        <v>0</v>
      </c>
      <c r="T176" s="31">
        <f t="shared" si="53"/>
        <v>93710.48</v>
      </c>
      <c r="U176" s="31">
        <f t="shared" si="54"/>
        <v>0</v>
      </c>
      <c r="V176" s="31">
        <f t="shared" si="55"/>
        <v>0</v>
      </c>
      <c r="W176" s="31">
        <f t="shared" si="56"/>
        <v>0</v>
      </c>
      <c r="X176" s="116"/>
      <c r="Y176" s="115">
        <f t="shared" si="33"/>
        <v>0</v>
      </c>
      <c r="Z176" s="116"/>
    </row>
    <row r="177" spans="1:26" s="32" customFormat="1" ht="24.75" customHeight="1" outlineLevel="2" x14ac:dyDescent="0.35">
      <c r="A177" s="26" t="s">
        <v>43</v>
      </c>
      <c r="B177" s="27" t="s">
        <v>57</v>
      </c>
      <c r="C177" s="28">
        <f t="shared" si="48"/>
        <v>0</v>
      </c>
      <c r="D177" s="29"/>
      <c r="E177" s="29"/>
      <c r="F177" s="29"/>
      <c r="G177" s="29">
        <v>1</v>
      </c>
      <c r="H177" s="29"/>
      <c r="I177" s="29"/>
      <c r="J177" s="29">
        <v>1</v>
      </c>
      <c r="K177" s="29">
        <f>9156.2*12</f>
        <v>109874.40000000001</v>
      </c>
      <c r="L177" s="29"/>
      <c r="M177" s="29"/>
      <c r="N177" s="29"/>
      <c r="O177" s="29">
        <f>C177/$J177*$K177</f>
        <v>0</v>
      </c>
      <c r="P177" s="35">
        <v>0</v>
      </c>
      <c r="Q177" s="21">
        <f t="shared" si="50"/>
        <v>109874.40000000001</v>
      </c>
      <c r="R177" s="31">
        <f t="shared" si="51"/>
        <v>0</v>
      </c>
      <c r="S177" s="31">
        <f t="shared" si="52"/>
        <v>0</v>
      </c>
      <c r="T177" s="31">
        <f t="shared" si="53"/>
        <v>0</v>
      </c>
      <c r="U177" s="31">
        <f t="shared" si="54"/>
        <v>109874.40000000001</v>
      </c>
      <c r="V177" s="31">
        <f t="shared" si="55"/>
        <v>0</v>
      </c>
      <c r="W177" s="31">
        <f t="shared" si="56"/>
        <v>0</v>
      </c>
      <c r="X177" s="116"/>
      <c r="Y177" s="115">
        <f t="shared" si="33"/>
        <v>0</v>
      </c>
      <c r="Z177" s="116"/>
    </row>
    <row r="178" spans="1:26" s="32" customFormat="1" ht="24.75" customHeight="1" outlineLevel="2" x14ac:dyDescent="0.35">
      <c r="A178" s="26" t="s">
        <v>43</v>
      </c>
      <c r="B178" s="27" t="s">
        <v>57</v>
      </c>
      <c r="C178" s="28">
        <f t="shared" si="48"/>
        <v>0</v>
      </c>
      <c r="D178" s="29"/>
      <c r="E178" s="29"/>
      <c r="F178" s="29"/>
      <c r="G178" s="29"/>
      <c r="H178" s="29">
        <v>1</v>
      </c>
      <c r="I178" s="29"/>
      <c r="J178" s="29">
        <v>1</v>
      </c>
      <c r="K178" s="29">
        <f>7809.2*12</f>
        <v>93710.399999999994</v>
      </c>
      <c r="L178" s="29"/>
      <c r="M178" s="29"/>
      <c r="N178" s="29"/>
      <c r="O178" s="29">
        <f>C178/$J178*$K178</f>
        <v>0</v>
      </c>
      <c r="P178" s="35">
        <v>0</v>
      </c>
      <c r="Q178" s="21">
        <f t="shared" si="50"/>
        <v>93710.399999999994</v>
      </c>
      <c r="R178" s="31">
        <f t="shared" si="51"/>
        <v>0</v>
      </c>
      <c r="S178" s="31">
        <f t="shared" si="52"/>
        <v>0</v>
      </c>
      <c r="T178" s="31">
        <f t="shared" si="53"/>
        <v>0</v>
      </c>
      <c r="U178" s="31">
        <f t="shared" si="54"/>
        <v>0</v>
      </c>
      <c r="V178" s="31">
        <f t="shared" si="55"/>
        <v>93710.399999999994</v>
      </c>
      <c r="W178" s="31">
        <f t="shared" si="56"/>
        <v>0</v>
      </c>
      <c r="X178" s="116"/>
      <c r="Y178" s="115">
        <f t="shared" si="33"/>
        <v>0</v>
      </c>
      <c r="Z178" s="116"/>
    </row>
    <row r="179" spans="1:26" s="32" customFormat="1" ht="24.75" customHeight="1" outlineLevel="2" x14ac:dyDescent="0.35">
      <c r="A179" s="26" t="s">
        <v>43</v>
      </c>
      <c r="B179" s="27" t="s">
        <v>57</v>
      </c>
      <c r="C179" s="28">
        <f t="shared" si="48"/>
        <v>0</v>
      </c>
      <c r="D179" s="29"/>
      <c r="E179" s="29"/>
      <c r="F179" s="29"/>
      <c r="G179" s="29"/>
      <c r="H179" s="29"/>
      <c r="I179" s="29">
        <v>1</v>
      </c>
      <c r="J179" s="29">
        <v>1</v>
      </c>
      <c r="K179" s="29">
        <f>6559.8*12</f>
        <v>78717.600000000006</v>
      </c>
      <c r="L179" s="29"/>
      <c r="M179" s="29"/>
      <c r="N179" s="29"/>
      <c r="O179" s="29">
        <f>C179/$J179*$K179</f>
        <v>0</v>
      </c>
      <c r="P179" s="35">
        <v>0</v>
      </c>
      <c r="Q179" s="21">
        <f t="shared" si="50"/>
        <v>78717.600000000006</v>
      </c>
      <c r="R179" s="31">
        <f t="shared" si="51"/>
        <v>0</v>
      </c>
      <c r="S179" s="31">
        <f t="shared" si="52"/>
        <v>0</v>
      </c>
      <c r="T179" s="31">
        <f t="shared" si="53"/>
        <v>0</v>
      </c>
      <c r="U179" s="31">
        <f t="shared" si="54"/>
        <v>0</v>
      </c>
      <c r="V179" s="31">
        <f t="shared" si="55"/>
        <v>0</v>
      </c>
      <c r="W179" s="31">
        <f t="shared" si="56"/>
        <v>78717.600000000006</v>
      </c>
      <c r="X179" s="116"/>
      <c r="Y179" s="115">
        <f t="shared" si="33"/>
        <v>0</v>
      </c>
      <c r="Z179" s="116"/>
    </row>
    <row r="180" spans="1:26" s="32" customFormat="1" ht="24.75" customHeight="1" outlineLevel="2" x14ac:dyDescent="0.35">
      <c r="A180" s="139" t="s">
        <v>434</v>
      </c>
      <c r="B180" s="140" t="s">
        <v>57</v>
      </c>
      <c r="C180" s="111">
        <f t="shared" si="48"/>
        <v>0</v>
      </c>
      <c r="D180" s="29">
        <v>12</v>
      </c>
      <c r="E180" s="29"/>
      <c r="F180" s="29"/>
      <c r="G180" s="29"/>
      <c r="H180" s="29"/>
      <c r="I180" s="29"/>
      <c r="J180" s="29">
        <v>1</v>
      </c>
      <c r="K180" s="29">
        <f>AVERAGE(L180:N180)</f>
        <v>575</v>
      </c>
      <c r="L180" s="29">
        <v>575</v>
      </c>
      <c r="M180" s="29"/>
      <c r="N180" s="29"/>
      <c r="O180" s="29">
        <f t="shared" si="49"/>
        <v>0</v>
      </c>
      <c r="P180" s="35">
        <v>145</v>
      </c>
      <c r="Q180" s="21">
        <f t="shared" si="50"/>
        <v>6900</v>
      </c>
      <c r="R180" s="31">
        <f t="shared" si="51"/>
        <v>6900</v>
      </c>
      <c r="S180" s="31">
        <f t="shared" si="52"/>
        <v>0</v>
      </c>
      <c r="T180" s="31">
        <f t="shared" si="53"/>
        <v>0</v>
      </c>
      <c r="U180" s="31">
        <f t="shared" si="54"/>
        <v>0</v>
      </c>
      <c r="V180" s="31">
        <f t="shared" si="55"/>
        <v>0</v>
      </c>
      <c r="W180" s="31">
        <f t="shared" si="56"/>
        <v>0</v>
      </c>
      <c r="X180" s="116"/>
      <c r="Y180" s="115">
        <f t="shared" si="33"/>
        <v>0</v>
      </c>
      <c r="Z180" s="116"/>
    </row>
    <row r="181" spans="1:26" s="32" customFormat="1" ht="24.75" customHeight="1" outlineLevel="2" x14ac:dyDescent="0.35">
      <c r="A181" s="26" t="s">
        <v>435</v>
      </c>
      <c r="B181" s="27" t="s">
        <v>57</v>
      </c>
      <c r="C181" s="28">
        <f t="shared" si="48"/>
        <v>2.1208907741251328E-3</v>
      </c>
      <c r="D181" s="29">
        <v>1</v>
      </c>
      <c r="E181" s="29">
        <v>1</v>
      </c>
      <c r="F181" s="29">
        <v>2</v>
      </c>
      <c r="G181" s="29">
        <v>1</v>
      </c>
      <c r="H181" s="29">
        <v>1</v>
      </c>
      <c r="I181" s="29">
        <v>1</v>
      </c>
      <c r="J181" s="29">
        <v>1</v>
      </c>
      <c r="K181" s="29">
        <f>AVERAGE(L181:N181)</f>
        <v>20721.88</v>
      </c>
      <c r="L181" s="29">
        <v>17525.64</v>
      </c>
      <c r="M181" s="29">
        <v>21600</v>
      </c>
      <c r="N181" s="29">
        <v>23040</v>
      </c>
      <c r="O181" s="29">
        <f t="shared" si="49"/>
        <v>43.948844114528107</v>
      </c>
      <c r="P181" s="35">
        <v>145</v>
      </c>
      <c r="Q181" s="21">
        <f t="shared" si="50"/>
        <v>145053.16</v>
      </c>
      <c r="R181" s="31">
        <f t="shared" si="51"/>
        <v>20721.88</v>
      </c>
      <c r="S181" s="31">
        <f t="shared" si="52"/>
        <v>20721.88</v>
      </c>
      <c r="T181" s="31">
        <f t="shared" si="53"/>
        <v>41443.760000000002</v>
      </c>
      <c r="U181" s="31">
        <f t="shared" si="54"/>
        <v>20721.88</v>
      </c>
      <c r="V181" s="31">
        <f t="shared" si="55"/>
        <v>20721.88</v>
      </c>
      <c r="W181" s="31">
        <f t="shared" si="56"/>
        <v>20721.88</v>
      </c>
      <c r="X181" s="116"/>
      <c r="Y181" s="115">
        <f t="shared" si="33"/>
        <v>0</v>
      </c>
      <c r="Z181" s="116"/>
    </row>
    <row r="182" spans="1:26" s="32" customFormat="1" ht="24.75" customHeight="1" outlineLevel="2" x14ac:dyDescent="0.35">
      <c r="A182" s="26" t="s">
        <v>39</v>
      </c>
      <c r="B182" s="27" t="s">
        <v>57</v>
      </c>
      <c r="C182" s="28">
        <f t="shared" si="48"/>
        <v>2.1208907741251328E-3</v>
      </c>
      <c r="D182" s="29">
        <v>1</v>
      </c>
      <c r="E182" s="29">
        <v>1</v>
      </c>
      <c r="F182" s="29">
        <v>2</v>
      </c>
      <c r="G182" s="29">
        <v>1</v>
      </c>
      <c r="H182" s="29">
        <v>1</v>
      </c>
      <c r="I182" s="29">
        <v>1</v>
      </c>
      <c r="J182" s="29">
        <v>1</v>
      </c>
      <c r="K182" s="29">
        <f>AVERAGE(L182:N182)</f>
        <v>17631.633333333335</v>
      </c>
      <c r="L182" s="29">
        <v>15334.9</v>
      </c>
      <c r="M182" s="29">
        <v>18000</v>
      </c>
      <c r="N182" s="29">
        <v>19560</v>
      </c>
      <c r="O182" s="29">
        <f t="shared" si="49"/>
        <v>37.39476846942383</v>
      </c>
      <c r="P182" s="35">
        <v>146</v>
      </c>
      <c r="Q182" s="21">
        <f t="shared" si="50"/>
        <v>123421.43333333333</v>
      </c>
      <c r="R182" s="31">
        <f t="shared" si="51"/>
        <v>17631.633333333335</v>
      </c>
      <c r="S182" s="31">
        <f t="shared" si="52"/>
        <v>17631.633333333335</v>
      </c>
      <c r="T182" s="31">
        <f t="shared" si="53"/>
        <v>35263.26666666667</v>
      </c>
      <c r="U182" s="31">
        <f t="shared" si="54"/>
        <v>17631.633333333335</v>
      </c>
      <c r="V182" s="31">
        <f t="shared" si="55"/>
        <v>17631.633333333335</v>
      </c>
      <c r="W182" s="31">
        <f t="shared" si="56"/>
        <v>17631.633333333335</v>
      </c>
      <c r="X182" s="116"/>
      <c r="Y182" s="115">
        <f t="shared" si="33"/>
        <v>0</v>
      </c>
      <c r="Z182" s="116"/>
    </row>
    <row r="183" spans="1:26" s="32" customFormat="1" ht="24.75" customHeight="1" outlineLevel="2" x14ac:dyDescent="0.35">
      <c r="A183" s="26" t="s">
        <v>436</v>
      </c>
      <c r="B183" s="27" t="s">
        <v>57</v>
      </c>
      <c r="C183" s="28">
        <f t="shared" si="48"/>
        <v>1.0604453870625664E-3</v>
      </c>
      <c r="D183" s="29"/>
      <c r="E183" s="29"/>
      <c r="F183" s="29">
        <v>1</v>
      </c>
      <c r="G183" s="29"/>
      <c r="H183" s="29"/>
      <c r="I183" s="29"/>
      <c r="J183" s="29">
        <v>1</v>
      </c>
      <c r="K183" s="29">
        <f>AVERAGE(L183:N183)</f>
        <v>21200</v>
      </c>
      <c r="L183" s="29">
        <f>12*2000</f>
        <v>24000</v>
      </c>
      <c r="M183" s="29">
        <f>12*1800</f>
        <v>21600</v>
      </c>
      <c r="N183" s="29">
        <f>12*1500</f>
        <v>18000</v>
      </c>
      <c r="O183" s="29">
        <f t="shared" si="49"/>
        <v>22.481442205726406</v>
      </c>
      <c r="P183" s="35">
        <v>147</v>
      </c>
      <c r="Q183" s="21">
        <f t="shared" si="50"/>
        <v>21200</v>
      </c>
      <c r="R183" s="31">
        <f t="shared" si="51"/>
        <v>0</v>
      </c>
      <c r="S183" s="31">
        <f t="shared" si="52"/>
        <v>0</v>
      </c>
      <c r="T183" s="31">
        <f t="shared" si="53"/>
        <v>21200</v>
      </c>
      <c r="U183" s="31">
        <f t="shared" si="54"/>
        <v>0</v>
      </c>
      <c r="V183" s="31">
        <f t="shared" si="55"/>
        <v>0</v>
      </c>
      <c r="W183" s="31">
        <f t="shared" si="56"/>
        <v>0</v>
      </c>
      <c r="X183" s="116"/>
      <c r="Y183" s="115">
        <f t="shared" si="33"/>
        <v>0</v>
      </c>
      <c r="Z183" s="116"/>
    </row>
    <row r="184" spans="1:26" s="32" customFormat="1" ht="24.75" customHeight="1" outlineLevel="2" x14ac:dyDescent="0.35">
      <c r="A184" s="26" t="s">
        <v>436</v>
      </c>
      <c r="B184" s="27" t="s">
        <v>57</v>
      </c>
      <c r="C184" s="28">
        <f t="shared" si="48"/>
        <v>0</v>
      </c>
      <c r="D184" s="29"/>
      <c r="E184" s="29"/>
      <c r="F184" s="29"/>
      <c r="G184" s="29">
        <v>1</v>
      </c>
      <c r="H184" s="29">
        <v>1</v>
      </c>
      <c r="I184" s="29"/>
      <c r="J184" s="29">
        <v>1</v>
      </c>
      <c r="K184" s="29">
        <f>1500*12</f>
        <v>18000</v>
      </c>
      <c r="L184" s="29"/>
      <c r="M184" s="29"/>
      <c r="N184" s="29"/>
      <c r="O184" s="29">
        <f>C184/$J184*$K184</f>
        <v>0</v>
      </c>
      <c r="P184" s="35">
        <v>0</v>
      </c>
      <c r="Q184" s="21">
        <f t="shared" si="50"/>
        <v>36000</v>
      </c>
      <c r="R184" s="31">
        <f t="shared" si="51"/>
        <v>0</v>
      </c>
      <c r="S184" s="31">
        <f t="shared" si="52"/>
        <v>0</v>
      </c>
      <c r="T184" s="31">
        <f t="shared" si="53"/>
        <v>0</v>
      </c>
      <c r="U184" s="31">
        <f t="shared" si="54"/>
        <v>18000</v>
      </c>
      <c r="V184" s="31">
        <f t="shared" si="55"/>
        <v>18000</v>
      </c>
      <c r="W184" s="31">
        <f t="shared" si="56"/>
        <v>0</v>
      </c>
      <c r="X184" s="116"/>
      <c r="Y184" s="115">
        <f t="shared" si="33"/>
        <v>0</v>
      </c>
      <c r="Z184" s="116"/>
    </row>
    <row r="185" spans="1:26" s="32" customFormat="1" ht="24.75" customHeight="1" outlineLevel="2" x14ac:dyDescent="0.35">
      <c r="A185" s="26" t="s">
        <v>436</v>
      </c>
      <c r="B185" s="27" t="s">
        <v>57</v>
      </c>
      <c r="C185" s="28">
        <f t="shared" si="48"/>
        <v>0</v>
      </c>
      <c r="D185" s="29"/>
      <c r="E185" s="29"/>
      <c r="F185" s="29"/>
      <c r="G185" s="29"/>
      <c r="H185" s="29"/>
      <c r="I185" s="29">
        <v>1</v>
      </c>
      <c r="J185" s="29">
        <v>1</v>
      </c>
      <c r="K185" s="29">
        <f>AVERAGE(L185:N185)</f>
        <v>33000</v>
      </c>
      <c r="L185" s="29">
        <v>33000</v>
      </c>
      <c r="M185" s="29"/>
      <c r="N185" s="29"/>
      <c r="O185" s="29">
        <f>C185/$J185*$K185</f>
        <v>0</v>
      </c>
      <c r="P185" s="35">
        <v>148</v>
      </c>
      <c r="Q185" s="21">
        <f t="shared" si="50"/>
        <v>33000</v>
      </c>
      <c r="R185" s="31">
        <f t="shared" si="51"/>
        <v>0</v>
      </c>
      <c r="S185" s="31">
        <f t="shared" si="52"/>
        <v>0</v>
      </c>
      <c r="T185" s="31">
        <f t="shared" si="53"/>
        <v>0</v>
      </c>
      <c r="U185" s="31">
        <f t="shared" si="54"/>
        <v>0</v>
      </c>
      <c r="V185" s="31">
        <f t="shared" si="55"/>
        <v>0</v>
      </c>
      <c r="W185" s="31">
        <f t="shared" si="56"/>
        <v>33000</v>
      </c>
      <c r="X185" s="116"/>
      <c r="Y185" s="115">
        <f t="shared" si="33"/>
        <v>0</v>
      </c>
      <c r="Z185" s="116"/>
    </row>
    <row r="186" spans="1:26" s="32" customFormat="1" ht="24.75" customHeight="1" outlineLevel="2" x14ac:dyDescent="0.35">
      <c r="A186" s="26" t="s">
        <v>41</v>
      </c>
      <c r="B186" s="27" t="s">
        <v>42</v>
      </c>
      <c r="C186" s="28">
        <f t="shared" ref="C186:C193" si="57">F186/$T$2</f>
        <v>0.30965005302226933</v>
      </c>
      <c r="D186" s="29">
        <v>219</v>
      </c>
      <c r="E186" s="29">
        <v>133</v>
      </c>
      <c r="F186" s="29">
        <v>292</v>
      </c>
      <c r="G186" s="29">
        <v>162</v>
      </c>
      <c r="H186" s="29">
        <v>97.5</v>
      </c>
      <c r="I186" s="29">
        <v>146</v>
      </c>
      <c r="J186" s="29">
        <v>1</v>
      </c>
      <c r="K186" s="29">
        <f>AVERAGE(L186:N186)</f>
        <v>651</v>
      </c>
      <c r="L186" s="29">
        <v>651</v>
      </c>
      <c r="M186" s="29"/>
      <c r="N186" s="29"/>
      <c r="O186" s="29">
        <f t="shared" si="49"/>
        <v>201.58218451749732</v>
      </c>
      <c r="P186" s="35">
        <v>148</v>
      </c>
      <c r="Q186" s="21">
        <f t="shared" si="50"/>
        <v>683224.5</v>
      </c>
      <c r="R186" s="31">
        <f t="shared" si="51"/>
        <v>142569</v>
      </c>
      <c r="S186" s="31">
        <f t="shared" si="52"/>
        <v>86583</v>
      </c>
      <c r="T186" s="31">
        <f t="shared" si="53"/>
        <v>190092</v>
      </c>
      <c r="U186" s="31">
        <f t="shared" si="54"/>
        <v>105462</v>
      </c>
      <c r="V186" s="31">
        <f t="shared" si="55"/>
        <v>63472.5</v>
      </c>
      <c r="W186" s="31">
        <f t="shared" si="56"/>
        <v>95046</v>
      </c>
      <c r="X186" s="116"/>
      <c r="Y186" s="115">
        <f t="shared" si="33"/>
        <v>0</v>
      </c>
      <c r="Z186" s="116"/>
    </row>
    <row r="187" spans="1:26" s="32" customFormat="1" ht="24.75" customHeight="1" outlineLevel="2" x14ac:dyDescent="0.35">
      <c r="A187" s="26" t="s">
        <v>461</v>
      </c>
      <c r="B187" s="27" t="s">
        <v>33</v>
      </c>
      <c r="C187" s="28"/>
      <c r="D187" s="29"/>
      <c r="E187" s="29"/>
      <c r="F187" s="29"/>
      <c r="G187" s="29"/>
      <c r="H187" s="29"/>
      <c r="I187" s="29"/>
      <c r="J187" s="29">
        <v>1</v>
      </c>
      <c r="K187" s="29">
        <v>1886.67</v>
      </c>
      <c r="L187" s="29"/>
      <c r="M187" s="29"/>
      <c r="N187" s="29"/>
      <c r="O187" s="29">
        <f t="shared" si="49"/>
        <v>0</v>
      </c>
      <c r="P187" s="35">
        <v>0</v>
      </c>
      <c r="Q187" s="21">
        <f t="shared" si="50"/>
        <v>0</v>
      </c>
      <c r="R187" s="31">
        <f t="shared" si="51"/>
        <v>0</v>
      </c>
      <c r="S187" s="31">
        <f t="shared" si="52"/>
        <v>0</v>
      </c>
      <c r="T187" s="31">
        <f t="shared" si="53"/>
        <v>0</v>
      </c>
      <c r="U187" s="31">
        <f t="shared" si="54"/>
        <v>0</v>
      </c>
      <c r="V187" s="31">
        <f t="shared" si="55"/>
        <v>0</v>
      </c>
      <c r="W187" s="31">
        <f t="shared" si="56"/>
        <v>0</v>
      </c>
      <c r="X187" s="116"/>
      <c r="Y187" s="115">
        <f t="shared" si="33"/>
        <v>0</v>
      </c>
      <c r="Z187" s="116"/>
    </row>
    <row r="188" spans="1:26" s="32" customFormat="1" ht="24.75" customHeight="1" outlineLevel="2" x14ac:dyDescent="0.35">
      <c r="A188" s="26" t="s">
        <v>426</v>
      </c>
      <c r="B188" s="27" t="s">
        <v>57</v>
      </c>
      <c r="C188" s="28">
        <f t="shared" si="57"/>
        <v>2.1208907741251328E-3</v>
      </c>
      <c r="D188" s="29"/>
      <c r="E188" s="29"/>
      <c r="F188" s="29">
        <v>2</v>
      </c>
      <c r="G188" s="29"/>
      <c r="H188" s="29"/>
      <c r="I188" s="29"/>
      <c r="J188" s="29">
        <v>1</v>
      </c>
      <c r="K188" s="29">
        <f t="shared" ref="K188:K193" si="58">AVERAGE(L188:N188)</f>
        <v>31336.333333333332</v>
      </c>
      <c r="L188" s="29">
        <v>32500</v>
      </c>
      <c r="M188" s="29">
        <v>36524</v>
      </c>
      <c r="N188" s="29">
        <v>24985</v>
      </c>
      <c r="O188" s="29">
        <f t="shared" si="49"/>
        <v>66.460940261576539</v>
      </c>
      <c r="P188" s="35">
        <v>149</v>
      </c>
      <c r="Q188" s="21">
        <f t="shared" si="50"/>
        <v>62672.666666666664</v>
      </c>
      <c r="R188" s="31">
        <f t="shared" si="51"/>
        <v>0</v>
      </c>
      <c r="S188" s="31">
        <f t="shared" si="52"/>
        <v>0</v>
      </c>
      <c r="T188" s="31">
        <f t="shared" si="53"/>
        <v>62672.666666666664</v>
      </c>
      <c r="U188" s="31">
        <f t="shared" si="54"/>
        <v>0</v>
      </c>
      <c r="V188" s="31">
        <f t="shared" si="55"/>
        <v>0</v>
      </c>
      <c r="W188" s="31">
        <f t="shared" si="56"/>
        <v>0</v>
      </c>
      <c r="X188" s="116"/>
      <c r="Y188" s="115">
        <f t="shared" si="33"/>
        <v>0</v>
      </c>
      <c r="Z188" s="116"/>
    </row>
    <row r="189" spans="1:26" s="32" customFormat="1" ht="42.75" customHeight="1" outlineLevel="2" x14ac:dyDescent="0.35">
      <c r="A189" s="26" t="s">
        <v>460</v>
      </c>
      <c r="B189" s="27" t="s">
        <v>57</v>
      </c>
      <c r="C189" s="28">
        <f t="shared" si="57"/>
        <v>0</v>
      </c>
      <c r="D189" s="29">
        <v>1</v>
      </c>
      <c r="E189" s="29"/>
      <c r="F189" s="29"/>
      <c r="G189" s="29"/>
      <c r="H189" s="29"/>
      <c r="I189" s="29"/>
      <c r="J189" s="29">
        <v>1</v>
      </c>
      <c r="K189" s="29">
        <f t="shared" si="58"/>
        <v>11356.666666666666</v>
      </c>
      <c r="L189" s="29">
        <v>9000</v>
      </c>
      <c r="M189" s="29">
        <v>12500</v>
      </c>
      <c r="N189" s="29">
        <v>12570</v>
      </c>
      <c r="O189" s="29">
        <f t="shared" si="49"/>
        <v>0</v>
      </c>
      <c r="P189" s="35">
        <v>154</v>
      </c>
      <c r="Q189" s="21">
        <f t="shared" si="50"/>
        <v>11356.666666666666</v>
      </c>
      <c r="R189" s="31">
        <f t="shared" si="51"/>
        <v>11356.666666666666</v>
      </c>
      <c r="S189" s="31">
        <f t="shared" si="52"/>
        <v>0</v>
      </c>
      <c r="T189" s="31">
        <f t="shared" si="53"/>
        <v>0</v>
      </c>
      <c r="U189" s="31">
        <f t="shared" si="54"/>
        <v>0</v>
      </c>
      <c r="V189" s="31">
        <f t="shared" si="55"/>
        <v>0</v>
      </c>
      <c r="W189" s="31">
        <f t="shared" si="56"/>
        <v>0</v>
      </c>
      <c r="X189" s="116"/>
      <c r="Y189" s="115">
        <f t="shared" si="33"/>
        <v>0</v>
      </c>
      <c r="Z189" s="116"/>
    </row>
    <row r="190" spans="1:26" s="32" customFormat="1" ht="24.75" customHeight="1" outlineLevel="2" x14ac:dyDescent="0.35">
      <c r="A190" s="26" t="s">
        <v>44</v>
      </c>
      <c r="B190" s="27" t="s">
        <v>524</v>
      </c>
      <c r="C190" s="28">
        <f t="shared" si="57"/>
        <v>4.2417815482502655E-3</v>
      </c>
      <c r="D190" s="29">
        <v>2</v>
      </c>
      <c r="E190" s="29">
        <v>2</v>
      </c>
      <c r="F190" s="29">
        <v>4</v>
      </c>
      <c r="G190" s="29">
        <v>2</v>
      </c>
      <c r="H190" s="29">
        <v>2</v>
      </c>
      <c r="I190" s="29">
        <v>2</v>
      </c>
      <c r="J190" s="29">
        <v>1</v>
      </c>
      <c r="K190" s="29">
        <f t="shared" si="58"/>
        <v>10489</v>
      </c>
      <c r="L190" s="29">
        <v>10550</v>
      </c>
      <c r="M190" s="29">
        <v>10417</v>
      </c>
      <c r="N190" s="29">
        <v>10500</v>
      </c>
      <c r="O190" s="29">
        <f t="shared" si="49"/>
        <v>44.492046659597037</v>
      </c>
      <c r="P190" s="35">
        <v>150</v>
      </c>
      <c r="Q190" s="21">
        <f t="shared" si="50"/>
        <v>146846</v>
      </c>
      <c r="R190" s="31">
        <f t="shared" si="51"/>
        <v>20978</v>
      </c>
      <c r="S190" s="31">
        <f t="shared" si="52"/>
        <v>20978</v>
      </c>
      <c r="T190" s="31">
        <f t="shared" si="53"/>
        <v>41956</v>
      </c>
      <c r="U190" s="31">
        <f t="shared" si="54"/>
        <v>20978</v>
      </c>
      <c r="V190" s="31">
        <f t="shared" si="55"/>
        <v>20978</v>
      </c>
      <c r="W190" s="31">
        <f t="shared" si="56"/>
        <v>20978</v>
      </c>
      <c r="X190" s="116"/>
      <c r="Y190" s="115">
        <f t="shared" si="33"/>
        <v>0</v>
      </c>
      <c r="Z190" s="116"/>
    </row>
    <row r="191" spans="1:26" s="148" customFormat="1" ht="24.75" customHeight="1" outlineLevel="2" x14ac:dyDescent="0.35">
      <c r="A191" s="42" t="s">
        <v>457</v>
      </c>
      <c r="B191" s="110" t="s">
        <v>57</v>
      </c>
      <c r="C191" s="111">
        <f t="shared" si="57"/>
        <v>2.1208907741251328E-3</v>
      </c>
      <c r="D191" s="109"/>
      <c r="E191" s="109"/>
      <c r="F191" s="109">
        <v>2</v>
      </c>
      <c r="G191" s="109"/>
      <c r="H191" s="109"/>
      <c r="I191" s="109"/>
      <c r="J191" s="109">
        <v>1</v>
      </c>
      <c r="K191" s="109">
        <f t="shared" si="58"/>
        <v>5450.5466666666662</v>
      </c>
      <c r="L191" s="109">
        <v>2500</v>
      </c>
      <c r="M191" s="109">
        <v>9651.64</v>
      </c>
      <c r="N191" s="109">
        <v>4200</v>
      </c>
      <c r="O191" s="109">
        <f t="shared" si="49"/>
        <v>11.560014139271827</v>
      </c>
      <c r="P191" s="144">
        <v>151</v>
      </c>
      <c r="Q191" s="145">
        <f t="shared" si="50"/>
        <v>10901.093333333332</v>
      </c>
      <c r="R191" s="109">
        <f t="shared" si="51"/>
        <v>0</v>
      </c>
      <c r="S191" s="109">
        <f t="shared" si="52"/>
        <v>0</v>
      </c>
      <c r="T191" s="109">
        <f t="shared" si="53"/>
        <v>10901.093333333332</v>
      </c>
      <c r="U191" s="109">
        <f t="shared" si="54"/>
        <v>0</v>
      </c>
      <c r="V191" s="109">
        <f t="shared" si="55"/>
        <v>0</v>
      </c>
      <c r="W191" s="109">
        <f t="shared" si="56"/>
        <v>0</v>
      </c>
      <c r="X191" s="146"/>
      <c r="Y191" s="147">
        <f t="shared" ref="Y191:Y254" si="59">Q191-R191-S191-T191-U191-V191-W191</f>
        <v>0</v>
      </c>
      <c r="Z191" s="146"/>
    </row>
    <row r="192" spans="1:26" s="148" customFormat="1" ht="26.25" customHeight="1" outlineLevel="2" x14ac:dyDescent="0.35">
      <c r="A192" s="42" t="s">
        <v>458</v>
      </c>
      <c r="B192" s="110" t="s">
        <v>33</v>
      </c>
      <c r="C192" s="111">
        <f t="shared" si="57"/>
        <v>3.9236479321314954</v>
      </c>
      <c r="D192" s="109">
        <v>205.81</v>
      </c>
      <c r="E192" s="109"/>
      <c r="F192" s="109">
        <v>3700</v>
      </c>
      <c r="G192" s="109"/>
      <c r="H192" s="109"/>
      <c r="I192" s="109"/>
      <c r="J192" s="109">
        <v>1</v>
      </c>
      <c r="K192" s="109">
        <f t="shared" si="58"/>
        <v>36.333333333333336</v>
      </c>
      <c r="L192" s="109">
        <v>33</v>
      </c>
      <c r="M192" s="109">
        <v>30</v>
      </c>
      <c r="N192" s="109">
        <v>46</v>
      </c>
      <c r="O192" s="109">
        <f t="shared" si="49"/>
        <v>142.55920820077768</v>
      </c>
      <c r="P192" s="144">
        <v>152</v>
      </c>
      <c r="Q192" s="145">
        <f t="shared" si="50"/>
        <v>141911.09666666668</v>
      </c>
      <c r="R192" s="109">
        <f t="shared" ref="R192:W193" si="60">D192*$K192/$J192</f>
        <v>7477.7633333333342</v>
      </c>
      <c r="S192" s="109">
        <f t="shared" si="60"/>
        <v>0</v>
      </c>
      <c r="T192" s="109">
        <f t="shared" si="60"/>
        <v>134433.33333333334</v>
      </c>
      <c r="U192" s="109">
        <f t="shared" si="60"/>
        <v>0</v>
      </c>
      <c r="V192" s="109">
        <f t="shared" si="60"/>
        <v>0</v>
      </c>
      <c r="W192" s="109">
        <f t="shared" si="60"/>
        <v>0</v>
      </c>
      <c r="X192" s="146"/>
      <c r="Y192" s="147">
        <f t="shared" si="59"/>
        <v>0</v>
      </c>
      <c r="Z192" s="146"/>
    </row>
    <row r="193" spans="1:26" s="32" customFormat="1" ht="24.75" customHeight="1" outlineLevel="2" x14ac:dyDescent="0.35">
      <c r="A193" s="26" t="s">
        <v>459</v>
      </c>
      <c r="B193" s="27" t="s">
        <v>57</v>
      </c>
      <c r="C193" s="28">
        <f t="shared" si="57"/>
        <v>1.0604453870625664E-3</v>
      </c>
      <c r="D193" s="29"/>
      <c r="E193" s="29"/>
      <c r="F193" s="29">
        <v>1</v>
      </c>
      <c r="G193" s="29"/>
      <c r="H193" s="29"/>
      <c r="I193" s="29"/>
      <c r="J193" s="29">
        <v>1</v>
      </c>
      <c r="K193" s="29">
        <f t="shared" si="58"/>
        <v>55640</v>
      </c>
      <c r="L193" s="29">
        <v>66000</v>
      </c>
      <c r="M193" s="29">
        <v>40920</v>
      </c>
      <c r="N193" s="29">
        <v>60000</v>
      </c>
      <c r="O193" s="29">
        <f t="shared" si="49"/>
        <v>59.003181336161191</v>
      </c>
      <c r="P193" s="35">
        <v>153</v>
      </c>
      <c r="Q193" s="21">
        <f t="shared" si="50"/>
        <v>55640</v>
      </c>
      <c r="R193" s="31">
        <f t="shared" si="60"/>
        <v>0</v>
      </c>
      <c r="S193" s="31">
        <f t="shared" si="60"/>
        <v>0</v>
      </c>
      <c r="T193" s="31">
        <f t="shared" si="60"/>
        <v>55640</v>
      </c>
      <c r="U193" s="31">
        <f t="shared" si="60"/>
        <v>0</v>
      </c>
      <c r="V193" s="31">
        <f t="shared" si="60"/>
        <v>0</v>
      </c>
      <c r="W193" s="31">
        <f t="shared" si="60"/>
        <v>0</v>
      </c>
      <c r="X193" s="116"/>
      <c r="Y193" s="115">
        <f t="shared" si="59"/>
        <v>0</v>
      </c>
      <c r="Z193" s="116"/>
    </row>
    <row r="194" spans="1:26" ht="104.25" customHeight="1" outlineLevel="1" collapsed="1" x14ac:dyDescent="0.35">
      <c r="A194" s="22" t="s">
        <v>15</v>
      </c>
      <c r="B194" s="23" t="s">
        <v>3</v>
      </c>
      <c r="C194" s="19">
        <f>SUM(C195:C195)</f>
        <v>2.6511134676564158E-2</v>
      </c>
      <c r="D194" s="20" t="s">
        <v>3</v>
      </c>
      <c r="E194" s="20" t="s">
        <v>3</v>
      </c>
      <c r="F194" s="20" t="s">
        <v>3</v>
      </c>
      <c r="G194" s="20" t="s">
        <v>3</v>
      </c>
      <c r="H194" s="20" t="s">
        <v>3</v>
      </c>
      <c r="I194" s="20" t="s">
        <v>3</v>
      </c>
      <c r="J194" s="20" t="s">
        <v>3</v>
      </c>
      <c r="K194" s="20" t="s">
        <v>3</v>
      </c>
      <c r="L194" s="20"/>
      <c r="M194" s="20"/>
      <c r="N194" s="20"/>
      <c r="O194" s="24">
        <f>SUM(O195:O195)</f>
        <v>66.719688936019793</v>
      </c>
      <c r="P194" s="20" t="s">
        <v>3</v>
      </c>
      <c r="Q194" s="21">
        <f t="shared" si="50"/>
        <v>218950</v>
      </c>
      <c r="R194" s="25">
        <f t="shared" ref="R194:W194" si="61">SUM(R195:R195)</f>
        <v>32716.666666666664</v>
      </c>
      <c r="S194" s="25">
        <f t="shared" si="61"/>
        <v>50333.333333333328</v>
      </c>
      <c r="T194" s="25">
        <f t="shared" si="61"/>
        <v>62916.666666666664</v>
      </c>
      <c r="U194" s="25">
        <f t="shared" si="61"/>
        <v>7550</v>
      </c>
      <c r="V194" s="25">
        <f t="shared" si="61"/>
        <v>7550</v>
      </c>
      <c r="W194" s="25">
        <f t="shared" si="61"/>
        <v>57883.333333333328</v>
      </c>
      <c r="X194" s="115"/>
      <c r="Y194" s="115">
        <f t="shared" si="59"/>
        <v>0</v>
      </c>
      <c r="Z194" s="116"/>
    </row>
    <row r="195" spans="1:26" s="36" customFormat="1" ht="24.75" hidden="1" customHeight="1" outlineLevel="2" x14ac:dyDescent="0.35">
      <c r="A195" s="26" t="s">
        <v>45</v>
      </c>
      <c r="B195" s="27" t="s">
        <v>10</v>
      </c>
      <c r="C195" s="28">
        <f>F195/$T$2</f>
        <v>2.6511134676564158E-2</v>
      </c>
      <c r="D195" s="29">
        <v>13</v>
      </c>
      <c r="E195" s="29">
        <v>20</v>
      </c>
      <c r="F195" s="29">
        <v>25</v>
      </c>
      <c r="G195" s="29">
        <v>3</v>
      </c>
      <c r="H195" s="29">
        <v>3</v>
      </c>
      <c r="I195" s="29">
        <v>23</v>
      </c>
      <c r="J195" s="29">
        <v>1</v>
      </c>
      <c r="K195" s="29">
        <f>AVERAGE(L195:N195)</f>
        <v>2516.6666666666665</v>
      </c>
      <c r="L195" s="29">
        <v>2500</v>
      </c>
      <c r="M195" s="29">
        <v>2550</v>
      </c>
      <c r="N195" s="29">
        <v>2500</v>
      </c>
      <c r="O195" s="29">
        <f>C195/$J195*$K195</f>
        <v>66.719688936019793</v>
      </c>
      <c r="P195" s="35">
        <v>155</v>
      </c>
      <c r="Q195" s="21">
        <f t="shared" si="50"/>
        <v>218950</v>
      </c>
      <c r="R195" s="31">
        <f t="shared" ref="R195:W195" si="62">D195*$K195</f>
        <v>32716.666666666664</v>
      </c>
      <c r="S195" s="31">
        <f t="shared" si="62"/>
        <v>50333.333333333328</v>
      </c>
      <c r="T195" s="31">
        <f t="shared" si="62"/>
        <v>62916.666666666664</v>
      </c>
      <c r="U195" s="31">
        <f t="shared" si="62"/>
        <v>7550</v>
      </c>
      <c r="V195" s="31">
        <f t="shared" si="62"/>
        <v>7550</v>
      </c>
      <c r="W195" s="31">
        <f t="shared" si="62"/>
        <v>57883.333333333328</v>
      </c>
      <c r="X195" s="116"/>
      <c r="Y195" s="115">
        <f t="shared" si="59"/>
        <v>0</v>
      </c>
      <c r="Z195" s="116"/>
    </row>
    <row r="196" spans="1:26" ht="34.5" customHeight="1" outlineLevel="1" collapsed="1" x14ac:dyDescent="0.35">
      <c r="A196" s="22" t="s">
        <v>16</v>
      </c>
      <c r="B196" s="23" t="s">
        <v>3</v>
      </c>
      <c r="C196" s="19">
        <f>SUM(C197:C199)</f>
        <v>3.8176033934252396E-2</v>
      </c>
      <c r="D196" s="20" t="s">
        <v>3</v>
      </c>
      <c r="E196" s="20" t="s">
        <v>3</v>
      </c>
      <c r="F196" s="20" t="s">
        <v>3</v>
      </c>
      <c r="G196" s="20" t="s">
        <v>3</v>
      </c>
      <c r="H196" s="20" t="s">
        <v>3</v>
      </c>
      <c r="I196" s="20" t="s">
        <v>3</v>
      </c>
      <c r="J196" s="20" t="s">
        <v>3</v>
      </c>
      <c r="K196" s="20" t="s">
        <v>3</v>
      </c>
      <c r="L196" s="20"/>
      <c r="M196" s="20"/>
      <c r="N196" s="20"/>
      <c r="O196" s="24">
        <f>SUM(O197:O199)</f>
        <v>127.26148462354189</v>
      </c>
      <c r="P196" s="20" t="s">
        <v>3</v>
      </c>
      <c r="Q196" s="21">
        <f t="shared" si="50"/>
        <v>323312.89</v>
      </c>
      <c r="R196" s="25">
        <f t="shared" ref="R196:W196" si="63">SUM(R197:R199)</f>
        <v>25751.74</v>
      </c>
      <c r="S196" s="25">
        <f t="shared" si="63"/>
        <v>21847.83</v>
      </c>
      <c r="T196" s="25">
        <f t="shared" si="63"/>
        <v>120007.57999999999</v>
      </c>
      <c r="U196" s="25">
        <f t="shared" si="63"/>
        <v>90478.13</v>
      </c>
      <c r="V196" s="25">
        <f t="shared" si="63"/>
        <v>15589.33</v>
      </c>
      <c r="W196" s="25">
        <f t="shared" si="63"/>
        <v>49638.28</v>
      </c>
      <c r="X196" s="115"/>
      <c r="Y196" s="115">
        <f t="shared" si="59"/>
        <v>0</v>
      </c>
      <c r="Z196" s="116"/>
    </row>
    <row r="197" spans="1:26" ht="13.5" hidden="1" customHeight="1" outlineLevel="2" x14ac:dyDescent="0.35">
      <c r="A197" s="37" t="s">
        <v>463</v>
      </c>
      <c r="B197" s="27" t="s">
        <v>57</v>
      </c>
      <c r="C197" s="28">
        <f>F197/$T$2*12</f>
        <v>1.2725344644750797E-2</v>
      </c>
      <c r="D197" s="39">
        <v>1</v>
      </c>
      <c r="E197" s="39">
        <v>1</v>
      </c>
      <c r="F197" s="39">
        <v>1</v>
      </c>
      <c r="G197" s="39">
        <v>1</v>
      </c>
      <c r="H197" s="39">
        <v>1</v>
      </c>
      <c r="I197" s="39">
        <v>1</v>
      </c>
      <c r="J197" s="29">
        <v>1</v>
      </c>
      <c r="K197" s="29">
        <f>T197/12</f>
        <v>4109.3499999999995</v>
      </c>
      <c r="L197" s="29"/>
      <c r="M197" s="29"/>
      <c r="N197" s="29"/>
      <c r="O197" s="29">
        <f>C197/$J197*$K197</f>
        <v>52.29289501590668</v>
      </c>
      <c r="P197" s="35">
        <v>0</v>
      </c>
      <c r="Q197" s="21">
        <f t="shared" si="50"/>
        <v>179890.9</v>
      </c>
      <c r="R197" s="31">
        <v>24974.720000000001</v>
      </c>
      <c r="S197" s="31">
        <v>21477.11</v>
      </c>
      <c r="T197" s="31">
        <v>49312.2</v>
      </c>
      <c r="U197" s="31">
        <v>19450.580000000002</v>
      </c>
      <c r="V197" s="31">
        <f>721.33+14868</f>
        <v>15589.33</v>
      </c>
      <c r="W197" s="31">
        <v>49086.96</v>
      </c>
      <c r="X197" s="116"/>
      <c r="Y197" s="115">
        <f t="shared" si="59"/>
        <v>0</v>
      </c>
      <c r="Z197" s="116"/>
    </row>
    <row r="198" spans="1:26" ht="13.5" hidden="1" customHeight="1" outlineLevel="2" x14ac:dyDescent="0.35">
      <c r="A198" s="37" t="s">
        <v>465</v>
      </c>
      <c r="B198" s="27" t="s">
        <v>57</v>
      </c>
      <c r="C198" s="28">
        <f>F198/$T$2*12</f>
        <v>1.2725344644750797E-2</v>
      </c>
      <c r="D198" s="39">
        <v>1</v>
      </c>
      <c r="E198" s="39">
        <v>1</v>
      </c>
      <c r="F198" s="39">
        <v>1</v>
      </c>
      <c r="G198" s="39">
        <v>1</v>
      </c>
      <c r="H198" s="39">
        <v>1</v>
      </c>
      <c r="I198" s="39">
        <v>1</v>
      </c>
      <c r="J198" s="29">
        <v>1</v>
      </c>
      <c r="K198" s="29">
        <f>T198/12</f>
        <v>31.271666666666665</v>
      </c>
      <c r="L198" s="29"/>
      <c r="M198" s="29"/>
      <c r="N198" s="29"/>
      <c r="O198" s="29">
        <f>C198/$J198*$K198</f>
        <v>0.39794273594909868</v>
      </c>
      <c r="P198" s="35">
        <v>0</v>
      </c>
      <c r="Q198" s="21">
        <f t="shared" si="50"/>
        <v>2781.75</v>
      </c>
      <c r="R198" s="31">
        <v>777.02</v>
      </c>
      <c r="S198" s="31">
        <v>370.72</v>
      </c>
      <c r="T198" s="31">
        <v>375.26</v>
      </c>
      <c r="U198" s="31">
        <v>707.43</v>
      </c>
      <c r="V198" s="31"/>
      <c r="W198" s="31">
        <v>551.32000000000005</v>
      </c>
      <c r="X198" s="116"/>
      <c r="Y198" s="115">
        <f t="shared" si="59"/>
        <v>0</v>
      </c>
      <c r="Z198" s="116"/>
    </row>
    <row r="199" spans="1:26" ht="13.5" hidden="1" customHeight="1" outlineLevel="2" x14ac:dyDescent="0.35">
      <c r="A199" s="37" t="s">
        <v>149</v>
      </c>
      <c r="B199" s="27" t="s">
        <v>57</v>
      </c>
      <c r="C199" s="28">
        <f>F199/$T$2*12</f>
        <v>1.2725344644750797E-2</v>
      </c>
      <c r="D199" s="39">
        <v>1</v>
      </c>
      <c r="E199" s="39">
        <v>1</v>
      </c>
      <c r="F199" s="39">
        <v>1</v>
      </c>
      <c r="G199" s="39">
        <v>1</v>
      </c>
      <c r="H199" s="39">
        <v>1</v>
      </c>
      <c r="I199" s="39">
        <v>1</v>
      </c>
      <c r="J199" s="29">
        <v>1</v>
      </c>
      <c r="K199" s="29">
        <f>T199/12</f>
        <v>5860.0099999999993</v>
      </c>
      <c r="L199" s="29"/>
      <c r="M199" s="29"/>
      <c r="N199" s="29"/>
      <c r="O199" s="29">
        <f>C199/$J199*$K199</f>
        <v>74.570646871686108</v>
      </c>
      <c r="P199" s="35">
        <v>0</v>
      </c>
      <c r="Q199" s="21">
        <f t="shared" si="50"/>
        <v>140640.24</v>
      </c>
      <c r="R199" s="31"/>
      <c r="S199" s="31"/>
      <c r="T199" s="31">
        <f>70320.12</f>
        <v>70320.12</v>
      </c>
      <c r="U199" s="31">
        <f>70320.12</f>
        <v>70320.12</v>
      </c>
      <c r="V199" s="31"/>
      <c r="W199" s="31"/>
      <c r="X199" s="116"/>
      <c r="Y199" s="115">
        <f t="shared" si="59"/>
        <v>0</v>
      </c>
      <c r="Z199" s="116"/>
    </row>
    <row r="200" spans="1:26" ht="44.25" customHeight="1" outlineLevel="1" collapsed="1" x14ac:dyDescent="0.35">
      <c r="A200" s="22" t="s">
        <v>17</v>
      </c>
      <c r="B200" s="23" t="s">
        <v>3</v>
      </c>
      <c r="C200" s="19">
        <f>SUM(C201:C203)</f>
        <v>0</v>
      </c>
      <c r="D200" s="20" t="s">
        <v>3</v>
      </c>
      <c r="E200" s="20" t="s">
        <v>3</v>
      </c>
      <c r="F200" s="20" t="s">
        <v>3</v>
      </c>
      <c r="G200" s="20" t="s">
        <v>3</v>
      </c>
      <c r="H200" s="20" t="s">
        <v>3</v>
      </c>
      <c r="I200" s="20" t="s">
        <v>3</v>
      </c>
      <c r="J200" s="20" t="s">
        <v>3</v>
      </c>
      <c r="K200" s="20" t="s">
        <v>3</v>
      </c>
      <c r="L200" s="20"/>
      <c r="M200" s="20"/>
      <c r="N200" s="20"/>
      <c r="O200" s="24">
        <f>SUM(O201:O203)</f>
        <v>0</v>
      </c>
      <c r="P200" s="20" t="s">
        <v>3</v>
      </c>
      <c r="Q200" s="21">
        <f t="shared" si="50"/>
        <v>0</v>
      </c>
      <c r="R200" s="25">
        <f t="shared" ref="R200:W200" si="64">SUM(R201:R203)</f>
        <v>0</v>
      </c>
      <c r="S200" s="25">
        <f t="shared" si="64"/>
        <v>0</v>
      </c>
      <c r="T200" s="25">
        <f t="shared" si="64"/>
        <v>0</v>
      </c>
      <c r="U200" s="25">
        <f t="shared" si="64"/>
        <v>0</v>
      </c>
      <c r="V200" s="25">
        <f t="shared" si="64"/>
        <v>0</v>
      </c>
      <c r="W200" s="25">
        <f t="shared" si="64"/>
        <v>0</v>
      </c>
      <c r="Y200" s="115">
        <f t="shared" si="59"/>
        <v>0</v>
      </c>
      <c r="Z200" s="116"/>
    </row>
    <row r="201" spans="1:26" s="32" customFormat="1" ht="24.75" hidden="1" customHeight="1" outlineLevel="2" x14ac:dyDescent="0.35">
      <c r="A201" s="26"/>
      <c r="B201" s="27"/>
      <c r="C201" s="28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35">
        <v>0</v>
      </c>
      <c r="Q201" s="21">
        <f t="shared" si="50"/>
        <v>0</v>
      </c>
      <c r="R201" s="31"/>
      <c r="S201" s="31"/>
      <c r="T201" s="31"/>
      <c r="U201" s="31"/>
      <c r="V201" s="31"/>
      <c r="W201" s="31"/>
      <c r="X201" s="115"/>
      <c r="Y201" s="115">
        <f t="shared" si="59"/>
        <v>0</v>
      </c>
      <c r="Z201" s="116"/>
    </row>
    <row r="202" spans="1:26" s="32" customFormat="1" ht="24.75" hidden="1" customHeight="1" outlineLevel="2" x14ac:dyDescent="0.35">
      <c r="A202" s="26"/>
      <c r="B202" s="27"/>
      <c r="C202" s="28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35">
        <v>0</v>
      </c>
      <c r="Q202" s="21">
        <f t="shared" si="50"/>
        <v>0</v>
      </c>
      <c r="R202" s="31"/>
      <c r="S202" s="31"/>
      <c r="T202" s="31"/>
      <c r="U202" s="31"/>
      <c r="V202" s="31"/>
      <c r="W202" s="31"/>
      <c r="X202" s="115"/>
      <c r="Y202" s="115">
        <f t="shared" si="59"/>
        <v>0</v>
      </c>
      <c r="Z202" s="116"/>
    </row>
    <row r="203" spans="1:26" s="32" customFormat="1" ht="24.75" hidden="1" customHeight="1" outlineLevel="2" x14ac:dyDescent="0.35">
      <c r="A203" s="26"/>
      <c r="B203" s="27"/>
      <c r="C203" s="28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35">
        <v>0</v>
      </c>
      <c r="Q203" s="21">
        <f t="shared" si="50"/>
        <v>0</v>
      </c>
      <c r="R203" s="31"/>
      <c r="S203" s="31"/>
      <c r="T203" s="31"/>
      <c r="U203" s="31"/>
      <c r="V203" s="31"/>
      <c r="W203" s="31"/>
      <c r="X203" s="115"/>
      <c r="Y203" s="115">
        <f t="shared" si="59"/>
        <v>0</v>
      </c>
      <c r="Z203" s="116"/>
    </row>
    <row r="204" spans="1:26" ht="111" customHeight="1" outlineLevel="1" collapsed="1" x14ac:dyDescent="0.35">
      <c r="A204" s="22" t="s">
        <v>20</v>
      </c>
      <c r="B204" s="23" t="s">
        <v>3</v>
      </c>
      <c r="C204" s="19">
        <f>SUM(C205:C207)</f>
        <v>5.3022269353128317E-3</v>
      </c>
      <c r="D204" s="20" t="s">
        <v>3</v>
      </c>
      <c r="E204" s="20" t="s">
        <v>3</v>
      </c>
      <c r="F204" s="20" t="s">
        <v>3</v>
      </c>
      <c r="G204" s="20" t="s">
        <v>3</v>
      </c>
      <c r="H204" s="20" t="s">
        <v>3</v>
      </c>
      <c r="I204" s="20" t="s">
        <v>3</v>
      </c>
      <c r="J204" s="20" t="s">
        <v>3</v>
      </c>
      <c r="K204" s="20" t="s">
        <v>3</v>
      </c>
      <c r="L204" s="20"/>
      <c r="M204" s="20"/>
      <c r="N204" s="20"/>
      <c r="O204" s="24">
        <f>SUM(O205:O207)</f>
        <v>190.93123011664898</v>
      </c>
      <c r="P204" s="20" t="s">
        <v>3</v>
      </c>
      <c r="Q204" s="21">
        <f t="shared" si="50"/>
        <v>598152.02</v>
      </c>
      <c r="R204" s="25">
        <f t="shared" ref="R204:W204" si="65">SUM(R205:R207)</f>
        <v>34136.879999999997</v>
      </c>
      <c r="S204" s="25">
        <f t="shared" si="65"/>
        <v>125250.89</v>
      </c>
      <c r="T204" s="25">
        <f t="shared" si="65"/>
        <v>180048.15</v>
      </c>
      <c r="U204" s="25">
        <f t="shared" si="65"/>
        <v>60450.73</v>
      </c>
      <c r="V204" s="25">
        <f t="shared" si="65"/>
        <v>60450.73</v>
      </c>
      <c r="W204" s="25">
        <f t="shared" si="65"/>
        <v>137814.64000000001</v>
      </c>
      <c r="Y204" s="115">
        <f t="shared" si="59"/>
        <v>0</v>
      </c>
      <c r="Z204" s="116"/>
    </row>
    <row r="205" spans="1:26" s="32" customFormat="1" ht="24.75" hidden="1" customHeight="1" outlineLevel="2" x14ac:dyDescent="0.35">
      <c r="A205" s="26" t="s">
        <v>529</v>
      </c>
      <c r="B205" s="27" t="s">
        <v>530</v>
      </c>
      <c r="C205" s="28">
        <f>5/T2</f>
        <v>5.3022269353128317E-3</v>
      </c>
      <c r="D205" s="29"/>
      <c r="E205" s="29"/>
      <c r="F205" s="29"/>
      <c r="G205" s="29"/>
      <c r="H205" s="29"/>
      <c r="I205" s="29"/>
      <c r="J205" s="28">
        <v>1</v>
      </c>
      <c r="K205" s="29">
        <f>180048.15/5</f>
        <v>36009.629999999997</v>
      </c>
      <c r="L205" s="29"/>
      <c r="M205" s="29"/>
      <c r="N205" s="29"/>
      <c r="O205" s="29">
        <f>C205/J205*K205</f>
        <v>190.93123011664898</v>
      </c>
      <c r="P205" s="35"/>
      <c r="Q205" s="21">
        <f t="shared" si="50"/>
        <v>598152.02</v>
      </c>
      <c r="R205" s="31">
        <v>34136.879999999997</v>
      </c>
      <c r="S205" s="31">
        <v>125250.89</v>
      </c>
      <c r="T205" s="31">
        <v>180048.15</v>
      </c>
      <c r="U205" s="31">
        <v>60450.73</v>
      </c>
      <c r="V205" s="31">
        <v>60450.73</v>
      </c>
      <c r="W205" s="31">
        <v>137814.64000000001</v>
      </c>
      <c r="X205" s="115"/>
      <c r="Y205" s="115">
        <f t="shared" si="59"/>
        <v>0</v>
      </c>
      <c r="Z205" s="116"/>
    </row>
    <row r="206" spans="1:26" s="32" customFormat="1" ht="24.75" hidden="1" customHeight="1" outlineLevel="2" x14ac:dyDescent="0.35">
      <c r="A206" s="26"/>
      <c r="B206" s="27"/>
      <c r="C206" s="28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35"/>
      <c r="Q206" s="21">
        <f t="shared" si="50"/>
        <v>0</v>
      </c>
      <c r="R206" s="31"/>
      <c r="S206" s="31"/>
      <c r="T206" s="31"/>
      <c r="U206" s="31"/>
      <c r="V206" s="31"/>
      <c r="W206" s="31"/>
      <c r="X206" s="115"/>
      <c r="Y206" s="115">
        <f t="shared" si="59"/>
        <v>0</v>
      </c>
      <c r="Z206" s="116"/>
    </row>
    <row r="207" spans="1:26" s="32" customFormat="1" ht="24.75" hidden="1" customHeight="1" outlineLevel="2" x14ac:dyDescent="0.35">
      <c r="A207" s="26"/>
      <c r="B207" s="27"/>
      <c r="C207" s="28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35"/>
      <c r="Q207" s="21">
        <f t="shared" si="50"/>
        <v>0</v>
      </c>
      <c r="R207" s="31"/>
      <c r="S207" s="31"/>
      <c r="T207" s="31"/>
      <c r="U207" s="31"/>
      <c r="V207" s="31"/>
      <c r="W207" s="31"/>
      <c r="X207" s="115"/>
      <c r="Y207" s="115">
        <f t="shared" si="59"/>
        <v>0</v>
      </c>
      <c r="Z207" s="116"/>
    </row>
    <row r="208" spans="1:26" ht="56.25" customHeight="1" outlineLevel="1" x14ac:dyDescent="0.35">
      <c r="A208" s="22" t="s">
        <v>23</v>
      </c>
      <c r="B208" s="23" t="s">
        <v>3</v>
      </c>
      <c r="C208" s="19">
        <f>SUM(C209:C333)</f>
        <v>3.474042199148621</v>
      </c>
      <c r="D208" s="20" t="s">
        <v>3</v>
      </c>
      <c r="E208" s="20" t="s">
        <v>3</v>
      </c>
      <c r="F208" s="20" t="s">
        <v>3</v>
      </c>
      <c r="G208" s="20" t="s">
        <v>3</v>
      </c>
      <c r="H208" s="20" t="s">
        <v>3</v>
      </c>
      <c r="I208" s="20" t="s">
        <v>3</v>
      </c>
      <c r="J208" s="20" t="s">
        <v>3</v>
      </c>
      <c r="K208" s="20" t="s">
        <v>3</v>
      </c>
      <c r="L208" s="20"/>
      <c r="M208" s="20"/>
      <c r="N208" s="20"/>
      <c r="O208" s="24">
        <f>SUM(O209:O231)+O232+O251+O255+O285+O289</f>
        <v>286.53563392797093</v>
      </c>
      <c r="P208" s="20" t="s">
        <v>3</v>
      </c>
      <c r="Q208" s="21">
        <f t="shared" si="50"/>
        <v>1410565.9080303921</v>
      </c>
      <c r="R208" s="25">
        <f t="shared" ref="R208:W208" si="66">SUM(R209:R231)+R232+R251+R255+R285+R289</f>
        <v>422133.20330151997</v>
      </c>
      <c r="S208" s="25">
        <f t="shared" si="66"/>
        <v>243214.19851101493</v>
      </c>
      <c r="T208" s="25">
        <f t="shared" si="66"/>
        <v>270203.10279407655</v>
      </c>
      <c r="U208" s="25">
        <f t="shared" si="66"/>
        <v>69252.884582004073</v>
      </c>
      <c r="V208" s="25">
        <f t="shared" si="66"/>
        <v>66251.14224112792</v>
      </c>
      <c r="W208" s="25">
        <f t="shared" si="66"/>
        <v>339511.37660064886</v>
      </c>
      <c r="Y208" s="115">
        <f t="shared" si="59"/>
        <v>0</v>
      </c>
      <c r="Z208" s="116"/>
    </row>
    <row r="209" spans="1:26" s="32" customFormat="1" ht="24.75" customHeight="1" outlineLevel="2" x14ac:dyDescent="0.35">
      <c r="A209" s="26" t="s">
        <v>438</v>
      </c>
      <c r="B209" s="27" t="s">
        <v>57</v>
      </c>
      <c r="C209" s="28">
        <f t="shared" ref="C209:C231" si="67">F209/$T$2</f>
        <v>2.1208907741251328E-3</v>
      </c>
      <c r="D209" s="29">
        <v>1</v>
      </c>
      <c r="E209" s="29">
        <v>1</v>
      </c>
      <c r="F209" s="29">
        <v>2</v>
      </c>
      <c r="G209" s="29">
        <v>1</v>
      </c>
      <c r="H209" s="29">
        <v>1</v>
      </c>
      <c r="I209" s="29">
        <v>1</v>
      </c>
      <c r="J209" s="29">
        <v>1</v>
      </c>
      <c r="K209" s="29">
        <f t="shared" ref="K209:K217" si="68">AVERAGE(L209:N209)</f>
        <v>2795.78</v>
      </c>
      <c r="L209" s="29">
        <v>2795.78</v>
      </c>
      <c r="M209" s="29"/>
      <c r="N209" s="29"/>
      <c r="O209" s="29">
        <f t="shared" ref="O209:O326" si="69">C209/$J209*$K209</f>
        <v>5.929544008483564</v>
      </c>
      <c r="P209" s="35">
        <v>156</v>
      </c>
      <c r="Q209" s="21">
        <f t="shared" si="50"/>
        <v>19570.46</v>
      </c>
      <c r="R209" s="31">
        <f t="shared" ref="R209:R231" si="70">D209*$K209/$J209</f>
        <v>2795.78</v>
      </c>
      <c r="S209" s="31">
        <f t="shared" ref="S209:S231" si="71">E209*$K209/$J209</f>
        <v>2795.78</v>
      </c>
      <c r="T209" s="31">
        <f t="shared" ref="T209:T231" si="72">F209*$K209/$J209</f>
        <v>5591.56</v>
      </c>
      <c r="U209" s="31">
        <f t="shared" ref="U209:U231" si="73">G209*$K209/$J209</f>
        <v>2795.78</v>
      </c>
      <c r="V209" s="31">
        <f t="shared" ref="V209:V231" si="74">H209*$K209/$J209</f>
        <v>2795.78</v>
      </c>
      <c r="W209" s="31">
        <f t="shared" ref="W209:W231" si="75">I209*$K209/$J209</f>
        <v>2795.78</v>
      </c>
      <c r="X209" s="116"/>
      <c r="Y209" s="115">
        <f t="shared" si="59"/>
        <v>0</v>
      </c>
      <c r="Z209" s="116"/>
    </row>
    <row r="210" spans="1:26" s="36" customFormat="1" ht="24.75" customHeight="1" outlineLevel="2" x14ac:dyDescent="0.35">
      <c r="A210" s="26" t="s">
        <v>231</v>
      </c>
      <c r="B210" s="27" t="s">
        <v>57</v>
      </c>
      <c r="C210" s="28">
        <f t="shared" si="67"/>
        <v>2.1208907741251328E-3</v>
      </c>
      <c r="D210" s="29">
        <v>1</v>
      </c>
      <c r="E210" s="29">
        <v>1</v>
      </c>
      <c r="F210" s="29">
        <v>2</v>
      </c>
      <c r="G210" s="29">
        <v>1</v>
      </c>
      <c r="H210" s="29">
        <v>1</v>
      </c>
      <c r="I210" s="29">
        <v>1</v>
      </c>
      <c r="J210" s="29">
        <v>1</v>
      </c>
      <c r="K210" s="29">
        <f t="shared" si="68"/>
        <v>2918.92</v>
      </c>
      <c r="L210" s="29">
        <v>2918.92</v>
      </c>
      <c r="M210" s="29"/>
      <c r="N210" s="29"/>
      <c r="O210" s="29">
        <f t="shared" si="69"/>
        <v>6.1907104984093326</v>
      </c>
      <c r="P210" s="35">
        <v>157</v>
      </c>
      <c r="Q210" s="21">
        <f t="shared" si="50"/>
        <v>20432.440000000002</v>
      </c>
      <c r="R210" s="31">
        <f t="shared" si="70"/>
        <v>2918.92</v>
      </c>
      <c r="S210" s="31">
        <f t="shared" si="71"/>
        <v>2918.92</v>
      </c>
      <c r="T210" s="31">
        <f t="shared" si="72"/>
        <v>5837.84</v>
      </c>
      <c r="U210" s="31">
        <f t="shared" si="73"/>
        <v>2918.92</v>
      </c>
      <c r="V210" s="31">
        <f t="shared" si="74"/>
        <v>2918.92</v>
      </c>
      <c r="W210" s="31">
        <f t="shared" si="75"/>
        <v>2918.92</v>
      </c>
      <c r="X210" s="116"/>
      <c r="Y210" s="115">
        <f t="shared" si="59"/>
        <v>3.637978807091713E-12</v>
      </c>
      <c r="Z210" s="116"/>
    </row>
    <row r="211" spans="1:26" s="36" customFormat="1" ht="24.75" customHeight="1" outlineLevel="2" x14ac:dyDescent="0.35">
      <c r="A211" s="26" t="s">
        <v>229</v>
      </c>
      <c r="B211" s="27" t="s">
        <v>57</v>
      </c>
      <c r="C211" s="28">
        <f t="shared" si="67"/>
        <v>0</v>
      </c>
      <c r="D211" s="29"/>
      <c r="E211" s="29"/>
      <c r="F211" s="29"/>
      <c r="G211" s="29"/>
      <c r="H211" s="29"/>
      <c r="I211" s="29">
        <v>1</v>
      </c>
      <c r="J211" s="29">
        <v>1</v>
      </c>
      <c r="K211" s="29">
        <f t="shared" si="68"/>
        <v>20639.89</v>
      </c>
      <c r="L211" s="29">
        <v>20639.89</v>
      </c>
      <c r="M211" s="29"/>
      <c r="N211" s="29"/>
      <c r="O211" s="29">
        <f t="shared" si="69"/>
        <v>0</v>
      </c>
      <c r="P211" s="35">
        <v>158</v>
      </c>
      <c r="Q211" s="21">
        <f t="shared" si="50"/>
        <v>20639.89</v>
      </c>
      <c r="R211" s="31">
        <f t="shared" si="70"/>
        <v>0</v>
      </c>
      <c r="S211" s="31">
        <f t="shared" si="71"/>
        <v>0</v>
      </c>
      <c r="T211" s="31">
        <f t="shared" si="72"/>
        <v>0</v>
      </c>
      <c r="U211" s="31">
        <f t="shared" si="73"/>
        <v>0</v>
      </c>
      <c r="V211" s="31">
        <f t="shared" si="74"/>
        <v>0</v>
      </c>
      <c r="W211" s="31">
        <f t="shared" si="75"/>
        <v>20639.89</v>
      </c>
      <c r="X211" s="116"/>
      <c r="Y211" s="115">
        <f t="shared" si="59"/>
        <v>0</v>
      </c>
      <c r="Z211" s="116"/>
    </row>
    <row r="212" spans="1:26" s="36" customFormat="1" ht="24.75" customHeight="1" outlineLevel="2" x14ac:dyDescent="0.35">
      <c r="A212" s="26" t="s">
        <v>237</v>
      </c>
      <c r="B212" s="27" t="s">
        <v>57</v>
      </c>
      <c r="C212" s="28">
        <f t="shared" si="67"/>
        <v>0</v>
      </c>
      <c r="D212" s="29">
        <v>33</v>
      </c>
      <c r="E212" s="29"/>
      <c r="F212" s="29"/>
      <c r="G212" s="29"/>
      <c r="H212" s="29"/>
      <c r="I212" s="29"/>
      <c r="J212" s="29">
        <v>1</v>
      </c>
      <c r="K212" s="29">
        <f t="shared" si="68"/>
        <v>3080.48</v>
      </c>
      <c r="L212" s="29">
        <v>3080.48</v>
      </c>
      <c r="M212" s="29"/>
      <c r="N212" s="29"/>
      <c r="O212" s="29">
        <f t="shared" si="69"/>
        <v>0</v>
      </c>
      <c r="P212" s="35">
        <v>159</v>
      </c>
      <c r="Q212" s="21">
        <f t="shared" si="50"/>
        <v>101655.84</v>
      </c>
      <c r="R212" s="31">
        <f t="shared" si="70"/>
        <v>101655.84</v>
      </c>
      <c r="S212" s="31">
        <f t="shared" si="71"/>
        <v>0</v>
      </c>
      <c r="T212" s="31">
        <f t="shared" si="72"/>
        <v>0</v>
      </c>
      <c r="U212" s="31">
        <f t="shared" si="73"/>
        <v>0</v>
      </c>
      <c r="V212" s="31">
        <f t="shared" si="74"/>
        <v>0</v>
      </c>
      <c r="W212" s="31">
        <f t="shared" si="75"/>
        <v>0</v>
      </c>
      <c r="X212" s="116"/>
      <c r="Y212" s="115">
        <f t="shared" si="59"/>
        <v>0</v>
      </c>
      <c r="Z212" s="116"/>
    </row>
    <row r="213" spans="1:26" s="36" customFormat="1" ht="24.75" customHeight="1" outlineLevel="2" x14ac:dyDescent="0.35">
      <c r="A213" s="26" t="s">
        <v>40</v>
      </c>
      <c r="B213" s="27" t="s">
        <v>57</v>
      </c>
      <c r="C213" s="28"/>
      <c r="D213" s="29"/>
      <c r="E213" s="29"/>
      <c r="F213" s="29"/>
      <c r="G213" s="29"/>
      <c r="H213" s="29"/>
      <c r="I213" s="29"/>
      <c r="J213" s="29">
        <v>1</v>
      </c>
      <c r="K213" s="29">
        <f t="shared" si="68"/>
        <v>439</v>
      </c>
      <c r="L213" s="29">
        <v>465</v>
      </c>
      <c r="M213" s="29">
        <v>402</v>
      </c>
      <c r="N213" s="29">
        <v>450</v>
      </c>
      <c r="O213" s="29">
        <f t="shared" si="69"/>
        <v>0</v>
      </c>
      <c r="P213" s="35">
        <v>160</v>
      </c>
      <c r="Q213" s="21">
        <f t="shared" si="50"/>
        <v>0</v>
      </c>
      <c r="R213" s="31">
        <f t="shared" si="70"/>
        <v>0</v>
      </c>
      <c r="S213" s="31">
        <f t="shared" si="71"/>
        <v>0</v>
      </c>
      <c r="T213" s="31">
        <f t="shared" si="72"/>
        <v>0</v>
      </c>
      <c r="U213" s="31">
        <f t="shared" si="73"/>
        <v>0</v>
      </c>
      <c r="V213" s="31">
        <f t="shared" si="74"/>
        <v>0</v>
      </c>
      <c r="W213" s="31">
        <f t="shared" si="75"/>
        <v>0</v>
      </c>
      <c r="X213" s="116"/>
      <c r="Y213" s="115">
        <f t="shared" si="59"/>
        <v>0</v>
      </c>
      <c r="Z213" s="116"/>
    </row>
    <row r="214" spans="1:26" s="36" customFormat="1" ht="24.75" customHeight="1" outlineLevel="2" x14ac:dyDescent="0.35">
      <c r="A214" s="26" t="s">
        <v>427</v>
      </c>
      <c r="B214" s="27" t="s">
        <v>57</v>
      </c>
      <c r="C214" s="28"/>
      <c r="D214" s="29"/>
      <c r="E214" s="29"/>
      <c r="F214" s="29"/>
      <c r="G214" s="29"/>
      <c r="H214" s="29"/>
      <c r="I214" s="29"/>
      <c r="J214" s="29">
        <v>1</v>
      </c>
      <c r="K214" s="29">
        <f t="shared" si="68"/>
        <v>268.53333333333336</v>
      </c>
      <c r="L214" s="29">
        <v>200</v>
      </c>
      <c r="M214" s="29">
        <v>275.60000000000002</v>
      </c>
      <c r="N214" s="29">
        <v>330</v>
      </c>
      <c r="O214" s="29">
        <f t="shared" si="69"/>
        <v>0</v>
      </c>
      <c r="P214" s="35">
        <v>161</v>
      </c>
      <c r="Q214" s="21">
        <f t="shared" si="50"/>
        <v>0</v>
      </c>
      <c r="R214" s="31">
        <f t="shared" si="70"/>
        <v>0</v>
      </c>
      <c r="S214" s="31">
        <f t="shared" si="71"/>
        <v>0</v>
      </c>
      <c r="T214" s="31">
        <f t="shared" si="72"/>
        <v>0</v>
      </c>
      <c r="U214" s="31">
        <f t="shared" si="73"/>
        <v>0</v>
      </c>
      <c r="V214" s="31">
        <f t="shared" si="74"/>
        <v>0</v>
      </c>
      <c r="W214" s="31">
        <f t="shared" si="75"/>
        <v>0</v>
      </c>
      <c r="X214" s="116"/>
      <c r="Y214" s="115">
        <f t="shared" si="59"/>
        <v>0</v>
      </c>
      <c r="Z214" s="116"/>
    </row>
    <row r="215" spans="1:26" s="36" customFormat="1" ht="24.75" customHeight="1" outlineLevel="2" x14ac:dyDescent="0.35">
      <c r="A215" s="26" t="s">
        <v>429</v>
      </c>
      <c r="B215" s="27" t="s">
        <v>10</v>
      </c>
      <c r="C215" s="28"/>
      <c r="D215" s="29"/>
      <c r="E215" s="29"/>
      <c r="F215" s="29"/>
      <c r="G215" s="29"/>
      <c r="H215" s="29"/>
      <c r="I215" s="29"/>
      <c r="J215" s="29">
        <v>1</v>
      </c>
      <c r="K215" s="29">
        <f t="shared" si="68"/>
        <v>21.433333333333334</v>
      </c>
      <c r="L215" s="29">
        <v>20</v>
      </c>
      <c r="M215" s="29">
        <v>23.3</v>
      </c>
      <c r="N215" s="29">
        <v>21</v>
      </c>
      <c r="O215" s="29">
        <f t="shared" si="69"/>
        <v>0</v>
      </c>
      <c r="P215" s="35">
        <v>162</v>
      </c>
      <c r="Q215" s="21">
        <f t="shared" si="50"/>
        <v>0</v>
      </c>
      <c r="R215" s="31">
        <f t="shared" si="70"/>
        <v>0</v>
      </c>
      <c r="S215" s="31">
        <f t="shared" si="71"/>
        <v>0</v>
      </c>
      <c r="T215" s="31">
        <f t="shared" si="72"/>
        <v>0</v>
      </c>
      <c r="U215" s="31">
        <f t="shared" si="73"/>
        <v>0</v>
      </c>
      <c r="V215" s="31">
        <f t="shared" si="74"/>
        <v>0</v>
      </c>
      <c r="W215" s="31">
        <f t="shared" si="75"/>
        <v>0</v>
      </c>
      <c r="X215" s="116"/>
      <c r="Y215" s="115">
        <f t="shared" si="59"/>
        <v>0</v>
      </c>
      <c r="Z215" s="116"/>
    </row>
    <row r="216" spans="1:26" s="36" customFormat="1" ht="24.75" customHeight="1" outlineLevel="2" x14ac:dyDescent="0.35">
      <c r="A216" s="26" t="s">
        <v>437</v>
      </c>
      <c r="B216" s="27" t="s">
        <v>10</v>
      </c>
      <c r="C216" s="28">
        <f t="shared" si="67"/>
        <v>0</v>
      </c>
      <c r="D216" s="29">
        <v>14</v>
      </c>
      <c r="E216" s="29"/>
      <c r="F216" s="29"/>
      <c r="G216" s="29"/>
      <c r="H216" s="29"/>
      <c r="I216" s="29"/>
      <c r="J216" s="29">
        <v>1</v>
      </c>
      <c r="K216" s="29">
        <f t="shared" si="68"/>
        <v>910</v>
      </c>
      <c r="L216" s="29">
        <v>850</v>
      </c>
      <c r="M216" s="29">
        <v>980</v>
      </c>
      <c r="N216" s="29">
        <v>900</v>
      </c>
      <c r="O216" s="29">
        <f t="shared" si="69"/>
        <v>0</v>
      </c>
      <c r="P216" s="35">
        <v>163</v>
      </c>
      <c r="Q216" s="21">
        <f t="shared" si="50"/>
        <v>12740</v>
      </c>
      <c r="R216" s="31">
        <f t="shared" si="70"/>
        <v>12740</v>
      </c>
      <c r="S216" s="31">
        <f t="shared" si="71"/>
        <v>0</v>
      </c>
      <c r="T216" s="31">
        <f t="shared" si="72"/>
        <v>0</v>
      </c>
      <c r="U216" s="31">
        <f t="shared" si="73"/>
        <v>0</v>
      </c>
      <c r="V216" s="31">
        <f t="shared" si="74"/>
        <v>0</v>
      </c>
      <c r="W216" s="31">
        <f t="shared" si="75"/>
        <v>0</v>
      </c>
      <c r="X216" s="116"/>
      <c r="Y216" s="115">
        <f t="shared" si="59"/>
        <v>0</v>
      </c>
      <c r="Z216" s="116"/>
    </row>
    <row r="217" spans="1:26" s="36" customFormat="1" ht="24.75" customHeight="1" outlineLevel="2" x14ac:dyDescent="0.35">
      <c r="A217" s="26" t="s">
        <v>442</v>
      </c>
      <c r="B217" s="27" t="s">
        <v>10</v>
      </c>
      <c r="C217" s="28">
        <f t="shared" si="67"/>
        <v>0</v>
      </c>
      <c r="D217" s="29">
        <v>2</v>
      </c>
      <c r="E217" s="29">
        <v>3</v>
      </c>
      <c r="F217" s="29"/>
      <c r="G217" s="29">
        <v>2</v>
      </c>
      <c r="H217" s="29">
        <v>1</v>
      </c>
      <c r="I217" s="29">
        <v>1</v>
      </c>
      <c r="J217" s="29">
        <v>1</v>
      </c>
      <c r="K217" s="29">
        <f t="shared" si="68"/>
        <v>164.72666666666666</v>
      </c>
      <c r="L217" s="29">
        <v>178.35</v>
      </c>
      <c r="M217" s="29">
        <v>189.83</v>
      </c>
      <c r="N217" s="29">
        <v>126</v>
      </c>
      <c r="O217" s="29">
        <f t="shared" si="69"/>
        <v>0</v>
      </c>
      <c r="P217" s="35">
        <v>164</v>
      </c>
      <c r="Q217" s="21">
        <f t="shared" si="50"/>
        <v>1482.54</v>
      </c>
      <c r="R217" s="31">
        <f t="shared" si="70"/>
        <v>329.45333333333332</v>
      </c>
      <c r="S217" s="31">
        <f t="shared" si="71"/>
        <v>494.17999999999995</v>
      </c>
      <c r="T217" s="31">
        <f t="shared" si="72"/>
        <v>0</v>
      </c>
      <c r="U217" s="31">
        <f t="shared" si="73"/>
        <v>329.45333333333332</v>
      </c>
      <c r="V217" s="31">
        <f t="shared" si="74"/>
        <v>164.72666666666666</v>
      </c>
      <c r="W217" s="31">
        <f t="shared" si="75"/>
        <v>164.72666666666666</v>
      </c>
      <c r="X217" s="116"/>
      <c r="Y217" s="115">
        <f t="shared" si="59"/>
        <v>0</v>
      </c>
      <c r="Z217" s="116"/>
    </row>
    <row r="218" spans="1:26" s="36" customFormat="1" ht="24.75" customHeight="1" outlineLevel="2" x14ac:dyDescent="0.35">
      <c r="A218" s="26" t="s">
        <v>481</v>
      </c>
      <c r="B218" s="27" t="s">
        <v>10</v>
      </c>
      <c r="C218" s="28">
        <f t="shared" si="67"/>
        <v>0</v>
      </c>
      <c r="D218" s="29">
        <v>3</v>
      </c>
      <c r="E218" s="29"/>
      <c r="F218" s="29"/>
      <c r="G218" s="29"/>
      <c r="H218" s="29"/>
      <c r="I218" s="29"/>
      <c r="J218" s="29">
        <v>1</v>
      </c>
      <c r="K218" s="29">
        <v>5833.34</v>
      </c>
      <c r="L218" s="29"/>
      <c r="M218" s="29"/>
      <c r="N218" s="29"/>
      <c r="O218" s="29">
        <f t="shared" si="69"/>
        <v>0</v>
      </c>
      <c r="P218" s="35">
        <v>176</v>
      </c>
      <c r="Q218" s="21">
        <f>SUM(R218:W218)</f>
        <v>17500.02</v>
      </c>
      <c r="R218" s="31">
        <f t="shared" si="70"/>
        <v>17500.02</v>
      </c>
      <c r="S218" s="31">
        <f t="shared" si="71"/>
        <v>0</v>
      </c>
      <c r="T218" s="31">
        <f t="shared" si="72"/>
        <v>0</v>
      </c>
      <c r="U218" s="31">
        <f t="shared" si="73"/>
        <v>0</v>
      </c>
      <c r="V218" s="31">
        <f t="shared" si="74"/>
        <v>0</v>
      </c>
      <c r="W218" s="31">
        <f t="shared" si="75"/>
        <v>0</v>
      </c>
      <c r="X218" s="116"/>
      <c r="Y218" s="115">
        <f t="shared" si="59"/>
        <v>0</v>
      </c>
      <c r="Z218" s="116"/>
    </row>
    <row r="219" spans="1:26" s="36" customFormat="1" ht="24.75" customHeight="1" outlineLevel="2" x14ac:dyDescent="0.35">
      <c r="A219" s="26" t="s">
        <v>443</v>
      </c>
      <c r="B219" s="27" t="s">
        <v>10</v>
      </c>
      <c r="C219" s="28">
        <f t="shared" si="67"/>
        <v>0</v>
      </c>
      <c r="D219" s="29"/>
      <c r="E219" s="29">
        <v>3</v>
      </c>
      <c r="F219" s="29"/>
      <c r="G219" s="29">
        <v>2</v>
      </c>
      <c r="H219" s="29"/>
      <c r="I219" s="29"/>
      <c r="J219" s="29">
        <v>1</v>
      </c>
      <c r="K219" s="29">
        <f t="shared" ref="K219:K226" si="76">AVERAGE(L219:N219)</f>
        <v>805.14</v>
      </c>
      <c r="L219" s="29">
        <v>653.28</v>
      </c>
      <c r="M219" s="29">
        <v>957</v>
      </c>
      <c r="N219" s="29"/>
      <c r="O219" s="29">
        <f t="shared" si="69"/>
        <v>0</v>
      </c>
      <c r="P219" s="35">
        <v>165</v>
      </c>
      <c r="Q219" s="21">
        <f t="shared" si="50"/>
        <v>4025.7</v>
      </c>
      <c r="R219" s="31">
        <f t="shared" si="70"/>
        <v>0</v>
      </c>
      <c r="S219" s="31">
        <f t="shared" si="71"/>
        <v>2415.42</v>
      </c>
      <c r="T219" s="31">
        <f t="shared" si="72"/>
        <v>0</v>
      </c>
      <c r="U219" s="31">
        <f t="shared" si="73"/>
        <v>1610.28</v>
      </c>
      <c r="V219" s="31">
        <f t="shared" si="74"/>
        <v>0</v>
      </c>
      <c r="W219" s="31">
        <f t="shared" si="75"/>
        <v>0</v>
      </c>
      <c r="X219" s="116"/>
      <c r="Y219" s="115">
        <f t="shared" si="59"/>
        <v>-2.2737367544323206E-13</v>
      </c>
      <c r="Z219" s="116"/>
    </row>
    <row r="220" spans="1:26" s="36" customFormat="1" ht="24.75" customHeight="1" outlineLevel="2" x14ac:dyDescent="0.35">
      <c r="A220" s="26" t="s">
        <v>444</v>
      </c>
      <c r="B220" s="27" t="s">
        <v>10</v>
      </c>
      <c r="C220" s="28">
        <f t="shared" si="67"/>
        <v>0</v>
      </c>
      <c r="D220" s="29">
        <v>2</v>
      </c>
      <c r="E220" s="29">
        <v>3</v>
      </c>
      <c r="F220" s="29"/>
      <c r="G220" s="29">
        <v>2</v>
      </c>
      <c r="H220" s="29">
        <v>1</v>
      </c>
      <c r="I220" s="29"/>
      <c r="J220" s="29">
        <v>1</v>
      </c>
      <c r="K220" s="29">
        <f t="shared" si="76"/>
        <v>754.68999999999994</v>
      </c>
      <c r="L220" s="29">
        <v>459.58</v>
      </c>
      <c r="M220" s="29">
        <v>701.49</v>
      </c>
      <c r="N220" s="29">
        <v>1103</v>
      </c>
      <c r="O220" s="29">
        <f t="shared" si="69"/>
        <v>0</v>
      </c>
      <c r="P220" s="35">
        <v>166</v>
      </c>
      <c r="Q220" s="21">
        <f t="shared" si="50"/>
        <v>6037.5199999999995</v>
      </c>
      <c r="R220" s="31">
        <f t="shared" si="70"/>
        <v>1509.3799999999999</v>
      </c>
      <c r="S220" s="31">
        <f t="shared" si="71"/>
        <v>2264.0699999999997</v>
      </c>
      <c r="T220" s="31">
        <f t="shared" si="72"/>
        <v>0</v>
      </c>
      <c r="U220" s="31">
        <f t="shared" si="73"/>
        <v>1509.3799999999999</v>
      </c>
      <c r="V220" s="31">
        <f t="shared" si="74"/>
        <v>754.68999999999994</v>
      </c>
      <c r="W220" s="31">
        <f t="shared" si="75"/>
        <v>0</v>
      </c>
      <c r="X220" s="116"/>
      <c r="Y220" s="115">
        <f t="shared" si="59"/>
        <v>-1.1368683772161603E-13</v>
      </c>
      <c r="Z220" s="116"/>
    </row>
    <row r="221" spans="1:26" s="36" customFormat="1" ht="24.75" customHeight="1" outlineLevel="2" x14ac:dyDescent="0.35">
      <c r="A221" s="26" t="s">
        <v>445</v>
      </c>
      <c r="B221" s="27" t="s">
        <v>10</v>
      </c>
      <c r="C221" s="28">
        <f t="shared" si="67"/>
        <v>0</v>
      </c>
      <c r="D221" s="29"/>
      <c r="E221" s="29"/>
      <c r="F221" s="29"/>
      <c r="G221" s="29"/>
      <c r="H221" s="29"/>
      <c r="I221" s="29">
        <v>1</v>
      </c>
      <c r="J221" s="29">
        <v>1</v>
      </c>
      <c r="K221" s="29">
        <f t="shared" si="76"/>
        <v>726.59666666666669</v>
      </c>
      <c r="L221" s="29">
        <v>326.64</v>
      </c>
      <c r="M221" s="29">
        <v>1085.07</v>
      </c>
      <c r="N221" s="29">
        <v>768.08</v>
      </c>
      <c r="O221" s="29">
        <f t="shared" si="69"/>
        <v>0</v>
      </c>
      <c r="P221" s="35">
        <v>167</v>
      </c>
      <c r="Q221" s="21">
        <f t="shared" si="50"/>
        <v>726.59666666666669</v>
      </c>
      <c r="R221" s="31">
        <f t="shared" si="70"/>
        <v>0</v>
      </c>
      <c r="S221" s="31">
        <f t="shared" si="71"/>
        <v>0</v>
      </c>
      <c r="T221" s="31">
        <f t="shared" si="72"/>
        <v>0</v>
      </c>
      <c r="U221" s="31">
        <f t="shared" si="73"/>
        <v>0</v>
      </c>
      <c r="V221" s="31">
        <f t="shared" si="74"/>
        <v>0</v>
      </c>
      <c r="W221" s="31">
        <f t="shared" si="75"/>
        <v>726.59666666666669</v>
      </c>
      <c r="X221" s="116"/>
      <c r="Y221" s="115">
        <f t="shared" si="59"/>
        <v>0</v>
      </c>
      <c r="Z221" s="116"/>
    </row>
    <row r="222" spans="1:26" s="36" customFormat="1" ht="24.75" customHeight="1" outlineLevel="2" x14ac:dyDescent="0.35">
      <c r="A222" s="26" t="s">
        <v>446</v>
      </c>
      <c r="B222" s="27" t="s">
        <v>10</v>
      </c>
      <c r="C222" s="28">
        <f t="shared" si="67"/>
        <v>0</v>
      </c>
      <c r="D222" s="29"/>
      <c r="E222" s="29"/>
      <c r="F222" s="29"/>
      <c r="G222" s="29"/>
      <c r="H222" s="29"/>
      <c r="I222" s="29">
        <v>6</v>
      </c>
      <c r="J222" s="29">
        <v>1</v>
      </c>
      <c r="K222" s="29">
        <f t="shared" si="76"/>
        <v>213.02</v>
      </c>
      <c r="L222" s="29">
        <v>213.02</v>
      </c>
      <c r="M222" s="29"/>
      <c r="N222" s="29"/>
      <c r="O222" s="29">
        <f t="shared" si="69"/>
        <v>0</v>
      </c>
      <c r="P222" s="35">
        <v>168</v>
      </c>
      <c r="Q222" s="21">
        <f t="shared" si="50"/>
        <v>1278.1200000000001</v>
      </c>
      <c r="R222" s="31">
        <f t="shared" si="70"/>
        <v>0</v>
      </c>
      <c r="S222" s="31">
        <f t="shared" si="71"/>
        <v>0</v>
      </c>
      <c r="T222" s="31">
        <f t="shared" si="72"/>
        <v>0</v>
      </c>
      <c r="U222" s="31">
        <f t="shared" si="73"/>
        <v>0</v>
      </c>
      <c r="V222" s="31">
        <f t="shared" si="74"/>
        <v>0</v>
      </c>
      <c r="W222" s="31">
        <f t="shared" si="75"/>
        <v>1278.1200000000001</v>
      </c>
      <c r="X222" s="116"/>
      <c r="Y222" s="115">
        <f t="shared" si="59"/>
        <v>0</v>
      </c>
      <c r="Z222" s="116"/>
    </row>
    <row r="223" spans="1:26" s="36" customFormat="1" ht="24.75" customHeight="1" outlineLevel="2" x14ac:dyDescent="0.35">
      <c r="A223" s="26" t="s">
        <v>447</v>
      </c>
      <c r="B223" s="27" t="s">
        <v>10</v>
      </c>
      <c r="C223" s="28"/>
      <c r="D223" s="29"/>
      <c r="E223" s="29"/>
      <c r="F223" s="29"/>
      <c r="G223" s="29"/>
      <c r="H223" s="29"/>
      <c r="I223" s="29"/>
      <c r="J223" s="29">
        <v>1</v>
      </c>
      <c r="K223" s="29">
        <f t="shared" si="76"/>
        <v>224.4</v>
      </c>
      <c r="L223" s="29">
        <v>264.08999999999997</v>
      </c>
      <c r="M223" s="29">
        <v>281.10000000000002</v>
      </c>
      <c r="N223" s="29">
        <v>128.01</v>
      </c>
      <c r="O223" s="29">
        <f t="shared" si="69"/>
        <v>0</v>
      </c>
      <c r="P223" s="35">
        <v>169</v>
      </c>
      <c r="Q223" s="21">
        <f t="shared" si="50"/>
        <v>0</v>
      </c>
      <c r="R223" s="31">
        <f t="shared" si="70"/>
        <v>0</v>
      </c>
      <c r="S223" s="31">
        <f t="shared" si="71"/>
        <v>0</v>
      </c>
      <c r="T223" s="31">
        <f t="shared" si="72"/>
        <v>0</v>
      </c>
      <c r="U223" s="31">
        <f t="shared" si="73"/>
        <v>0</v>
      </c>
      <c r="V223" s="31">
        <f t="shared" si="74"/>
        <v>0</v>
      </c>
      <c r="W223" s="31">
        <f t="shared" si="75"/>
        <v>0</v>
      </c>
      <c r="X223" s="116"/>
      <c r="Y223" s="115">
        <f t="shared" si="59"/>
        <v>0</v>
      </c>
      <c r="Z223" s="116"/>
    </row>
    <row r="224" spans="1:26" s="36" customFormat="1" ht="24.75" customHeight="1" outlineLevel="2" x14ac:dyDescent="0.35">
      <c r="A224" s="26" t="s">
        <v>448</v>
      </c>
      <c r="B224" s="27" t="s">
        <v>136</v>
      </c>
      <c r="C224" s="28">
        <f t="shared" si="67"/>
        <v>0</v>
      </c>
      <c r="D224" s="29"/>
      <c r="E224" s="29"/>
      <c r="F224" s="29"/>
      <c r="G224" s="29"/>
      <c r="H224" s="29"/>
      <c r="I224" s="29">
        <v>17</v>
      </c>
      <c r="J224" s="29">
        <v>1</v>
      </c>
      <c r="K224" s="29">
        <f t="shared" si="76"/>
        <v>203.1372549019608</v>
      </c>
      <c r="L224" s="29">
        <f>2160/17</f>
        <v>127.05882352941177</v>
      </c>
      <c r="M224" s="29">
        <f>3400/17</f>
        <v>200</v>
      </c>
      <c r="N224" s="29">
        <f>4800/17</f>
        <v>282.35294117647061</v>
      </c>
      <c r="O224" s="29">
        <f t="shared" si="69"/>
        <v>0</v>
      </c>
      <c r="P224" s="35">
        <v>177</v>
      </c>
      <c r="Q224" s="21">
        <f t="shared" si="50"/>
        <v>3453.3333333333335</v>
      </c>
      <c r="R224" s="31">
        <f t="shared" si="70"/>
        <v>0</v>
      </c>
      <c r="S224" s="31">
        <f t="shared" si="71"/>
        <v>0</v>
      </c>
      <c r="T224" s="31">
        <f t="shared" si="72"/>
        <v>0</v>
      </c>
      <c r="U224" s="31">
        <f t="shared" si="73"/>
        <v>0</v>
      </c>
      <c r="V224" s="31">
        <f t="shared" si="74"/>
        <v>0</v>
      </c>
      <c r="W224" s="31">
        <f t="shared" si="75"/>
        <v>3453.3333333333335</v>
      </c>
      <c r="X224" s="116"/>
      <c r="Y224" s="115">
        <f t="shared" si="59"/>
        <v>0</v>
      </c>
      <c r="Z224" s="116"/>
    </row>
    <row r="225" spans="1:26" s="36" customFormat="1" ht="24.75" customHeight="1" outlineLevel="2" x14ac:dyDescent="0.35">
      <c r="A225" s="26" t="s">
        <v>449</v>
      </c>
      <c r="B225" s="27" t="s">
        <v>10</v>
      </c>
      <c r="C225" s="28">
        <f t="shared" si="67"/>
        <v>0</v>
      </c>
      <c r="D225" s="29">
        <v>2</v>
      </c>
      <c r="E225" s="29"/>
      <c r="F225" s="29"/>
      <c r="G225" s="29"/>
      <c r="H225" s="29"/>
      <c r="I225" s="29"/>
      <c r="J225" s="29">
        <v>1</v>
      </c>
      <c r="K225" s="29">
        <f t="shared" si="76"/>
        <v>292.6466666666667</v>
      </c>
      <c r="L225" s="29">
        <v>277.94</v>
      </c>
      <c r="M225" s="29">
        <v>290</v>
      </c>
      <c r="N225" s="29">
        <v>310</v>
      </c>
      <c r="O225" s="29">
        <f t="shared" si="69"/>
        <v>0</v>
      </c>
      <c r="P225" s="35">
        <v>176</v>
      </c>
      <c r="Q225" s="21">
        <f t="shared" si="50"/>
        <v>585.29333333333341</v>
      </c>
      <c r="R225" s="31">
        <f t="shared" si="70"/>
        <v>585.29333333333341</v>
      </c>
      <c r="S225" s="31">
        <f t="shared" si="71"/>
        <v>0</v>
      </c>
      <c r="T225" s="31">
        <f t="shared" si="72"/>
        <v>0</v>
      </c>
      <c r="U225" s="31">
        <f t="shared" si="73"/>
        <v>0</v>
      </c>
      <c r="V225" s="31">
        <f t="shared" si="74"/>
        <v>0</v>
      </c>
      <c r="W225" s="31">
        <f t="shared" si="75"/>
        <v>0</v>
      </c>
      <c r="X225" s="116"/>
      <c r="Y225" s="115">
        <f t="shared" si="59"/>
        <v>0</v>
      </c>
      <c r="Z225" s="116"/>
    </row>
    <row r="226" spans="1:26" s="36" customFormat="1" ht="24.75" customHeight="1" outlineLevel="2" x14ac:dyDescent="0.35">
      <c r="A226" s="26" t="s">
        <v>450</v>
      </c>
      <c r="B226" s="27" t="s">
        <v>10</v>
      </c>
      <c r="C226" s="28"/>
      <c r="D226" s="29"/>
      <c r="E226" s="29"/>
      <c r="F226" s="29"/>
      <c r="G226" s="29"/>
      <c r="H226" s="29"/>
      <c r="I226" s="29"/>
      <c r="J226" s="29">
        <v>1</v>
      </c>
      <c r="K226" s="29">
        <f t="shared" si="76"/>
        <v>452.95666666666665</v>
      </c>
      <c r="L226" s="29">
        <v>408.87</v>
      </c>
      <c r="M226" s="29">
        <v>465</v>
      </c>
      <c r="N226" s="29">
        <v>485</v>
      </c>
      <c r="O226" s="29">
        <f t="shared" si="69"/>
        <v>0</v>
      </c>
      <c r="P226" s="35">
        <v>171</v>
      </c>
      <c r="Q226" s="21">
        <f t="shared" si="50"/>
        <v>0</v>
      </c>
      <c r="R226" s="31">
        <f t="shared" si="70"/>
        <v>0</v>
      </c>
      <c r="S226" s="31">
        <f t="shared" si="71"/>
        <v>0</v>
      </c>
      <c r="T226" s="31">
        <f t="shared" si="72"/>
        <v>0</v>
      </c>
      <c r="U226" s="31">
        <f t="shared" si="73"/>
        <v>0</v>
      </c>
      <c r="V226" s="31">
        <f t="shared" si="74"/>
        <v>0</v>
      </c>
      <c r="W226" s="31">
        <f t="shared" si="75"/>
        <v>0</v>
      </c>
      <c r="X226" s="116"/>
      <c r="Y226" s="115">
        <f t="shared" si="59"/>
        <v>0</v>
      </c>
      <c r="Z226" s="116"/>
    </row>
    <row r="227" spans="1:26" s="36" customFormat="1" ht="24.75" customHeight="1" outlineLevel="2" x14ac:dyDescent="0.35">
      <c r="A227" s="26" t="s">
        <v>451</v>
      </c>
      <c r="B227" s="27" t="s">
        <v>10</v>
      </c>
      <c r="C227" s="28">
        <f t="shared" si="67"/>
        <v>0</v>
      </c>
      <c r="D227" s="29">
        <v>9</v>
      </c>
      <c r="E227" s="29"/>
      <c r="F227" s="29"/>
      <c r="G227" s="29"/>
      <c r="H227" s="29"/>
      <c r="I227" s="29">
        <v>1</v>
      </c>
      <c r="J227" s="29">
        <v>1</v>
      </c>
      <c r="K227" s="29">
        <f>AVERAGE(L227:N227)</f>
        <v>1856.5366666666669</v>
      </c>
      <c r="L227" s="29">
        <v>1728.58</v>
      </c>
      <c r="M227" s="29">
        <v>1923.84</v>
      </c>
      <c r="N227" s="29">
        <v>1917.19</v>
      </c>
      <c r="O227" s="29">
        <f t="shared" si="69"/>
        <v>0</v>
      </c>
      <c r="P227" s="35">
        <v>172</v>
      </c>
      <c r="Q227" s="21">
        <f t="shared" si="50"/>
        <v>18565.366666666669</v>
      </c>
      <c r="R227" s="31">
        <f t="shared" si="70"/>
        <v>16708.830000000002</v>
      </c>
      <c r="S227" s="31">
        <f t="shared" si="71"/>
        <v>0</v>
      </c>
      <c r="T227" s="31">
        <f t="shared" si="72"/>
        <v>0</v>
      </c>
      <c r="U227" s="31">
        <f t="shared" si="73"/>
        <v>0</v>
      </c>
      <c r="V227" s="31">
        <f t="shared" si="74"/>
        <v>0</v>
      </c>
      <c r="W227" s="31">
        <f t="shared" si="75"/>
        <v>1856.5366666666669</v>
      </c>
      <c r="X227" s="116"/>
      <c r="Y227" s="115">
        <f t="shared" si="59"/>
        <v>0</v>
      </c>
      <c r="Z227" s="116"/>
    </row>
    <row r="228" spans="1:26" s="36" customFormat="1" ht="24.75" customHeight="1" outlineLevel="2" x14ac:dyDescent="0.35">
      <c r="A228" s="26" t="s">
        <v>453</v>
      </c>
      <c r="B228" s="27" t="s">
        <v>10</v>
      </c>
      <c r="C228" s="28">
        <f t="shared" si="67"/>
        <v>0</v>
      </c>
      <c r="D228" s="29"/>
      <c r="E228" s="29"/>
      <c r="F228" s="29"/>
      <c r="G228" s="29"/>
      <c r="H228" s="29"/>
      <c r="I228" s="29">
        <v>4</v>
      </c>
      <c r="J228" s="29">
        <v>1</v>
      </c>
      <c r="K228" s="29">
        <f>AVERAGE(L228:N228)</f>
        <v>869.09666666666669</v>
      </c>
      <c r="L228" s="29">
        <v>864.29</v>
      </c>
      <c r="M228" s="29">
        <v>786</v>
      </c>
      <c r="N228" s="29">
        <v>957</v>
      </c>
      <c r="O228" s="29">
        <f t="shared" si="69"/>
        <v>0</v>
      </c>
      <c r="P228" s="35">
        <v>173</v>
      </c>
      <c r="Q228" s="21">
        <f t="shared" si="50"/>
        <v>3476.3866666666668</v>
      </c>
      <c r="R228" s="31">
        <f t="shared" si="70"/>
        <v>0</v>
      </c>
      <c r="S228" s="31">
        <f t="shared" si="71"/>
        <v>0</v>
      </c>
      <c r="T228" s="31">
        <f t="shared" si="72"/>
        <v>0</v>
      </c>
      <c r="U228" s="31">
        <f t="shared" si="73"/>
        <v>0</v>
      </c>
      <c r="V228" s="31">
        <f t="shared" si="74"/>
        <v>0</v>
      </c>
      <c r="W228" s="31">
        <f t="shared" si="75"/>
        <v>3476.3866666666668</v>
      </c>
      <c r="X228" s="116"/>
      <c r="Y228" s="115">
        <f t="shared" si="59"/>
        <v>0</v>
      </c>
      <c r="Z228" s="116"/>
    </row>
    <row r="229" spans="1:26" s="36" customFormat="1" ht="24.75" customHeight="1" outlineLevel="2" x14ac:dyDescent="0.35">
      <c r="A229" s="26" t="s">
        <v>454</v>
      </c>
      <c r="B229" s="27" t="s">
        <v>10</v>
      </c>
      <c r="C229" s="28">
        <f t="shared" si="67"/>
        <v>0</v>
      </c>
      <c r="D229" s="29">
        <v>2</v>
      </c>
      <c r="E229" s="29"/>
      <c r="F229" s="29"/>
      <c r="G229" s="29"/>
      <c r="H229" s="29"/>
      <c r="I229" s="29">
        <v>1</v>
      </c>
      <c r="J229" s="29">
        <v>1</v>
      </c>
      <c r="K229" s="29">
        <f>AVERAGE(L229:N229)</f>
        <v>288.40000000000003</v>
      </c>
      <c r="L229" s="29">
        <v>408.87</v>
      </c>
      <c r="M229" s="29">
        <v>281.10000000000002</v>
      </c>
      <c r="N229" s="29">
        <v>175.23</v>
      </c>
      <c r="O229" s="29">
        <f t="shared" si="69"/>
        <v>0</v>
      </c>
      <c r="P229" s="35">
        <v>174</v>
      </c>
      <c r="Q229" s="21">
        <f t="shared" ref="Q229:Q292" si="77">SUM(R229:W229)</f>
        <v>865.2</v>
      </c>
      <c r="R229" s="31">
        <f t="shared" si="70"/>
        <v>576.80000000000007</v>
      </c>
      <c r="S229" s="31">
        <f t="shared" si="71"/>
        <v>0</v>
      </c>
      <c r="T229" s="31">
        <f t="shared" si="72"/>
        <v>0</v>
      </c>
      <c r="U229" s="31">
        <f t="shared" si="73"/>
        <v>0</v>
      </c>
      <c r="V229" s="31">
        <f t="shared" si="74"/>
        <v>0</v>
      </c>
      <c r="W229" s="31">
        <f t="shared" si="75"/>
        <v>288.40000000000003</v>
      </c>
      <c r="X229" s="116"/>
      <c r="Y229" s="115">
        <f t="shared" si="59"/>
        <v>0</v>
      </c>
      <c r="Z229" s="116"/>
    </row>
    <row r="230" spans="1:26" s="36" customFormat="1" ht="24.75" customHeight="1" outlineLevel="2" x14ac:dyDescent="0.35">
      <c r="A230" s="26" t="s">
        <v>455</v>
      </c>
      <c r="B230" s="27" t="s">
        <v>10</v>
      </c>
      <c r="C230" s="28">
        <f t="shared" si="67"/>
        <v>0</v>
      </c>
      <c r="D230" s="29">
        <v>3</v>
      </c>
      <c r="E230" s="29"/>
      <c r="F230" s="29"/>
      <c r="G230" s="29"/>
      <c r="H230" s="29"/>
      <c r="I230" s="29"/>
      <c r="J230" s="29">
        <v>1</v>
      </c>
      <c r="K230" s="29">
        <f>AVERAGE(L230:N230)</f>
        <v>548.16</v>
      </c>
      <c r="L230" s="29">
        <v>938.2</v>
      </c>
      <c r="M230" s="29">
        <v>541.14</v>
      </c>
      <c r="N230" s="29">
        <v>165.14</v>
      </c>
      <c r="O230" s="29">
        <f t="shared" si="69"/>
        <v>0</v>
      </c>
      <c r="P230" s="35">
        <v>175</v>
      </c>
      <c r="Q230" s="21">
        <f t="shared" si="77"/>
        <v>1644.48</v>
      </c>
      <c r="R230" s="31">
        <f t="shared" si="70"/>
        <v>1644.48</v>
      </c>
      <c r="S230" s="31">
        <f t="shared" si="71"/>
        <v>0</v>
      </c>
      <c r="T230" s="31">
        <f t="shared" si="72"/>
        <v>0</v>
      </c>
      <c r="U230" s="31">
        <f t="shared" si="73"/>
        <v>0</v>
      </c>
      <c r="V230" s="31">
        <f t="shared" si="74"/>
        <v>0</v>
      </c>
      <c r="W230" s="31">
        <f t="shared" si="75"/>
        <v>0</v>
      </c>
      <c r="X230" s="116"/>
      <c r="Y230" s="115">
        <f t="shared" si="59"/>
        <v>0</v>
      </c>
      <c r="Z230" s="116"/>
    </row>
    <row r="231" spans="1:26" s="36" customFormat="1" ht="24.75" customHeight="1" outlineLevel="2" x14ac:dyDescent="0.35">
      <c r="A231" s="26" t="s">
        <v>226</v>
      </c>
      <c r="B231" s="27" t="s">
        <v>8</v>
      </c>
      <c r="C231" s="28">
        <f t="shared" si="67"/>
        <v>4.2417815482502655E-3</v>
      </c>
      <c r="D231" s="29">
        <v>4</v>
      </c>
      <c r="E231" s="29">
        <v>4</v>
      </c>
      <c r="F231" s="29">
        <v>4</v>
      </c>
      <c r="G231" s="29">
        <v>4</v>
      </c>
      <c r="H231" s="29">
        <v>4</v>
      </c>
      <c r="I231" s="29">
        <v>4</v>
      </c>
      <c r="J231" s="29">
        <v>1</v>
      </c>
      <c r="K231" s="29">
        <f>AVERAGE(L231:N231)</f>
        <v>4466.666666666667</v>
      </c>
      <c r="L231" s="29">
        <v>4900</v>
      </c>
      <c r="M231" s="29">
        <v>4000</v>
      </c>
      <c r="N231" s="29">
        <v>4500</v>
      </c>
      <c r="O231" s="29">
        <f t="shared" si="69"/>
        <v>18.946624248851187</v>
      </c>
      <c r="P231" s="35">
        <v>178</v>
      </c>
      <c r="Q231" s="21">
        <f t="shared" si="77"/>
        <v>107200.00000000001</v>
      </c>
      <c r="R231" s="31">
        <f t="shared" si="70"/>
        <v>17866.666666666668</v>
      </c>
      <c r="S231" s="31">
        <f t="shared" si="71"/>
        <v>17866.666666666668</v>
      </c>
      <c r="T231" s="31">
        <f t="shared" si="72"/>
        <v>17866.666666666668</v>
      </c>
      <c r="U231" s="31">
        <f t="shared" si="73"/>
        <v>17866.666666666668</v>
      </c>
      <c r="V231" s="31">
        <f t="shared" si="74"/>
        <v>17866.666666666668</v>
      </c>
      <c r="W231" s="31">
        <f t="shared" si="75"/>
        <v>17866.666666666668</v>
      </c>
      <c r="X231" s="116"/>
      <c r="Y231" s="115">
        <f t="shared" si="59"/>
        <v>0</v>
      </c>
      <c r="Z231" s="116"/>
    </row>
    <row r="232" spans="1:26" s="32" customFormat="1" ht="15" customHeight="1" outlineLevel="2" collapsed="1" x14ac:dyDescent="0.35">
      <c r="A232" s="33" t="s">
        <v>64</v>
      </c>
      <c r="B232" s="34" t="s">
        <v>3</v>
      </c>
      <c r="C232" s="34" t="s">
        <v>3</v>
      </c>
      <c r="D232" s="34" t="s">
        <v>3</v>
      </c>
      <c r="E232" s="34" t="s">
        <v>3</v>
      </c>
      <c r="F232" s="34" t="s">
        <v>3</v>
      </c>
      <c r="G232" s="34" t="s">
        <v>3</v>
      </c>
      <c r="H232" s="34" t="s">
        <v>3</v>
      </c>
      <c r="I232" s="34" t="s">
        <v>3</v>
      </c>
      <c r="J232" s="34" t="s">
        <v>3</v>
      </c>
      <c r="K232" s="34" t="s">
        <v>3</v>
      </c>
      <c r="L232" s="34"/>
      <c r="M232" s="34"/>
      <c r="N232" s="34"/>
      <c r="O232" s="29">
        <f>SUM(O233:O250)</f>
        <v>48.875433015199718</v>
      </c>
      <c r="P232" s="34" t="s">
        <v>3</v>
      </c>
      <c r="Q232" s="21">
        <f t="shared" si="77"/>
        <v>155521.62785436551</v>
      </c>
      <c r="R232" s="31">
        <f t="shared" ref="R232:W232" si="78">SUM(R233:R250)</f>
        <v>23323.356634853306</v>
      </c>
      <c r="S232" s="31">
        <f t="shared" si="78"/>
        <v>35146.323881230121</v>
      </c>
      <c r="T232" s="31">
        <f t="shared" si="78"/>
        <v>46089.533333333333</v>
      </c>
      <c r="U232" s="31">
        <f t="shared" si="78"/>
        <v>5327.4221986567691</v>
      </c>
      <c r="V232" s="31">
        <f t="shared" si="78"/>
        <v>4916.8685613290909</v>
      </c>
      <c r="W232" s="31">
        <f t="shared" si="78"/>
        <v>40718.123244962888</v>
      </c>
      <c r="X232" s="116"/>
      <c r="Y232" s="115">
        <f t="shared" si="59"/>
        <v>0</v>
      </c>
      <c r="Z232" s="116"/>
    </row>
    <row r="233" spans="1:26" s="32" customFormat="1" ht="24.75" hidden="1" customHeight="1" outlineLevel="3" x14ac:dyDescent="0.35">
      <c r="A233" s="37" t="s">
        <v>240</v>
      </c>
      <c r="B233" s="27" t="s">
        <v>10</v>
      </c>
      <c r="C233" s="28">
        <f t="shared" ref="C233:C250" si="79">F233/$T$2</f>
        <v>0</v>
      </c>
      <c r="D233" s="120">
        <f t="shared" ref="D233:D250" si="80">$C233*R$2</f>
        <v>0</v>
      </c>
      <c r="E233" s="120">
        <f t="shared" ref="E233:E250" si="81">$C233*S$2</f>
        <v>0</v>
      </c>
      <c r="F233" s="120"/>
      <c r="G233" s="120">
        <f t="shared" ref="G233:G250" si="82">$C233*U$2</f>
        <v>0</v>
      </c>
      <c r="H233" s="120">
        <f t="shared" ref="H233:H250" si="83">$C233*V$2</f>
        <v>0</v>
      </c>
      <c r="I233" s="120">
        <f t="shared" ref="I233:I250" si="84">$C233*W$2</f>
        <v>0</v>
      </c>
      <c r="J233" s="29">
        <v>1</v>
      </c>
      <c r="K233" s="29">
        <f t="shared" ref="K233:K241" si="85">AVERAGE(L233:N233)</f>
        <v>378</v>
      </c>
      <c r="L233" s="29">
        <v>378</v>
      </c>
      <c r="M233" s="29"/>
      <c r="N233" s="29"/>
      <c r="O233" s="29">
        <f t="shared" si="69"/>
        <v>0</v>
      </c>
      <c r="P233" s="35">
        <v>179</v>
      </c>
      <c r="Q233" s="21">
        <f t="shared" si="77"/>
        <v>0</v>
      </c>
      <c r="R233" s="31">
        <f t="shared" ref="R233:R250" si="86">D233*$K233/$J233</f>
        <v>0</v>
      </c>
      <c r="S233" s="31">
        <f t="shared" ref="S233:S250" si="87">E233*$K233/$J233</f>
        <v>0</v>
      </c>
      <c r="T233" s="31">
        <f t="shared" ref="T233:T250" si="88">F233*$K233/$J233</f>
        <v>0</v>
      </c>
      <c r="U233" s="31">
        <f t="shared" ref="U233:U250" si="89">G233*$K233/$J233</f>
        <v>0</v>
      </c>
      <c r="V233" s="31">
        <f t="shared" ref="V233:V250" si="90">H233*$K233/$J233</f>
        <v>0</v>
      </c>
      <c r="W233" s="31">
        <f t="shared" ref="W233:W250" si="91">I233*$K233/$J233</f>
        <v>0</v>
      </c>
      <c r="X233" s="116"/>
      <c r="Y233" s="115">
        <f t="shared" si="59"/>
        <v>0</v>
      </c>
      <c r="Z233" s="116"/>
    </row>
    <row r="234" spans="1:26" s="32" customFormat="1" ht="24.75" hidden="1" customHeight="1" outlineLevel="3" x14ac:dyDescent="0.35">
      <c r="A234" s="37" t="s">
        <v>241</v>
      </c>
      <c r="B234" s="27" t="s">
        <v>10</v>
      </c>
      <c r="C234" s="28">
        <f t="shared" si="79"/>
        <v>0</v>
      </c>
      <c r="D234" s="120">
        <f t="shared" si="80"/>
        <v>0</v>
      </c>
      <c r="E234" s="120">
        <f t="shared" si="81"/>
        <v>0</v>
      </c>
      <c r="F234" s="120"/>
      <c r="G234" s="120">
        <f t="shared" si="82"/>
        <v>0</v>
      </c>
      <c r="H234" s="120">
        <f t="shared" si="83"/>
        <v>0</v>
      </c>
      <c r="I234" s="120">
        <f t="shared" si="84"/>
        <v>0</v>
      </c>
      <c r="J234" s="29">
        <v>1</v>
      </c>
      <c r="K234" s="29">
        <f t="shared" si="85"/>
        <v>80</v>
      </c>
      <c r="L234" s="29">
        <v>80</v>
      </c>
      <c r="M234" s="29"/>
      <c r="N234" s="29"/>
      <c r="O234" s="29">
        <f t="shared" si="69"/>
        <v>0</v>
      </c>
      <c r="P234" s="35">
        <v>180</v>
      </c>
      <c r="Q234" s="21">
        <f t="shared" si="77"/>
        <v>0</v>
      </c>
      <c r="R234" s="31">
        <f t="shared" si="86"/>
        <v>0</v>
      </c>
      <c r="S234" s="31">
        <f t="shared" si="87"/>
        <v>0</v>
      </c>
      <c r="T234" s="31">
        <f t="shared" si="88"/>
        <v>0</v>
      </c>
      <c r="U234" s="31">
        <f t="shared" si="89"/>
        <v>0</v>
      </c>
      <c r="V234" s="31">
        <f t="shared" si="90"/>
        <v>0</v>
      </c>
      <c r="W234" s="31">
        <f t="shared" si="91"/>
        <v>0</v>
      </c>
      <c r="X234" s="116"/>
      <c r="Y234" s="115">
        <f t="shared" si="59"/>
        <v>0</v>
      </c>
      <c r="Z234" s="116"/>
    </row>
    <row r="235" spans="1:26" s="32" customFormat="1" ht="24.75" hidden="1" customHeight="1" outlineLevel="3" x14ac:dyDescent="0.35">
      <c r="A235" s="37" t="s">
        <v>242</v>
      </c>
      <c r="B235" s="27" t="s">
        <v>10</v>
      </c>
      <c r="C235" s="28">
        <f t="shared" si="79"/>
        <v>0</v>
      </c>
      <c r="D235" s="120">
        <f t="shared" si="80"/>
        <v>0</v>
      </c>
      <c r="E235" s="120">
        <f t="shared" si="81"/>
        <v>0</v>
      </c>
      <c r="F235" s="120"/>
      <c r="G235" s="120">
        <f t="shared" si="82"/>
        <v>0</v>
      </c>
      <c r="H235" s="120">
        <f t="shared" si="83"/>
        <v>0</v>
      </c>
      <c r="I235" s="120">
        <f t="shared" si="84"/>
        <v>0</v>
      </c>
      <c r="J235" s="29">
        <v>1</v>
      </c>
      <c r="K235" s="29">
        <f t="shared" si="85"/>
        <v>100</v>
      </c>
      <c r="L235" s="29">
        <v>100</v>
      </c>
      <c r="M235" s="29"/>
      <c r="N235" s="29"/>
      <c r="O235" s="29">
        <f t="shared" si="69"/>
        <v>0</v>
      </c>
      <c r="P235" s="35">
        <v>181</v>
      </c>
      <c r="Q235" s="21">
        <f t="shared" si="77"/>
        <v>0</v>
      </c>
      <c r="R235" s="31">
        <f t="shared" si="86"/>
        <v>0</v>
      </c>
      <c r="S235" s="31">
        <f t="shared" si="87"/>
        <v>0</v>
      </c>
      <c r="T235" s="31">
        <f t="shared" si="88"/>
        <v>0</v>
      </c>
      <c r="U235" s="31">
        <f t="shared" si="89"/>
        <v>0</v>
      </c>
      <c r="V235" s="31">
        <f t="shared" si="90"/>
        <v>0</v>
      </c>
      <c r="W235" s="31">
        <f t="shared" si="91"/>
        <v>0</v>
      </c>
      <c r="X235" s="116"/>
      <c r="Y235" s="115">
        <f t="shared" si="59"/>
        <v>0</v>
      </c>
      <c r="Z235" s="116"/>
    </row>
    <row r="236" spans="1:26" s="32" customFormat="1" ht="24.75" hidden="1" customHeight="1" outlineLevel="3" x14ac:dyDescent="0.35">
      <c r="A236" s="37" t="s">
        <v>19</v>
      </c>
      <c r="B236" s="27" t="s">
        <v>10</v>
      </c>
      <c r="C236" s="28">
        <f t="shared" si="79"/>
        <v>0.53022269353128315</v>
      </c>
      <c r="D236" s="120">
        <f t="shared" si="80"/>
        <v>253.02226935312831</v>
      </c>
      <c r="E236" s="120">
        <f t="shared" si="81"/>
        <v>381.28313891834574</v>
      </c>
      <c r="F236" s="120">
        <v>500</v>
      </c>
      <c r="G236" s="120">
        <f t="shared" si="82"/>
        <v>57.79427359490986</v>
      </c>
      <c r="H236" s="120">
        <f t="shared" si="83"/>
        <v>53.34040296924708</v>
      </c>
      <c r="I236" s="120">
        <f t="shared" si="84"/>
        <v>441.72852598091202</v>
      </c>
      <c r="J236" s="29">
        <v>1</v>
      </c>
      <c r="K236" s="29">
        <f t="shared" si="85"/>
        <v>27.416666666666668</v>
      </c>
      <c r="L236" s="29">
        <v>30.25</v>
      </c>
      <c r="M236" s="29">
        <v>27</v>
      </c>
      <c r="N236" s="29">
        <v>25</v>
      </c>
      <c r="O236" s="29">
        <f t="shared" si="69"/>
        <v>14.536938847649347</v>
      </c>
      <c r="P236" s="35">
        <v>182</v>
      </c>
      <c r="Q236" s="21">
        <f t="shared" si="77"/>
        <v>46256.539413220227</v>
      </c>
      <c r="R236" s="31">
        <f t="shared" si="86"/>
        <v>6937.0272180982683</v>
      </c>
      <c r="S236" s="31">
        <f t="shared" si="87"/>
        <v>10453.512725344646</v>
      </c>
      <c r="T236" s="31">
        <f t="shared" si="88"/>
        <v>13708.333333333334</v>
      </c>
      <c r="U236" s="31">
        <f t="shared" si="89"/>
        <v>1584.5263343937788</v>
      </c>
      <c r="V236" s="31">
        <f t="shared" si="90"/>
        <v>1462.4160480735243</v>
      </c>
      <c r="W236" s="31">
        <f t="shared" si="91"/>
        <v>12110.723753976672</v>
      </c>
      <c r="X236" s="116"/>
      <c r="Y236" s="115">
        <f t="shared" si="59"/>
        <v>0</v>
      </c>
      <c r="Z236" s="116"/>
    </row>
    <row r="237" spans="1:26" s="32" customFormat="1" ht="24.75" hidden="1" customHeight="1" outlineLevel="3" x14ac:dyDescent="0.35">
      <c r="A237" s="37" t="s">
        <v>18</v>
      </c>
      <c r="B237" s="27" t="s">
        <v>10</v>
      </c>
      <c r="C237" s="28">
        <f t="shared" si="79"/>
        <v>0.33934252386002123</v>
      </c>
      <c r="D237" s="120">
        <f t="shared" si="80"/>
        <v>161.93425238600213</v>
      </c>
      <c r="E237" s="120">
        <f t="shared" si="81"/>
        <v>244.02120890774128</v>
      </c>
      <c r="F237" s="120">
        <v>320</v>
      </c>
      <c r="G237" s="120">
        <f t="shared" si="82"/>
        <v>36.988335100742312</v>
      </c>
      <c r="H237" s="120">
        <f t="shared" si="83"/>
        <v>34.137857900318131</v>
      </c>
      <c r="I237" s="120">
        <f t="shared" si="84"/>
        <v>282.70625662778372</v>
      </c>
      <c r="J237" s="29">
        <v>1</v>
      </c>
      <c r="K237" s="29">
        <f t="shared" si="85"/>
        <v>34.39</v>
      </c>
      <c r="L237" s="29">
        <v>35.6</v>
      </c>
      <c r="M237" s="29">
        <v>37.57</v>
      </c>
      <c r="N237" s="29">
        <v>30</v>
      </c>
      <c r="O237" s="29">
        <f t="shared" si="69"/>
        <v>11.66998939554613</v>
      </c>
      <c r="P237" s="35">
        <v>183</v>
      </c>
      <c r="Q237" s="21">
        <f t="shared" si="77"/>
        <v>37133.906256627786</v>
      </c>
      <c r="R237" s="31">
        <f t="shared" si="86"/>
        <v>5568.9189395546136</v>
      </c>
      <c r="S237" s="31">
        <f t="shared" si="87"/>
        <v>8391.8893743372228</v>
      </c>
      <c r="T237" s="31">
        <f t="shared" si="88"/>
        <v>11004.8</v>
      </c>
      <c r="U237" s="31">
        <f t="shared" si="89"/>
        <v>1272.0288441145281</v>
      </c>
      <c r="V237" s="31">
        <f t="shared" si="90"/>
        <v>1174.0009331919405</v>
      </c>
      <c r="W237" s="31">
        <f t="shared" si="91"/>
        <v>9722.2681654294829</v>
      </c>
      <c r="X237" s="116"/>
      <c r="Y237" s="115">
        <f t="shared" si="59"/>
        <v>0</v>
      </c>
      <c r="Z237" s="116"/>
    </row>
    <row r="238" spans="1:26" s="32" customFormat="1" ht="24.75" hidden="1" customHeight="1" outlineLevel="3" x14ac:dyDescent="0.35">
      <c r="A238" s="37" t="s">
        <v>21</v>
      </c>
      <c r="B238" s="27" t="s">
        <v>10</v>
      </c>
      <c r="C238" s="28">
        <f t="shared" si="79"/>
        <v>0.21633085896076351</v>
      </c>
      <c r="D238" s="120">
        <f t="shared" si="80"/>
        <v>103.23308589607635</v>
      </c>
      <c r="E238" s="120">
        <f t="shared" si="81"/>
        <v>155.56352067868505</v>
      </c>
      <c r="F238" s="120">
        <v>204</v>
      </c>
      <c r="G238" s="120">
        <f t="shared" si="82"/>
        <v>23.580063626723224</v>
      </c>
      <c r="H238" s="120">
        <f t="shared" si="83"/>
        <v>21.762884411452809</v>
      </c>
      <c r="I238" s="120">
        <f t="shared" si="84"/>
        <v>180.22523860021209</v>
      </c>
      <c r="J238" s="29">
        <v>1</v>
      </c>
      <c r="K238" s="29">
        <f t="shared" si="85"/>
        <v>14.466666666666667</v>
      </c>
      <c r="L238" s="29">
        <v>14.9</v>
      </c>
      <c r="M238" s="29">
        <v>15</v>
      </c>
      <c r="N238" s="29">
        <v>13.5</v>
      </c>
      <c r="O238" s="29">
        <f t="shared" si="69"/>
        <v>3.1295864262990456</v>
      </c>
      <c r="P238" s="35">
        <v>184</v>
      </c>
      <c r="Q238" s="21">
        <f t="shared" si="77"/>
        <v>9958.3440084835638</v>
      </c>
      <c r="R238" s="31">
        <f t="shared" si="86"/>
        <v>1493.4386426299045</v>
      </c>
      <c r="S238" s="31">
        <f t="shared" si="87"/>
        <v>2250.4855991516438</v>
      </c>
      <c r="T238" s="31">
        <f t="shared" si="88"/>
        <v>2951.2</v>
      </c>
      <c r="U238" s="31">
        <f t="shared" si="89"/>
        <v>341.124920466596</v>
      </c>
      <c r="V238" s="31">
        <f t="shared" si="90"/>
        <v>314.83639448568397</v>
      </c>
      <c r="W238" s="31">
        <f t="shared" si="91"/>
        <v>2607.2584517497348</v>
      </c>
      <c r="X238" s="116"/>
      <c r="Y238" s="115">
        <f t="shared" si="59"/>
        <v>0</v>
      </c>
      <c r="Z238" s="116"/>
    </row>
    <row r="239" spans="1:26" s="32" customFormat="1" ht="24.75" hidden="1" customHeight="1" outlineLevel="3" x14ac:dyDescent="0.35">
      <c r="A239" s="37" t="s">
        <v>22</v>
      </c>
      <c r="B239" s="27" t="s">
        <v>10</v>
      </c>
      <c r="C239" s="28">
        <f t="shared" si="79"/>
        <v>0.21633085896076351</v>
      </c>
      <c r="D239" s="120">
        <f t="shared" si="80"/>
        <v>103.23308589607635</v>
      </c>
      <c r="E239" s="120">
        <f t="shared" si="81"/>
        <v>155.56352067868505</v>
      </c>
      <c r="F239" s="120">
        <v>204</v>
      </c>
      <c r="G239" s="120">
        <f t="shared" si="82"/>
        <v>23.580063626723224</v>
      </c>
      <c r="H239" s="120">
        <f t="shared" si="83"/>
        <v>21.762884411452809</v>
      </c>
      <c r="I239" s="120">
        <f t="shared" si="84"/>
        <v>180.22523860021209</v>
      </c>
      <c r="J239" s="29">
        <v>1</v>
      </c>
      <c r="K239" s="29">
        <f t="shared" si="85"/>
        <v>14.466666666666667</v>
      </c>
      <c r="L239" s="29">
        <v>14.9</v>
      </c>
      <c r="M239" s="29">
        <v>15</v>
      </c>
      <c r="N239" s="29">
        <v>13.5</v>
      </c>
      <c r="O239" s="29">
        <f t="shared" si="69"/>
        <v>3.1295864262990456</v>
      </c>
      <c r="P239" s="35">
        <v>185</v>
      </c>
      <c r="Q239" s="21">
        <f t="shared" si="77"/>
        <v>9958.3440084835638</v>
      </c>
      <c r="R239" s="31">
        <f t="shared" si="86"/>
        <v>1493.4386426299045</v>
      </c>
      <c r="S239" s="31">
        <f t="shared" si="87"/>
        <v>2250.4855991516438</v>
      </c>
      <c r="T239" s="31">
        <f t="shared" si="88"/>
        <v>2951.2</v>
      </c>
      <c r="U239" s="31">
        <f t="shared" si="89"/>
        <v>341.124920466596</v>
      </c>
      <c r="V239" s="31">
        <f t="shared" si="90"/>
        <v>314.83639448568397</v>
      </c>
      <c r="W239" s="31">
        <f t="shared" si="91"/>
        <v>2607.2584517497348</v>
      </c>
      <c r="X239" s="116"/>
      <c r="Y239" s="115">
        <f t="shared" si="59"/>
        <v>0</v>
      </c>
      <c r="Z239" s="116"/>
    </row>
    <row r="240" spans="1:26" s="32" customFormat="1" ht="24.75" hidden="1" customHeight="1" outlineLevel="3" x14ac:dyDescent="0.35">
      <c r="A240" s="37" t="s">
        <v>243</v>
      </c>
      <c r="B240" s="27" t="s">
        <v>10</v>
      </c>
      <c r="C240" s="28">
        <f t="shared" si="79"/>
        <v>0</v>
      </c>
      <c r="D240" s="120">
        <f t="shared" si="80"/>
        <v>0</v>
      </c>
      <c r="E240" s="120">
        <f t="shared" si="81"/>
        <v>0</v>
      </c>
      <c r="F240" s="120"/>
      <c r="G240" s="120">
        <f t="shared" si="82"/>
        <v>0</v>
      </c>
      <c r="H240" s="120">
        <f t="shared" si="83"/>
        <v>0</v>
      </c>
      <c r="I240" s="120">
        <f t="shared" si="84"/>
        <v>0</v>
      </c>
      <c r="J240" s="29">
        <v>1</v>
      </c>
      <c r="K240" s="29">
        <f t="shared" si="85"/>
        <v>1158</v>
      </c>
      <c r="L240" s="29">
        <v>1158</v>
      </c>
      <c r="M240" s="29"/>
      <c r="N240" s="29"/>
      <c r="O240" s="29">
        <f t="shared" si="69"/>
        <v>0</v>
      </c>
      <c r="P240" s="35">
        <v>186</v>
      </c>
      <c r="Q240" s="21">
        <f t="shared" si="77"/>
        <v>0</v>
      </c>
      <c r="R240" s="31">
        <f t="shared" si="86"/>
        <v>0</v>
      </c>
      <c r="S240" s="31">
        <f t="shared" si="87"/>
        <v>0</v>
      </c>
      <c r="T240" s="31">
        <f t="shared" si="88"/>
        <v>0</v>
      </c>
      <c r="U240" s="31">
        <f t="shared" si="89"/>
        <v>0</v>
      </c>
      <c r="V240" s="31">
        <f t="shared" si="90"/>
        <v>0</v>
      </c>
      <c r="W240" s="31">
        <f t="shared" si="91"/>
        <v>0</v>
      </c>
      <c r="X240" s="116"/>
      <c r="Y240" s="115">
        <f t="shared" si="59"/>
        <v>0</v>
      </c>
      <c r="Z240" s="116"/>
    </row>
    <row r="241" spans="1:26" s="32" customFormat="1" ht="24.75" hidden="1" customHeight="1" outlineLevel="3" x14ac:dyDescent="0.35">
      <c r="A241" s="37" t="s">
        <v>244</v>
      </c>
      <c r="B241" s="27" t="s">
        <v>10</v>
      </c>
      <c r="C241" s="28">
        <f t="shared" si="79"/>
        <v>0</v>
      </c>
      <c r="D241" s="120">
        <f t="shared" si="80"/>
        <v>0</v>
      </c>
      <c r="E241" s="120">
        <f t="shared" si="81"/>
        <v>0</v>
      </c>
      <c r="F241" s="120"/>
      <c r="G241" s="120">
        <f t="shared" si="82"/>
        <v>0</v>
      </c>
      <c r="H241" s="120">
        <f t="shared" si="83"/>
        <v>0</v>
      </c>
      <c r="I241" s="120">
        <f t="shared" si="84"/>
        <v>0</v>
      </c>
      <c r="J241" s="29">
        <v>1</v>
      </c>
      <c r="K241" s="29">
        <f t="shared" si="85"/>
        <v>90.1</v>
      </c>
      <c r="L241" s="29">
        <v>90.1</v>
      </c>
      <c r="M241" s="29"/>
      <c r="N241" s="29"/>
      <c r="O241" s="29">
        <f t="shared" si="69"/>
        <v>0</v>
      </c>
      <c r="P241" s="35">
        <v>187</v>
      </c>
      <c r="Q241" s="21">
        <f t="shared" si="77"/>
        <v>0</v>
      </c>
      <c r="R241" s="31">
        <f t="shared" si="86"/>
        <v>0</v>
      </c>
      <c r="S241" s="31">
        <f t="shared" si="87"/>
        <v>0</v>
      </c>
      <c r="T241" s="31">
        <f t="shared" si="88"/>
        <v>0</v>
      </c>
      <c r="U241" s="31">
        <f t="shared" si="89"/>
        <v>0</v>
      </c>
      <c r="V241" s="31">
        <f t="shared" si="90"/>
        <v>0</v>
      </c>
      <c r="W241" s="31">
        <f t="shared" si="91"/>
        <v>0</v>
      </c>
      <c r="X241" s="116"/>
      <c r="Y241" s="115">
        <f t="shared" si="59"/>
        <v>0</v>
      </c>
      <c r="Z241" s="116"/>
    </row>
    <row r="242" spans="1:26" s="32" customFormat="1" ht="24.75" hidden="1" customHeight="1" outlineLevel="3" x14ac:dyDescent="0.35">
      <c r="A242" s="37" t="s">
        <v>245</v>
      </c>
      <c r="B242" s="27" t="s">
        <v>10</v>
      </c>
      <c r="C242" s="28">
        <f t="shared" si="79"/>
        <v>0</v>
      </c>
      <c r="D242" s="120">
        <f t="shared" si="80"/>
        <v>0</v>
      </c>
      <c r="E242" s="120">
        <f t="shared" si="81"/>
        <v>0</v>
      </c>
      <c r="F242" s="120"/>
      <c r="G242" s="120">
        <f t="shared" si="82"/>
        <v>0</v>
      </c>
      <c r="H242" s="120">
        <f t="shared" si="83"/>
        <v>0</v>
      </c>
      <c r="I242" s="120">
        <f t="shared" si="84"/>
        <v>0</v>
      </c>
      <c r="J242" s="29">
        <v>1</v>
      </c>
      <c r="K242" s="29">
        <f>AVERAGE(L242:N242)</f>
        <v>676</v>
      </c>
      <c r="L242" s="29">
        <v>726</v>
      </c>
      <c r="M242" s="29">
        <v>626</v>
      </c>
      <c r="N242" s="29"/>
      <c r="O242" s="29">
        <f t="shared" si="69"/>
        <v>0</v>
      </c>
      <c r="P242" s="35">
        <v>188</v>
      </c>
      <c r="Q242" s="21">
        <f t="shared" si="77"/>
        <v>0</v>
      </c>
      <c r="R242" s="31">
        <f t="shared" si="86"/>
        <v>0</v>
      </c>
      <c r="S242" s="31">
        <f t="shared" si="87"/>
        <v>0</v>
      </c>
      <c r="T242" s="31">
        <f t="shared" si="88"/>
        <v>0</v>
      </c>
      <c r="U242" s="31">
        <f t="shared" si="89"/>
        <v>0</v>
      </c>
      <c r="V242" s="31">
        <f t="shared" si="90"/>
        <v>0</v>
      </c>
      <c r="W242" s="31">
        <f t="shared" si="91"/>
        <v>0</v>
      </c>
      <c r="X242" s="116"/>
      <c r="Y242" s="115">
        <f t="shared" si="59"/>
        <v>0</v>
      </c>
      <c r="Z242" s="116"/>
    </row>
    <row r="243" spans="1:26" s="32" customFormat="1" ht="24.75" hidden="1" customHeight="1" outlineLevel="3" x14ac:dyDescent="0.35">
      <c r="A243" s="37" t="s">
        <v>246</v>
      </c>
      <c r="B243" s="27" t="s">
        <v>10</v>
      </c>
      <c r="C243" s="28">
        <f t="shared" si="79"/>
        <v>0</v>
      </c>
      <c r="D243" s="120">
        <f t="shared" si="80"/>
        <v>0</v>
      </c>
      <c r="E243" s="120">
        <f t="shared" si="81"/>
        <v>0</v>
      </c>
      <c r="F243" s="120"/>
      <c r="G243" s="120">
        <f t="shared" si="82"/>
        <v>0</v>
      </c>
      <c r="H243" s="120">
        <f t="shared" si="83"/>
        <v>0</v>
      </c>
      <c r="I243" s="120">
        <f t="shared" si="84"/>
        <v>0</v>
      </c>
      <c r="J243" s="29">
        <v>1</v>
      </c>
      <c r="K243" s="29">
        <f>AVERAGE(L243:N243)</f>
        <v>1885.5</v>
      </c>
      <c r="L243" s="29">
        <v>1885.5</v>
      </c>
      <c r="M243" s="29"/>
      <c r="N243" s="29"/>
      <c r="O243" s="29">
        <f t="shared" si="69"/>
        <v>0</v>
      </c>
      <c r="P243" s="35">
        <v>189</v>
      </c>
      <c r="Q243" s="21">
        <f t="shared" si="77"/>
        <v>0</v>
      </c>
      <c r="R243" s="31">
        <f t="shared" si="86"/>
        <v>0</v>
      </c>
      <c r="S243" s="31">
        <f t="shared" si="87"/>
        <v>0</v>
      </c>
      <c r="T243" s="31">
        <f t="shared" si="88"/>
        <v>0</v>
      </c>
      <c r="U243" s="31">
        <f t="shared" si="89"/>
        <v>0</v>
      </c>
      <c r="V243" s="31">
        <f t="shared" si="90"/>
        <v>0</v>
      </c>
      <c r="W243" s="31">
        <f t="shared" si="91"/>
        <v>0</v>
      </c>
      <c r="X243" s="116"/>
      <c r="Y243" s="115">
        <f t="shared" si="59"/>
        <v>0</v>
      </c>
      <c r="Z243" s="116"/>
    </row>
    <row r="244" spans="1:26" s="32" customFormat="1" ht="24.75" hidden="1" customHeight="1" outlineLevel="3" x14ac:dyDescent="0.35">
      <c r="A244" s="37" t="s">
        <v>247</v>
      </c>
      <c r="B244" s="27" t="s">
        <v>10</v>
      </c>
      <c r="C244" s="28">
        <f t="shared" si="79"/>
        <v>0</v>
      </c>
      <c r="D244" s="120">
        <f t="shared" si="80"/>
        <v>0</v>
      </c>
      <c r="E244" s="120">
        <f t="shared" si="81"/>
        <v>0</v>
      </c>
      <c r="F244" s="120"/>
      <c r="G244" s="120">
        <f t="shared" si="82"/>
        <v>0</v>
      </c>
      <c r="H244" s="120">
        <f t="shared" si="83"/>
        <v>0</v>
      </c>
      <c r="I244" s="120">
        <f t="shared" si="84"/>
        <v>0</v>
      </c>
      <c r="J244" s="29">
        <v>1</v>
      </c>
      <c r="K244" s="29">
        <f t="shared" ref="K244:K250" si="92">AVERAGE(L244:N244)</f>
        <v>862</v>
      </c>
      <c r="L244" s="29">
        <v>862</v>
      </c>
      <c r="M244" s="29"/>
      <c r="N244" s="29"/>
      <c r="O244" s="29">
        <f t="shared" si="69"/>
        <v>0</v>
      </c>
      <c r="P244" s="35">
        <v>190</v>
      </c>
      <c r="Q244" s="21">
        <f t="shared" si="77"/>
        <v>0</v>
      </c>
      <c r="R244" s="31">
        <f t="shared" si="86"/>
        <v>0</v>
      </c>
      <c r="S244" s="31">
        <f t="shared" si="87"/>
        <v>0</v>
      </c>
      <c r="T244" s="31">
        <f t="shared" si="88"/>
        <v>0</v>
      </c>
      <c r="U244" s="31">
        <f t="shared" si="89"/>
        <v>0</v>
      </c>
      <c r="V244" s="31">
        <f t="shared" si="90"/>
        <v>0</v>
      </c>
      <c r="W244" s="31">
        <f t="shared" si="91"/>
        <v>0</v>
      </c>
      <c r="X244" s="116"/>
      <c r="Y244" s="115">
        <f t="shared" si="59"/>
        <v>0</v>
      </c>
      <c r="Z244" s="116"/>
    </row>
    <row r="245" spans="1:26" s="32" customFormat="1" ht="24.75" hidden="1" customHeight="1" outlineLevel="3" x14ac:dyDescent="0.35">
      <c r="A245" s="37" t="s">
        <v>248</v>
      </c>
      <c r="B245" s="27" t="s">
        <v>10</v>
      </c>
      <c r="C245" s="28">
        <f t="shared" si="79"/>
        <v>0</v>
      </c>
      <c r="D245" s="120">
        <f t="shared" si="80"/>
        <v>0</v>
      </c>
      <c r="E245" s="120">
        <f t="shared" si="81"/>
        <v>0</v>
      </c>
      <c r="F245" s="120"/>
      <c r="G245" s="120">
        <f t="shared" si="82"/>
        <v>0</v>
      </c>
      <c r="H245" s="120">
        <f t="shared" si="83"/>
        <v>0</v>
      </c>
      <c r="I245" s="120">
        <f t="shared" si="84"/>
        <v>0</v>
      </c>
      <c r="J245" s="29">
        <v>1</v>
      </c>
      <c r="K245" s="29">
        <f t="shared" si="92"/>
        <v>2631</v>
      </c>
      <c r="L245" s="29">
        <v>2631</v>
      </c>
      <c r="M245" s="29">
        <v>2631</v>
      </c>
      <c r="N245" s="29">
        <v>2631</v>
      </c>
      <c r="O245" s="29">
        <f t="shared" si="69"/>
        <v>0</v>
      </c>
      <c r="P245" s="35">
        <v>191</v>
      </c>
      <c r="Q245" s="21">
        <f t="shared" si="77"/>
        <v>0</v>
      </c>
      <c r="R245" s="31">
        <f t="shared" si="86"/>
        <v>0</v>
      </c>
      <c r="S245" s="31">
        <f t="shared" si="87"/>
        <v>0</v>
      </c>
      <c r="T245" s="31">
        <f t="shared" si="88"/>
        <v>0</v>
      </c>
      <c r="U245" s="31">
        <f t="shared" si="89"/>
        <v>0</v>
      </c>
      <c r="V245" s="31">
        <f t="shared" si="90"/>
        <v>0</v>
      </c>
      <c r="W245" s="31">
        <f t="shared" si="91"/>
        <v>0</v>
      </c>
      <c r="X245" s="116"/>
      <c r="Y245" s="115">
        <f t="shared" si="59"/>
        <v>0</v>
      </c>
      <c r="Z245" s="116"/>
    </row>
    <row r="246" spans="1:26" s="32" customFormat="1" ht="24.75" hidden="1" customHeight="1" outlineLevel="3" x14ac:dyDescent="0.35">
      <c r="A246" s="37" t="s">
        <v>249</v>
      </c>
      <c r="B246" s="27" t="s">
        <v>10</v>
      </c>
      <c r="C246" s="28">
        <f t="shared" si="79"/>
        <v>0</v>
      </c>
      <c r="D246" s="120">
        <f t="shared" si="80"/>
        <v>0</v>
      </c>
      <c r="E246" s="120">
        <f t="shared" si="81"/>
        <v>0</v>
      </c>
      <c r="F246" s="120"/>
      <c r="G246" s="120">
        <f t="shared" si="82"/>
        <v>0</v>
      </c>
      <c r="H246" s="120">
        <f t="shared" si="83"/>
        <v>0</v>
      </c>
      <c r="I246" s="120">
        <f t="shared" si="84"/>
        <v>0</v>
      </c>
      <c r="J246" s="29">
        <v>1</v>
      </c>
      <c r="K246" s="29">
        <f t="shared" si="92"/>
        <v>1430.1</v>
      </c>
      <c r="L246" s="29">
        <v>1430.1</v>
      </c>
      <c r="M246" s="29"/>
      <c r="N246" s="29"/>
      <c r="O246" s="29">
        <f t="shared" si="69"/>
        <v>0</v>
      </c>
      <c r="P246" s="35">
        <v>192</v>
      </c>
      <c r="Q246" s="21">
        <f t="shared" si="77"/>
        <v>0</v>
      </c>
      <c r="R246" s="31">
        <f t="shared" si="86"/>
        <v>0</v>
      </c>
      <c r="S246" s="31">
        <f t="shared" si="87"/>
        <v>0</v>
      </c>
      <c r="T246" s="31">
        <f t="shared" si="88"/>
        <v>0</v>
      </c>
      <c r="U246" s="31">
        <f t="shared" si="89"/>
        <v>0</v>
      </c>
      <c r="V246" s="31">
        <f t="shared" si="90"/>
        <v>0</v>
      </c>
      <c r="W246" s="31">
        <f t="shared" si="91"/>
        <v>0</v>
      </c>
      <c r="X246" s="116"/>
      <c r="Y246" s="115">
        <f t="shared" si="59"/>
        <v>0</v>
      </c>
      <c r="Z246" s="116"/>
    </row>
    <row r="247" spans="1:26" s="32" customFormat="1" ht="24.75" hidden="1" customHeight="1" outlineLevel="3" x14ac:dyDescent="0.35">
      <c r="A247" s="37" t="s">
        <v>250</v>
      </c>
      <c r="B247" s="27" t="s">
        <v>10</v>
      </c>
      <c r="C247" s="28">
        <f t="shared" si="79"/>
        <v>0</v>
      </c>
      <c r="D247" s="120">
        <f t="shared" si="80"/>
        <v>0</v>
      </c>
      <c r="E247" s="120">
        <f t="shared" si="81"/>
        <v>0</v>
      </c>
      <c r="F247" s="120"/>
      <c r="G247" s="120">
        <f t="shared" si="82"/>
        <v>0</v>
      </c>
      <c r="H247" s="120">
        <f t="shared" si="83"/>
        <v>0</v>
      </c>
      <c r="I247" s="120">
        <f t="shared" si="84"/>
        <v>0</v>
      </c>
      <c r="J247" s="29">
        <v>1</v>
      </c>
      <c r="K247" s="29">
        <f t="shared" si="92"/>
        <v>2178</v>
      </c>
      <c r="L247" s="29">
        <v>2178</v>
      </c>
      <c r="M247" s="29"/>
      <c r="N247" s="29"/>
      <c r="O247" s="29">
        <f t="shared" si="69"/>
        <v>0</v>
      </c>
      <c r="P247" s="35">
        <v>193</v>
      </c>
      <c r="Q247" s="21">
        <f t="shared" si="77"/>
        <v>0</v>
      </c>
      <c r="R247" s="31">
        <f t="shared" si="86"/>
        <v>0</v>
      </c>
      <c r="S247" s="31">
        <f t="shared" si="87"/>
        <v>0</v>
      </c>
      <c r="T247" s="31">
        <f t="shared" si="88"/>
        <v>0</v>
      </c>
      <c r="U247" s="31">
        <f t="shared" si="89"/>
        <v>0</v>
      </c>
      <c r="V247" s="31">
        <f t="shared" si="90"/>
        <v>0</v>
      </c>
      <c r="W247" s="31">
        <f t="shared" si="91"/>
        <v>0</v>
      </c>
      <c r="X247" s="116"/>
      <c r="Y247" s="115">
        <f t="shared" si="59"/>
        <v>0</v>
      </c>
      <c r="Z247" s="116"/>
    </row>
    <row r="248" spans="1:26" s="32" customFormat="1" ht="24.75" hidden="1" customHeight="1" outlineLevel="3" x14ac:dyDescent="0.35">
      <c r="A248" s="37" t="s">
        <v>251</v>
      </c>
      <c r="B248" s="27" t="s">
        <v>10</v>
      </c>
      <c r="C248" s="28">
        <f t="shared" si="79"/>
        <v>0.22905620360551432</v>
      </c>
      <c r="D248" s="120">
        <f t="shared" si="80"/>
        <v>109.30562036055143</v>
      </c>
      <c r="E248" s="120">
        <f t="shared" si="81"/>
        <v>164.71431601272536</v>
      </c>
      <c r="F248" s="120">
        <v>216</v>
      </c>
      <c r="G248" s="120">
        <f t="shared" si="82"/>
        <v>24.967126193001061</v>
      </c>
      <c r="H248" s="120">
        <f t="shared" si="83"/>
        <v>23.04305408271474</v>
      </c>
      <c r="I248" s="120">
        <f t="shared" si="84"/>
        <v>190.82672322375399</v>
      </c>
      <c r="J248" s="29">
        <v>1</v>
      </c>
      <c r="K248" s="29">
        <f t="shared" si="92"/>
        <v>18</v>
      </c>
      <c r="L248" s="29">
        <v>19</v>
      </c>
      <c r="M248" s="29">
        <v>15</v>
      </c>
      <c r="N248" s="29">
        <v>20</v>
      </c>
      <c r="O248" s="29">
        <f t="shared" si="69"/>
        <v>4.1230116648992574</v>
      </c>
      <c r="P248" s="35">
        <v>194</v>
      </c>
      <c r="Q248" s="21">
        <f t="shared" si="77"/>
        <v>13119.423117709441</v>
      </c>
      <c r="R248" s="31">
        <f t="shared" si="86"/>
        <v>1967.5011664899257</v>
      </c>
      <c r="S248" s="31">
        <f t="shared" si="87"/>
        <v>2964.8576882290563</v>
      </c>
      <c r="T248" s="31">
        <f t="shared" si="88"/>
        <v>3888</v>
      </c>
      <c r="U248" s="31">
        <f t="shared" si="89"/>
        <v>449.4082714740191</v>
      </c>
      <c r="V248" s="31">
        <f t="shared" si="90"/>
        <v>414.77497348886533</v>
      </c>
      <c r="W248" s="31">
        <f t="shared" si="91"/>
        <v>3434.8810180275718</v>
      </c>
      <c r="X248" s="116"/>
      <c r="Y248" s="115">
        <f t="shared" si="59"/>
        <v>3.637978807091713E-12</v>
      </c>
      <c r="Z248" s="116"/>
    </row>
    <row r="249" spans="1:26" s="32" customFormat="1" ht="24.75" hidden="1" customHeight="1" outlineLevel="3" x14ac:dyDescent="0.35">
      <c r="A249" s="37" t="s">
        <v>252</v>
      </c>
      <c r="B249" s="27" t="s">
        <v>10</v>
      </c>
      <c r="C249" s="28">
        <f t="shared" si="79"/>
        <v>0</v>
      </c>
      <c r="D249" s="120">
        <f t="shared" si="80"/>
        <v>0</v>
      </c>
      <c r="E249" s="120">
        <f t="shared" si="81"/>
        <v>0</v>
      </c>
      <c r="F249" s="120"/>
      <c r="G249" s="120">
        <f t="shared" si="82"/>
        <v>0</v>
      </c>
      <c r="H249" s="120">
        <f t="shared" si="83"/>
        <v>0</v>
      </c>
      <c r="I249" s="120">
        <f t="shared" si="84"/>
        <v>0</v>
      </c>
      <c r="J249" s="29">
        <v>1</v>
      </c>
      <c r="K249" s="29">
        <f t="shared" si="92"/>
        <v>1642</v>
      </c>
      <c r="L249" s="29">
        <v>1642</v>
      </c>
      <c r="M249" s="29"/>
      <c r="N249" s="29"/>
      <c r="O249" s="29">
        <f t="shared" si="69"/>
        <v>0</v>
      </c>
      <c r="P249" s="35">
        <v>195</v>
      </c>
      <c r="Q249" s="21">
        <f t="shared" si="77"/>
        <v>0</v>
      </c>
      <c r="R249" s="31">
        <f t="shared" si="86"/>
        <v>0</v>
      </c>
      <c r="S249" s="31">
        <f t="shared" si="87"/>
        <v>0</v>
      </c>
      <c r="T249" s="31">
        <f t="shared" si="88"/>
        <v>0</v>
      </c>
      <c r="U249" s="31">
        <f t="shared" si="89"/>
        <v>0</v>
      </c>
      <c r="V249" s="31">
        <f t="shared" si="90"/>
        <v>0</v>
      </c>
      <c r="W249" s="31">
        <f t="shared" si="91"/>
        <v>0</v>
      </c>
      <c r="X249" s="116"/>
      <c r="Y249" s="115">
        <f t="shared" si="59"/>
        <v>0</v>
      </c>
      <c r="Z249" s="116"/>
    </row>
    <row r="250" spans="1:26" s="32" customFormat="1" ht="24.75" hidden="1" customHeight="1" outlineLevel="3" x14ac:dyDescent="0.35">
      <c r="A250" s="37" t="s">
        <v>256</v>
      </c>
      <c r="B250" s="27" t="s">
        <v>10</v>
      </c>
      <c r="C250" s="28">
        <f t="shared" si="79"/>
        <v>6.3626723223753979E-3</v>
      </c>
      <c r="D250" s="120">
        <f t="shared" si="80"/>
        <v>3.0362672322375399</v>
      </c>
      <c r="E250" s="120">
        <f t="shared" si="81"/>
        <v>4.5753976670201491</v>
      </c>
      <c r="F250" s="120">
        <v>6</v>
      </c>
      <c r="G250" s="120">
        <f t="shared" si="82"/>
        <v>0.69353128313891832</v>
      </c>
      <c r="H250" s="120">
        <f t="shared" si="83"/>
        <v>0.64008483563096497</v>
      </c>
      <c r="I250" s="120">
        <f t="shared" si="84"/>
        <v>5.3007423117709438</v>
      </c>
      <c r="J250" s="29">
        <v>1</v>
      </c>
      <c r="K250" s="29">
        <f t="shared" si="92"/>
        <v>1931</v>
      </c>
      <c r="L250" s="29">
        <v>1931</v>
      </c>
      <c r="M250" s="29"/>
      <c r="N250" s="29"/>
      <c r="O250" s="29">
        <f t="shared" si="69"/>
        <v>12.286320254506894</v>
      </c>
      <c r="P250" s="35">
        <v>196</v>
      </c>
      <c r="Q250" s="21">
        <f t="shared" si="77"/>
        <v>39095.071049840932</v>
      </c>
      <c r="R250" s="31">
        <f t="shared" si="86"/>
        <v>5863.0320254506896</v>
      </c>
      <c r="S250" s="31">
        <f t="shared" si="87"/>
        <v>8835.0928950159087</v>
      </c>
      <c r="T250" s="31">
        <f t="shared" si="88"/>
        <v>11586</v>
      </c>
      <c r="U250" s="31">
        <f t="shared" si="89"/>
        <v>1339.2089077412513</v>
      </c>
      <c r="V250" s="31">
        <f t="shared" si="90"/>
        <v>1236.0038176033934</v>
      </c>
      <c r="W250" s="31">
        <f t="shared" si="91"/>
        <v>10235.733404029692</v>
      </c>
      <c r="X250" s="116"/>
      <c r="Y250" s="115">
        <f t="shared" si="59"/>
        <v>0</v>
      </c>
      <c r="Z250" s="116"/>
    </row>
    <row r="251" spans="1:26" s="36" customFormat="1" ht="15.75" customHeight="1" outlineLevel="2" collapsed="1" x14ac:dyDescent="0.35">
      <c r="A251" s="33" t="s">
        <v>480</v>
      </c>
      <c r="B251" s="34" t="s">
        <v>3</v>
      </c>
      <c r="C251" s="34" t="s">
        <v>3</v>
      </c>
      <c r="D251" s="34" t="s">
        <v>3</v>
      </c>
      <c r="E251" s="34" t="s">
        <v>3</v>
      </c>
      <c r="F251" s="34" t="s">
        <v>3</v>
      </c>
      <c r="G251" s="34" t="s">
        <v>3</v>
      </c>
      <c r="H251" s="34" t="s">
        <v>3</v>
      </c>
      <c r="I251" s="34" t="s">
        <v>3</v>
      </c>
      <c r="J251" s="34" t="s">
        <v>3</v>
      </c>
      <c r="K251" s="34" t="s">
        <v>3</v>
      </c>
      <c r="L251" s="34"/>
      <c r="M251" s="34"/>
      <c r="N251" s="34"/>
      <c r="O251" s="29">
        <f>SUM(O252:O254)</f>
        <v>0</v>
      </c>
      <c r="P251" s="34" t="s">
        <v>3</v>
      </c>
      <c r="Q251" s="21">
        <f t="shared" si="77"/>
        <v>0</v>
      </c>
      <c r="R251" s="31">
        <f t="shared" ref="R251:W251" si="93">SUM(R252:R254)</f>
        <v>0</v>
      </c>
      <c r="S251" s="31">
        <f t="shared" si="93"/>
        <v>0</v>
      </c>
      <c r="T251" s="31">
        <f t="shared" si="93"/>
        <v>0</v>
      </c>
      <c r="U251" s="31">
        <f t="shared" si="93"/>
        <v>0</v>
      </c>
      <c r="V251" s="31">
        <f t="shared" si="93"/>
        <v>0</v>
      </c>
      <c r="W251" s="31">
        <f t="shared" si="93"/>
        <v>0</v>
      </c>
      <c r="X251" s="116"/>
      <c r="Y251" s="115">
        <f t="shared" si="59"/>
        <v>0</v>
      </c>
      <c r="Z251" s="116"/>
    </row>
    <row r="252" spans="1:26" s="36" customFormat="1" ht="24.75" hidden="1" customHeight="1" outlineLevel="3" x14ac:dyDescent="0.35">
      <c r="A252" s="26" t="s">
        <v>253</v>
      </c>
      <c r="B252" s="27" t="s">
        <v>10</v>
      </c>
      <c r="C252" s="28"/>
      <c r="D252" s="29"/>
      <c r="E252" s="29"/>
      <c r="F252" s="29"/>
      <c r="G252" s="29"/>
      <c r="H252" s="29"/>
      <c r="I252" s="29"/>
      <c r="J252" s="29">
        <v>5</v>
      </c>
      <c r="K252" s="29">
        <f>AVERAGE(L252:N252)</f>
        <v>130726.66666666667</v>
      </c>
      <c r="L252" s="29">
        <v>140700</v>
      </c>
      <c r="M252" s="29">
        <v>140700</v>
      </c>
      <c r="N252" s="29">
        <v>110780</v>
      </c>
      <c r="O252" s="29">
        <f t="shared" si="69"/>
        <v>0</v>
      </c>
      <c r="P252" s="35">
        <v>197</v>
      </c>
      <c r="Q252" s="21">
        <f t="shared" si="77"/>
        <v>0</v>
      </c>
      <c r="R252" s="31">
        <f t="shared" ref="R252:W254" si="94">D252*$K252/$J252</f>
        <v>0</v>
      </c>
      <c r="S252" s="31">
        <f t="shared" si="94"/>
        <v>0</v>
      </c>
      <c r="T252" s="31">
        <f t="shared" si="94"/>
        <v>0</v>
      </c>
      <c r="U252" s="31">
        <f t="shared" si="94"/>
        <v>0</v>
      </c>
      <c r="V252" s="31">
        <f t="shared" si="94"/>
        <v>0</v>
      </c>
      <c r="W252" s="31">
        <f t="shared" si="94"/>
        <v>0</v>
      </c>
      <c r="X252" s="116"/>
      <c r="Y252" s="115">
        <f t="shared" si="59"/>
        <v>0</v>
      </c>
      <c r="Z252" s="116"/>
    </row>
    <row r="253" spans="1:26" s="36" customFormat="1" ht="24.75" hidden="1" customHeight="1" outlineLevel="3" x14ac:dyDescent="0.35">
      <c r="A253" s="26" t="s">
        <v>254</v>
      </c>
      <c r="B253" s="27" t="s">
        <v>10</v>
      </c>
      <c r="C253" s="28"/>
      <c r="D253" s="29"/>
      <c r="E253" s="29"/>
      <c r="F253" s="29"/>
      <c r="G253" s="29"/>
      <c r="H253" s="29"/>
      <c r="I253" s="29"/>
      <c r="J253" s="29">
        <v>5</v>
      </c>
      <c r="K253" s="29">
        <f>AVERAGE(L253:N253)</f>
        <v>104000</v>
      </c>
      <c r="L253" s="29">
        <v>100000</v>
      </c>
      <c r="M253" s="29">
        <v>107000</v>
      </c>
      <c r="N253" s="29">
        <v>105000</v>
      </c>
      <c r="O253" s="29">
        <f t="shared" si="69"/>
        <v>0</v>
      </c>
      <c r="P253" s="35">
        <v>198</v>
      </c>
      <c r="Q253" s="21">
        <f t="shared" si="77"/>
        <v>0</v>
      </c>
      <c r="R253" s="31">
        <f t="shared" si="94"/>
        <v>0</v>
      </c>
      <c r="S253" s="31">
        <f t="shared" si="94"/>
        <v>0</v>
      </c>
      <c r="T253" s="31">
        <f t="shared" si="94"/>
        <v>0</v>
      </c>
      <c r="U253" s="31">
        <f t="shared" si="94"/>
        <v>0</v>
      </c>
      <c r="V253" s="31">
        <f t="shared" si="94"/>
        <v>0</v>
      </c>
      <c r="W253" s="31">
        <f t="shared" si="94"/>
        <v>0</v>
      </c>
      <c r="X253" s="116"/>
      <c r="Y253" s="115">
        <f t="shared" si="59"/>
        <v>0</v>
      </c>
      <c r="Z253" s="116"/>
    </row>
    <row r="254" spans="1:26" s="36" customFormat="1" ht="24.75" hidden="1" customHeight="1" outlineLevel="3" x14ac:dyDescent="0.35">
      <c r="A254" s="26" t="s">
        <v>255</v>
      </c>
      <c r="B254" s="27" t="s">
        <v>10</v>
      </c>
      <c r="C254" s="28"/>
      <c r="D254" s="29"/>
      <c r="E254" s="29"/>
      <c r="F254" s="29"/>
      <c r="G254" s="29"/>
      <c r="H254" s="29"/>
      <c r="I254" s="29"/>
      <c r="J254" s="29">
        <v>5</v>
      </c>
      <c r="K254" s="29">
        <f>AVERAGE(L254:N254)</f>
        <v>64500</v>
      </c>
      <c r="L254" s="29">
        <v>64000</v>
      </c>
      <c r="M254" s="29">
        <v>65000</v>
      </c>
      <c r="N254" s="29"/>
      <c r="O254" s="29">
        <f t="shared" si="69"/>
        <v>0</v>
      </c>
      <c r="P254" s="35">
        <v>199</v>
      </c>
      <c r="Q254" s="21">
        <f t="shared" si="77"/>
        <v>0</v>
      </c>
      <c r="R254" s="31">
        <f t="shared" si="94"/>
        <v>0</v>
      </c>
      <c r="S254" s="31">
        <f t="shared" si="94"/>
        <v>0</v>
      </c>
      <c r="T254" s="31">
        <f t="shared" si="94"/>
        <v>0</v>
      </c>
      <c r="U254" s="31">
        <f t="shared" si="94"/>
        <v>0</v>
      </c>
      <c r="V254" s="31">
        <f t="shared" si="94"/>
        <v>0</v>
      </c>
      <c r="W254" s="31">
        <f t="shared" si="94"/>
        <v>0</v>
      </c>
      <c r="X254" s="116"/>
      <c r="Y254" s="115">
        <f t="shared" si="59"/>
        <v>0</v>
      </c>
      <c r="Z254" s="116"/>
    </row>
    <row r="255" spans="1:26" s="36" customFormat="1" ht="39.75" customHeight="1" outlineLevel="2" collapsed="1" x14ac:dyDescent="0.35">
      <c r="A255" s="33" t="s">
        <v>68</v>
      </c>
      <c r="B255" s="34" t="s">
        <v>3</v>
      </c>
      <c r="C255" s="34" t="s">
        <v>3</v>
      </c>
      <c r="D255" s="34" t="s">
        <v>3</v>
      </c>
      <c r="E255" s="34" t="s">
        <v>3</v>
      </c>
      <c r="F255" s="34" t="s">
        <v>3</v>
      </c>
      <c r="G255" s="34" t="s">
        <v>3</v>
      </c>
      <c r="H255" s="34" t="s">
        <v>3</v>
      </c>
      <c r="I255" s="34" t="s">
        <v>3</v>
      </c>
      <c r="J255" s="34" t="s">
        <v>3</v>
      </c>
      <c r="K255" s="34" t="s">
        <v>3</v>
      </c>
      <c r="L255" s="34"/>
      <c r="M255" s="34"/>
      <c r="N255" s="34"/>
      <c r="O255" s="29">
        <f>SUM(O256:O284)</f>
        <v>206.5933221570271</v>
      </c>
      <c r="P255" s="34" t="s">
        <v>3</v>
      </c>
      <c r="Q255" s="21">
        <f t="shared" si="77"/>
        <v>655325.26350936014</v>
      </c>
      <c r="R255" s="31">
        <f t="shared" ref="R255:W255" si="95">SUM(R256:R284)</f>
        <v>98586.333333333328</v>
      </c>
      <c r="S255" s="31">
        <f t="shared" si="95"/>
        <v>148561.25796311814</v>
      </c>
      <c r="T255" s="31">
        <f t="shared" si="95"/>
        <v>194817.50279407654</v>
      </c>
      <c r="U255" s="31">
        <f t="shared" si="95"/>
        <v>20654.382383347303</v>
      </c>
      <c r="V255" s="31">
        <f t="shared" si="95"/>
        <v>20592.890346465494</v>
      </c>
      <c r="W255" s="31">
        <f t="shared" si="95"/>
        <v>172112.89668901928</v>
      </c>
      <c r="X255" s="116"/>
      <c r="Y255" s="115">
        <f t="shared" ref="Y255:Y318" si="96">Q255-R255-S255-T255-U255-V255-W255</f>
        <v>0</v>
      </c>
      <c r="Z255" s="116"/>
    </row>
    <row r="256" spans="1:26" s="36" customFormat="1" ht="24.75" hidden="1" customHeight="1" outlineLevel="3" x14ac:dyDescent="0.35">
      <c r="A256" s="26" t="s">
        <v>264</v>
      </c>
      <c r="B256" s="27" t="s">
        <v>10</v>
      </c>
      <c r="C256" s="28">
        <f t="shared" ref="C256:C284" si="97">F256/$T$2</f>
        <v>0.41911148365465217</v>
      </c>
      <c r="D256" s="121">
        <v>200</v>
      </c>
      <c r="E256" s="121">
        <f t="shared" ref="E256:E284" si="98">$D256/$R$2*S$2</f>
        <v>301.38306789606037</v>
      </c>
      <c r="F256" s="121">
        <f t="shared" ref="F256:F284" si="99">$D256/$R$2*T$2</f>
        <v>395.22212908633702</v>
      </c>
      <c r="G256" s="121">
        <f>$D256/$R$2*U$2</f>
        <v>45.683151718357088</v>
      </c>
      <c r="H256" s="121">
        <f>$D256/$R$2*V$2</f>
        <v>42.162615255658004</v>
      </c>
      <c r="I256" s="121">
        <f t="shared" ref="I256:I284" si="100">$D256/$R$2*W$2</f>
        <v>349.16177703269074</v>
      </c>
      <c r="J256" s="29">
        <v>1</v>
      </c>
      <c r="K256" s="29">
        <f t="shared" ref="K256:K282" si="101">AVERAGE(L256:N256)</f>
        <v>17.466666666666665</v>
      </c>
      <c r="L256" s="29">
        <v>16.899999999999999</v>
      </c>
      <c r="M256" s="29">
        <v>18</v>
      </c>
      <c r="N256" s="29">
        <v>17.5</v>
      </c>
      <c r="O256" s="29">
        <f t="shared" si="69"/>
        <v>7.3204805811679243</v>
      </c>
      <c r="P256" s="35">
        <v>200</v>
      </c>
      <c r="Q256" s="21">
        <f t="shared" si="77"/>
        <v>23293.769209276335</v>
      </c>
      <c r="R256" s="31">
        <f t="shared" ref="R256:R284" si="102">D256*$K256/$J256</f>
        <v>3493.333333333333</v>
      </c>
      <c r="S256" s="31">
        <f t="shared" ref="S256:S284" si="103">E256*$K256/$J256</f>
        <v>5264.1575859178538</v>
      </c>
      <c r="T256" s="31">
        <f t="shared" ref="T256:T284" si="104">F256*$K256/$J256</f>
        <v>6903.2131880413526</v>
      </c>
      <c r="U256" s="31">
        <f t="shared" ref="U256:U284" si="105">G256*$K256/$J256</f>
        <v>797.9323833473037</v>
      </c>
      <c r="V256" s="31">
        <f t="shared" ref="V256:V284" si="106">H256*$K256/$J256</f>
        <v>736.44034646549301</v>
      </c>
      <c r="W256" s="31">
        <f t="shared" ref="W256:W284" si="107">I256*$K256/$J256</f>
        <v>6098.6923721709973</v>
      </c>
      <c r="X256" s="116"/>
      <c r="Y256" s="115">
        <f t="shared" si="96"/>
        <v>0</v>
      </c>
      <c r="Z256" s="116"/>
    </row>
    <row r="257" spans="1:26" s="36" customFormat="1" ht="24.75" hidden="1" customHeight="1" outlineLevel="3" x14ac:dyDescent="0.35">
      <c r="A257" s="26" t="s">
        <v>265</v>
      </c>
      <c r="B257" s="27" t="s">
        <v>10</v>
      </c>
      <c r="C257" s="28">
        <f t="shared" si="97"/>
        <v>0.41911148365465217</v>
      </c>
      <c r="D257" s="121">
        <v>200</v>
      </c>
      <c r="E257" s="121">
        <f t="shared" si="98"/>
        <v>301.38306789606037</v>
      </c>
      <c r="F257" s="121">
        <f t="shared" si="99"/>
        <v>395.22212908633702</v>
      </c>
      <c r="G257" s="121"/>
      <c r="H257" s="121"/>
      <c r="I257" s="121">
        <f t="shared" si="100"/>
        <v>349.16177703269074</v>
      </c>
      <c r="J257" s="29">
        <v>1</v>
      </c>
      <c r="K257" s="29">
        <f t="shared" si="101"/>
        <v>12.933333333333332</v>
      </c>
      <c r="L257" s="29">
        <v>12.8</v>
      </c>
      <c r="M257" s="29">
        <v>12.8</v>
      </c>
      <c r="N257" s="29">
        <v>13.2</v>
      </c>
      <c r="O257" s="29">
        <f t="shared" si="69"/>
        <v>5.4205085219335007</v>
      </c>
      <c r="P257" s="35">
        <v>201</v>
      </c>
      <c r="Q257" s="21">
        <f t="shared" si="77"/>
        <v>16111.919530595136</v>
      </c>
      <c r="R257" s="31">
        <f t="shared" si="102"/>
        <v>2586.6666666666665</v>
      </c>
      <c r="S257" s="31">
        <f t="shared" si="103"/>
        <v>3897.8876781223803</v>
      </c>
      <c r="T257" s="31">
        <f t="shared" si="104"/>
        <v>5111.5395361832916</v>
      </c>
      <c r="U257" s="31">
        <f t="shared" si="105"/>
        <v>0</v>
      </c>
      <c r="V257" s="31">
        <f t="shared" si="106"/>
        <v>0</v>
      </c>
      <c r="W257" s="31">
        <f t="shared" si="107"/>
        <v>4515.8256496227996</v>
      </c>
      <c r="X257" s="116"/>
      <c r="Y257" s="115">
        <f t="shared" si="96"/>
        <v>0</v>
      </c>
      <c r="Z257" s="116"/>
    </row>
    <row r="258" spans="1:26" s="36" customFormat="1" ht="24.75" hidden="1" customHeight="1" outlineLevel="3" x14ac:dyDescent="0.35">
      <c r="A258" s="26" t="s">
        <v>266</v>
      </c>
      <c r="B258" s="27" t="s">
        <v>260</v>
      </c>
      <c r="C258" s="28">
        <f t="shared" si="97"/>
        <v>0.15088013411567477</v>
      </c>
      <c r="D258" s="121">
        <v>72</v>
      </c>
      <c r="E258" s="121">
        <f t="shared" si="98"/>
        <v>108.49790444258173</v>
      </c>
      <c r="F258" s="121">
        <f t="shared" si="99"/>
        <v>142.27996647108131</v>
      </c>
      <c r="G258" s="121">
        <v>2.5</v>
      </c>
      <c r="H258" s="121">
        <v>2.5</v>
      </c>
      <c r="I258" s="121">
        <f t="shared" si="100"/>
        <v>125.69823973176865</v>
      </c>
      <c r="J258" s="29">
        <v>1</v>
      </c>
      <c r="K258" s="29">
        <f t="shared" si="101"/>
        <v>36.5</v>
      </c>
      <c r="L258" s="29">
        <v>34.799999999999997</v>
      </c>
      <c r="M258" s="29">
        <v>36.5</v>
      </c>
      <c r="N258" s="29">
        <v>38.200000000000003</v>
      </c>
      <c r="O258" s="29">
        <f t="shared" si="69"/>
        <v>5.5071248952221294</v>
      </c>
      <c r="P258" s="35">
        <v>202</v>
      </c>
      <c r="Q258" s="21">
        <f t="shared" si="77"/>
        <v>16551.878038558258</v>
      </c>
      <c r="R258" s="31">
        <f t="shared" si="102"/>
        <v>2628</v>
      </c>
      <c r="S258" s="31">
        <f t="shared" si="103"/>
        <v>3960.1735121542329</v>
      </c>
      <c r="T258" s="31">
        <f t="shared" si="104"/>
        <v>5193.2187761944679</v>
      </c>
      <c r="U258" s="31">
        <f t="shared" si="105"/>
        <v>91.25</v>
      </c>
      <c r="V258" s="31">
        <f t="shared" si="106"/>
        <v>91.25</v>
      </c>
      <c r="W258" s="31">
        <f t="shared" si="107"/>
        <v>4587.9857502095556</v>
      </c>
      <c r="X258" s="116"/>
      <c r="Y258" s="115">
        <f t="shared" si="96"/>
        <v>0</v>
      </c>
      <c r="Z258" s="116"/>
    </row>
    <row r="259" spans="1:26" s="36" customFormat="1" ht="24.75" hidden="1" customHeight="1" outlineLevel="3" x14ac:dyDescent="0.35">
      <c r="A259" s="26" t="s">
        <v>267</v>
      </c>
      <c r="B259" s="27" t="s">
        <v>260</v>
      </c>
      <c r="C259" s="28">
        <f t="shared" si="97"/>
        <v>0</v>
      </c>
      <c r="D259" s="121"/>
      <c r="E259" s="121">
        <f t="shared" si="98"/>
        <v>0</v>
      </c>
      <c r="F259" s="121">
        <f t="shared" si="99"/>
        <v>0</v>
      </c>
      <c r="G259" s="121"/>
      <c r="H259" s="121"/>
      <c r="I259" s="121">
        <f t="shared" si="100"/>
        <v>0</v>
      </c>
      <c r="J259" s="29">
        <v>1</v>
      </c>
      <c r="K259" s="29">
        <f t="shared" si="101"/>
        <v>143.66666666666666</v>
      </c>
      <c r="L259" s="29">
        <v>136</v>
      </c>
      <c r="M259" s="29">
        <v>145</v>
      </c>
      <c r="N259" s="29">
        <v>150</v>
      </c>
      <c r="O259" s="29">
        <f t="shared" si="69"/>
        <v>0</v>
      </c>
      <c r="P259" s="35">
        <v>203</v>
      </c>
      <c r="Q259" s="21">
        <f t="shared" si="77"/>
        <v>0</v>
      </c>
      <c r="R259" s="31">
        <f t="shared" si="102"/>
        <v>0</v>
      </c>
      <c r="S259" s="31">
        <f t="shared" si="103"/>
        <v>0</v>
      </c>
      <c r="T259" s="31">
        <f t="shared" si="104"/>
        <v>0</v>
      </c>
      <c r="U259" s="31">
        <f t="shared" si="105"/>
        <v>0</v>
      </c>
      <c r="V259" s="31">
        <f t="shared" si="106"/>
        <v>0</v>
      </c>
      <c r="W259" s="31">
        <f t="shared" si="107"/>
        <v>0</v>
      </c>
      <c r="X259" s="116"/>
      <c r="Y259" s="115">
        <f t="shared" si="96"/>
        <v>0</v>
      </c>
      <c r="Z259" s="116"/>
    </row>
    <row r="260" spans="1:26" s="36" customFormat="1" ht="24.75" hidden="1" customHeight="1" outlineLevel="3" x14ac:dyDescent="0.35">
      <c r="A260" s="26" t="s">
        <v>268</v>
      </c>
      <c r="B260" s="27" t="s">
        <v>10</v>
      </c>
      <c r="C260" s="28">
        <f t="shared" si="97"/>
        <v>0.25146689019279128</v>
      </c>
      <c r="D260" s="121">
        <v>120</v>
      </c>
      <c r="E260" s="121">
        <f t="shared" si="98"/>
        <v>180.8298407376362</v>
      </c>
      <c r="F260" s="121">
        <f t="shared" si="99"/>
        <v>237.13327745180217</v>
      </c>
      <c r="G260" s="121"/>
      <c r="H260" s="121"/>
      <c r="I260" s="121">
        <f t="shared" si="100"/>
        <v>209.49706621961442</v>
      </c>
      <c r="J260" s="29">
        <v>1</v>
      </c>
      <c r="K260" s="29">
        <f t="shared" si="101"/>
        <v>19.166666666666668</v>
      </c>
      <c r="L260" s="29">
        <v>18</v>
      </c>
      <c r="M260" s="29">
        <v>20.5</v>
      </c>
      <c r="N260" s="29">
        <v>19</v>
      </c>
      <c r="O260" s="29">
        <f t="shared" si="69"/>
        <v>4.8197820620284997</v>
      </c>
      <c r="P260" s="35">
        <v>204</v>
      </c>
      <c r="Q260" s="21">
        <f t="shared" si="77"/>
        <v>14326.320201173514</v>
      </c>
      <c r="R260" s="31">
        <f t="shared" si="102"/>
        <v>2300</v>
      </c>
      <c r="S260" s="31">
        <f t="shared" si="103"/>
        <v>3465.905280804694</v>
      </c>
      <c r="T260" s="31">
        <f t="shared" si="104"/>
        <v>4545.0544844928754</v>
      </c>
      <c r="U260" s="31">
        <f t="shared" si="105"/>
        <v>0</v>
      </c>
      <c r="V260" s="31">
        <f t="shared" si="106"/>
        <v>0</v>
      </c>
      <c r="W260" s="31">
        <f t="shared" si="107"/>
        <v>4015.3604358759435</v>
      </c>
      <c r="X260" s="116"/>
      <c r="Y260" s="115">
        <f t="shared" si="96"/>
        <v>0</v>
      </c>
      <c r="Z260" s="116"/>
    </row>
    <row r="261" spans="1:26" s="36" customFormat="1" ht="24.75" hidden="1" customHeight="1" outlineLevel="3" x14ac:dyDescent="0.35">
      <c r="A261" s="26" t="s">
        <v>269</v>
      </c>
      <c r="B261" s="27" t="s">
        <v>10</v>
      </c>
      <c r="C261" s="28">
        <f t="shared" si="97"/>
        <v>0.16764459346186086</v>
      </c>
      <c r="D261" s="121">
        <v>80</v>
      </c>
      <c r="E261" s="121">
        <f t="shared" si="98"/>
        <v>120.55322715842415</v>
      </c>
      <c r="F261" s="121">
        <f t="shared" si="99"/>
        <v>158.08885163453479</v>
      </c>
      <c r="G261" s="121"/>
      <c r="H261" s="121"/>
      <c r="I261" s="121">
        <f t="shared" si="100"/>
        <v>139.66471081307628</v>
      </c>
      <c r="J261" s="29">
        <v>1</v>
      </c>
      <c r="K261" s="29">
        <f t="shared" si="101"/>
        <v>20.099999999999998</v>
      </c>
      <c r="L261" s="29">
        <v>19.5</v>
      </c>
      <c r="M261" s="29">
        <v>21</v>
      </c>
      <c r="N261" s="29">
        <v>19.8</v>
      </c>
      <c r="O261" s="29">
        <f t="shared" si="69"/>
        <v>3.3696563285834031</v>
      </c>
      <c r="P261" s="35">
        <v>205</v>
      </c>
      <c r="Q261" s="21">
        <f t="shared" si="77"/>
        <v>10015.966471081309</v>
      </c>
      <c r="R261" s="31">
        <f t="shared" si="102"/>
        <v>1607.9999999999998</v>
      </c>
      <c r="S261" s="31">
        <f t="shared" si="103"/>
        <v>2423.119865884325</v>
      </c>
      <c r="T261" s="31">
        <f t="shared" si="104"/>
        <v>3177.5859178541491</v>
      </c>
      <c r="U261" s="31">
        <f t="shared" si="105"/>
        <v>0</v>
      </c>
      <c r="V261" s="31">
        <f t="shared" si="106"/>
        <v>0</v>
      </c>
      <c r="W261" s="31">
        <f t="shared" si="107"/>
        <v>2807.2606873428331</v>
      </c>
      <c r="X261" s="116"/>
      <c r="Y261" s="115">
        <f t="shared" si="96"/>
        <v>0</v>
      </c>
      <c r="Z261" s="116"/>
    </row>
    <row r="262" spans="1:26" s="36" customFormat="1" ht="24.75" hidden="1" customHeight="1" outlineLevel="3" x14ac:dyDescent="0.35">
      <c r="A262" s="26" t="s">
        <v>270</v>
      </c>
      <c r="B262" s="27" t="s">
        <v>271</v>
      </c>
      <c r="C262" s="28">
        <f t="shared" si="97"/>
        <v>0</v>
      </c>
      <c r="D262" s="121"/>
      <c r="E262" s="121">
        <f t="shared" si="98"/>
        <v>0</v>
      </c>
      <c r="F262" s="121">
        <f t="shared" si="99"/>
        <v>0</v>
      </c>
      <c r="G262" s="121"/>
      <c r="H262" s="121"/>
      <c r="I262" s="121">
        <f t="shared" si="100"/>
        <v>0</v>
      </c>
      <c r="J262" s="29">
        <v>1</v>
      </c>
      <c r="K262" s="29">
        <f t="shared" si="101"/>
        <v>39.166666666666664</v>
      </c>
      <c r="L262" s="29">
        <v>39</v>
      </c>
      <c r="M262" s="29">
        <v>39</v>
      </c>
      <c r="N262" s="29">
        <v>39.5</v>
      </c>
      <c r="O262" s="29">
        <f t="shared" si="69"/>
        <v>0</v>
      </c>
      <c r="P262" s="35">
        <v>206</v>
      </c>
      <c r="Q262" s="21">
        <f t="shared" si="77"/>
        <v>0</v>
      </c>
      <c r="R262" s="31">
        <f t="shared" si="102"/>
        <v>0</v>
      </c>
      <c r="S262" s="31">
        <f t="shared" si="103"/>
        <v>0</v>
      </c>
      <c r="T262" s="31">
        <f t="shared" si="104"/>
        <v>0</v>
      </c>
      <c r="U262" s="31">
        <f t="shared" si="105"/>
        <v>0</v>
      </c>
      <c r="V262" s="31">
        <f t="shared" si="106"/>
        <v>0</v>
      </c>
      <c r="W262" s="31">
        <f t="shared" si="107"/>
        <v>0</v>
      </c>
      <c r="X262" s="116"/>
      <c r="Y262" s="115">
        <f t="shared" si="96"/>
        <v>0</v>
      </c>
      <c r="Z262" s="116"/>
    </row>
    <row r="263" spans="1:26" s="36" customFormat="1" ht="24.75" hidden="1" customHeight="1" outlineLevel="3" x14ac:dyDescent="0.35">
      <c r="A263" s="26" t="s">
        <v>272</v>
      </c>
      <c r="B263" s="27" t="s">
        <v>273</v>
      </c>
      <c r="C263" s="28">
        <f t="shared" si="97"/>
        <v>0</v>
      </c>
      <c r="D263" s="121"/>
      <c r="E263" s="121">
        <f t="shared" si="98"/>
        <v>0</v>
      </c>
      <c r="F263" s="121">
        <f t="shared" si="99"/>
        <v>0</v>
      </c>
      <c r="G263" s="121"/>
      <c r="H263" s="121"/>
      <c r="I263" s="121">
        <f t="shared" si="100"/>
        <v>0</v>
      </c>
      <c r="J263" s="29">
        <v>1</v>
      </c>
      <c r="K263" s="29">
        <f t="shared" si="101"/>
        <v>101.66666666666667</v>
      </c>
      <c r="L263" s="29">
        <v>101</v>
      </c>
      <c r="M263" s="29">
        <v>101</v>
      </c>
      <c r="N263" s="29">
        <v>103</v>
      </c>
      <c r="O263" s="29">
        <f t="shared" si="69"/>
        <v>0</v>
      </c>
      <c r="P263" s="35">
        <v>207</v>
      </c>
      <c r="Q263" s="21">
        <f t="shared" si="77"/>
        <v>0</v>
      </c>
      <c r="R263" s="31">
        <f t="shared" si="102"/>
        <v>0</v>
      </c>
      <c r="S263" s="31">
        <f t="shared" si="103"/>
        <v>0</v>
      </c>
      <c r="T263" s="31">
        <f t="shared" si="104"/>
        <v>0</v>
      </c>
      <c r="U263" s="31">
        <f t="shared" si="105"/>
        <v>0</v>
      </c>
      <c r="V263" s="31">
        <f t="shared" si="106"/>
        <v>0</v>
      </c>
      <c r="W263" s="31">
        <f t="shared" si="107"/>
        <v>0</v>
      </c>
      <c r="X263" s="116"/>
      <c r="Y263" s="115">
        <f t="shared" si="96"/>
        <v>0</v>
      </c>
      <c r="Z263" s="116"/>
    </row>
    <row r="264" spans="1:26" s="36" customFormat="1" ht="24.75" hidden="1" customHeight="1" outlineLevel="3" x14ac:dyDescent="0.35">
      <c r="A264" s="26" t="s">
        <v>274</v>
      </c>
      <c r="B264" s="27" t="s">
        <v>10</v>
      </c>
      <c r="C264" s="28">
        <f t="shared" si="97"/>
        <v>0.16764459346186086</v>
      </c>
      <c r="D264" s="121">
        <v>80</v>
      </c>
      <c r="E264" s="121">
        <f t="shared" si="98"/>
        <v>120.55322715842415</v>
      </c>
      <c r="F264" s="121">
        <f t="shared" si="99"/>
        <v>158.08885163453479</v>
      </c>
      <c r="G264" s="121"/>
      <c r="H264" s="121"/>
      <c r="I264" s="121">
        <f t="shared" si="100"/>
        <v>139.66471081307628</v>
      </c>
      <c r="J264" s="29">
        <v>1</v>
      </c>
      <c r="K264" s="29">
        <f t="shared" si="101"/>
        <v>32.666666666666664</v>
      </c>
      <c r="L264" s="29">
        <v>32.5</v>
      </c>
      <c r="M264" s="29">
        <v>32.5</v>
      </c>
      <c r="N264" s="29">
        <v>33</v>
      </c>
      <c r="O264" s="29">
        <f t="shared" si="69"/>
        <v>5.4763900530874547</v>
      </c>
      <c r="P264" s="35">
        <v>208</v>
      </c>
      <c r="Q264" s="21">
        <f t="shared" si="77"/>
        <v>16278.02179379715</v>
      </c>
      <c r="R264" s="31">
        <f t="shared" si="102"/>
        <v>2613.333333333333</v>
      </c>
      <c r="S264" s="31">
        <f t="shared" si="103"/>
        <v>3938.0720871751887</v>
      </c>
      <c r="T264" s="31">
        <f t="shared" si="104"/>
        <v>5164.2358200614699</v>
      </c>
      <c r="U264" s="31">
        <f t="shared" si="105"/>
        <v>0</v>
      </c>
      <c r="V264" s="31">
        <f t="shared" si="106"/>
        <v>0</v>
      </c>
      <c r="W264" s="31">
        <f t="shared" si="107"/>
        <v>4562.3805532271581</v>
      </c>
      <c r="X264" s="116"/>
      <c r="Y264" s="115">
        <f t="shared" si="96"/>
        <v>0</v>
      </c>
      <c r="Z264" s="116"/>
    </row>
    <row r="265" spans="1:26" s="36" customFormat="1" ht="24.75" hidden="1" customHeight="1" outlineLevel="3" x14ac:dyDescent="0.35">
      <c r="A265" s="26" t="s">
        <v>275</v>
      </c>
      <c r="B265" s="27" t="s">
        <v>26</v>
      </c>
      <c r="C265" s="28">
        <f t="shared" si="97"/>
        <v>0</v>
      </c>
      <c r="D265" s="121"/>
      <c r="E265" s="121">
        <f t="shared" si="98"/>
        <v>0</v>
      </c>
      <c r="F265" s="121">
        <f t="shared" si="99"/>
        <v>0</v>
      </c>
      <c r="G265" s="121"/>
      <c r="H265" s="121"/>
      <c r="I265" s="121">
        <f t="shared" si="100"/>
        <v>0</v>
      </c>
      <c r="J265" s="29">
        <v>1</v>
      </c>
      <c r="K265" s="29">
        <f t="shared" si="101"/>
        <v>415</v>
      </c>
      <c r="L265" s="29">
        <v>410</v>
      </c>
      <c r="M265" s="29">
        <v>410</v>
      </c>
      <c r="N265" s="29">
        <v>425</v>
      </c>
      <c r="O265" s="29">
        <f t="shared" si="69"/>
        <v>0</v>
      </c>
      <c r="P265" s="35">
        <v>209</v>
      </c>
      <c r="Q265" s="21">
        <f t="shared" si="77"/>
        <v>0</v>
      </c>
      <c r="R265" s="31">
        <f t="shared" si="102"/>
        <v>0</v>
      </c>
      <c r="S265" s="31">
        <f t="shared" si="103"/>
        <v>0</v>
      </c>
      <c r="T265" s="31">
        <f t="shared" si="104"/>
        <v>0</v>
      </c>
      <c r="U265" s="31">
        <f t="shared" si="105"/>
        <v>0</v>
      </c>
      <c r="V265" s="31">
        <f t="shared" si="106"/>
        <v>0</v>
      </c>
      <c r="W265" s="31">
        <f t="shared" si="107"/>
        <v>0</v>
      </c>
      <c r="X265" s="116"/>
      <c r="Y265" s="115">
        <f t="shared" si="96"/>
        <v>0</v>
      </c>
      <c r="Z265" s="116"/>
    </row>
    <row r="266" spans="1:26" s="36" customFormat="1" ht="24.75" hidden="1" customHeight="1" outlineLevel="3" x14ac:dyDescent="0.35">
      <c r="A266" s="26" t="s">
        <v>276</v>
      </c>
      <c r="B266" s="27" t="s">
        <v>271</v>
      </c>
      <c r="C266" s="28">
        <f t="shared" si="97"/>
        <v>0</v>
      </c>
      <c r="D266" s="121"/>
      <c r="E266" s="121">
        <f t="shared" si="98"/>
        <v>0</v>
      </c>
      <c r="F266" s="121">
        <f t="shared" si="99"/>
        <v>0</v>
      </c>
      <c r="G266" s="121">
        <v>30</v>
      </c>
      <c r="H266" s="121">
        <v>30</v>
      </c>
      <c r="I266" s="121">
        <f t="shared" si="100"/>
        <v>0</v>
      </c>
      <c r="J266" s="29">
        <v>1</v>
      </c>
      <c r="K266" s="29">
        <f t="shared" si="101"/>
        <v>110.33333333333333</v>
      </c>
      <c r="L266" s="29">
        <v>110</v>
      </c>
      <c r="M266" s="29">
        <v>110</v>
      </c>
      <c r="N266" s="29">
        <v>111</v>
      </c>
      <c r="O266" s="29">
        <f t="shared" si="69"/>
        <v>0</v>
      </c>
      <c r="P266" s="35">
        <v>210</v>
      </c>
      <c r="Q266" s="21">
        <f t="shared" si="77"/>
        <v>6620</v>
      </c>
      <c r="R266" s="31">
        <f t="shared" si="102"/>
        <v>0</v>
      </c>
      <c r="S266" s="31">
        <f t="shared" si="103"/>
        <v>0</v>
      </c>
      <c r="T266" s="31">
        <f t="shared" si="104"/>
        <v>0</v>
      </c>
      <c r="U266" s="31">
        <f t="shared" si="105"/>
        <v>3310</v>
      </c>
      <c r="V266" s="31">
        <f t="shared" si="106"/>
        <v>3310</v>
      </c>
      <c r="W266" s="31">
        <f t="shared" si="107"/>
        <v>0</v>
      </c>
      <c r="X266" s="116"/>
      <c r="Y266" s="115">
        <f t="shared" si="96"/>
        <v>0</v>
      </c>
      <c r="Z266" s="116"/>
    </row>
    <row r="267" spans="1:26" s="36" customFormat="1" ht="24.75" hidden="1" customHeight="1" outlineLevel="3" x14ac:dyDescent="0.35">
      <c r="A267" s="26" t="s">
        <v>277</v>
      </c>
      <c r="B267" s="27" t="s">
        <v>271</v>
      </c>
      <c r="C267" s="28">
        <f t="shared" si="97"/>
        <v>0</v>
      </c>
      <c r="D267" s="121"/>
      <c r="E267" s="121">
        <f t="shared" si="98"/>
        <v>0</v>
      </c>
      <c r="F267" s="121">
        <f t="shared" si="99"/>
        <v>0</v>
      </c>
      <c r="G267" s="121"/>
      <c r="H267" s="121"/>
      <c r="I267" s="121">
        <f t="shared" si="100"/>
        <v>0</v>
      </c>
      <c r="J267" s="29">
        <v>1</v>
      </c>
      <c r="K267" s="29">
        <f t="shared" si="101"/>
        <v>58.333333333333336</v>
      </c>
      <c r="L267" s="29">
        <v>58</v>
      </c>
      <c r="M267" s="29">
        <v>58</v>
      </c>
      <c r="N267" s="29">
        <v>59</v>
      </c>
      <c r="O267" s="29">
        <f t="shared" si="69"/>
        <v>0</v>
      </c>
      <c r="P267" s="35">
        <v>211</v>
      </c>
      <c r="Q267" s="21">
        <f t="shared" si="77"/>
        <v>0</v>
      </c>
      <c r="R267" s="31">
        <f t="shared" si="102"/>
        <v>0</v>
      </c>
      <c r="S267" s="31">
        <f t="shared" si="103"/>
        <v>0</v>
      </c>
      <c r="T267" s="31">
        <f t="shared" si="104"/>
        <v>0</v>
      </c>
      <c r="U267" s="31">
        <f t="shared" si="105"/>
        <v>0</v>
      </c>
      <c r="V267" s="31">
        <f t="shared" si="106"/>
        <v>0</v>
      </c>
      <c r="W267" s="31">
        <f t="shared" si="107"/>
        <v>0</v>
      </c>
      <c r="X267" s="116"/>
      <c r="Y267" s="115">
        <f t="shared" si="96"/>
        <v>0</v>
      </c>
      <c r="Z267" s="116"/>
    </row>
    <row r="268" spans="1:26" s="36" customFormat="1" ht="24.75" hidden="1" customHeight="1" outlineLevel="3" x14ac:dyDescent="0.35">
      <c r="A268" s="26" t="s">
        <v>278</v>
      </c>
      <c r="B268" s="27" t="s">
        <v>271</v>
      </c>
      <c r="C268" s="28">
        <f t="shared" si="97"/>
        <v>0</v>
      </c>
      <c r="D268" s="121"/>
      <c r="E268" s="121">
        <f t="shared" si="98"/>
        <v>0</v>
      </c>
      <c r="F268" s="121">
        <f t="shared" si="99"/>
        <v>0</v>
      </c>
      <c r="G268" s="121"/>
      <c r="H268" s="121"/>
      <c r="I268" s="121">
        <f t="shared" si="100"/>
        <v>0</v>
      </c>
      <c r="J268" s="29">
        <v>1</v>
      </c>
      <c r="K268" s="29">
        <f t="shared" si="101"/>
        <v>105.33333333333333</v>
      </c>
      <c r="L268" s="29">
        <v>105</v>
      </c>
      <c r="M268" s="29">
        <v>105</v>
      </c>
      <c r="N268" s="29">
        <v>106</v>
      </c>
      <c r="O268" s="29">
        <f t="shared" si="69"/>
        <v>0</v>
      </c>
      <c r="P268" s="35">
        <v>212</v>
      </c>
      <c r="Q268" s="21">
        <f t="shared" si="77"/>
        <v>0</v>
      </c>
      <c r="R268" s="31">
        <f t="shared" si="102"/>
        <v>0</v>
      </c>
      <c r="S268" s="31">
        <f t="shared" si="103"/>
        <v>0</v>
      </c>
      <c r="T268" s="31">
        <f t="shared" si="104"/>
        <v>0</v>
      </c>
      <c r="U268" s="31">
        <f t="shared" si="105"/>
        <v>0</v>
      </c>
      <c r="V268" s="31">
        <f t="shared" si="106"/>
        <v>0</v>
      </c>
      <c r="W268" s="31">
        <f t="shared" si="107"/>
        <v>0</v>
      </c>
      <c r="X268" s="116"/>
      <c r="Y268" s="115">
        <f t="shared" si="96"/>
        <v>0</v>
      </c>
      <c r="Z268" s="116"/>
    </row>
    <row r="269" spans="1:26" s="36" customFormat="1" ht="24.75" hidden="1" customHeight="1" outlineLevel="3" x14ac:dyDescent="0.35">
      <c r="A269" s="26" t="s">
        <v>279</v>
      </c>
      <c r="B269" s="27" t="s">
        <v>271</v>
      </c>
      <c r="C269" s="28">
        <f t="shared" si="97"/>
        <v>0</v>
      </c>
      <c r="D269" s="121"/>
      <c r="E269" s="121">
        <f t="shared" si="98"/>
        <v>0</v>
      </c>
      <c r="F269" s="121">
        <f t="shared" si="99"/>
        <v>0</v>
      </c>
      <c r="G269" s="121"/>
      <c r="H269" s="121"/>
      <c r="I269" s="121">
        <f t="shared" si="100"/>
        <v>0</v>
      </c>
      <c r="J269" s="29">
        <v>1</v>
      </c>
      <c r="K269" s="29">
        <f t="shared" si="101"/>
        <v>120.66666666666667</v>
      </c>
      <c r="L269" s="29">
        <v>120</v>
      </c>
      <c r="M269" s="29">
        <v>120</v>
      </c>
      <c r="N269" s="29">
        <v>122</v>
      </c>
      <c r="O269" s="29">
        <f t="shared" si="69"/>
        <v>0</v>
      </c>
      <c r="P269" s="35">
        <v>213</v>
      </c>
      <c r="Q269" s="21">
        <f t="shared" si="77"/>
        <v>0</v>
      </c>
      <c r="R269" s="31">
        <f t="shared" si="102"/>
        <v>0</v>
      </c>
      <c r="S269" s="31">
        <f t="shared" si="103"/>
        <v>0</v>
      </c>
      <c r="T269" s="31">
        <f t="shared" si="104"/>
        <v>0</v>
      </c>
      <c r="U269" s="31">
        <f t="shared" si="105"/>
        <v>0</v>
      </c>
      <c r="V269" s="31">
        <f t="shared" si="106"/>
        <v>0</v>
      </c>
      <c r="W269" s="31">
        <f t="shared" si="107"/>
        <v>0</v>
      </c>
      <c r="X269" s="116"/>
      <c r="Y269" s="115">
        <f t="shared" si="96"/>
        <v>0</v>
      </c>
      <c r="Z269" s="116"/>
    </row>
    <row r="270" spans="1:26" s="36" customFormat="1" ht="24.75" hidden="1" customHeight="1" outlineLevel="3" x14ac:dyDescent="0.35">
      <c r="A270" s="26" t="s">
        <v>280</v>
      </c>
      <c r="B270" s="27" t="s">
        <v>271</v>
      </c>
      <c r="C270" s="28">
        <f t="shared" si="97"/>
        <v>0</v>
      </c>
      <c r="D270" s="121"/>
      <c r="E270" s="121">
        <f t="shared" si="98"/>
        <v>0</v>
      </c>
      <c r="F270" s="121">
        <f t="shared" si="99"/>
        <v>0</v>
      </c>
      <c r="G270" s="121"/>
      <c r="H270" s="121"/>
      <c r="I270" s="121">
        <f t="shared" si="100"/>
        <v>0</v>
      </c>
      <c r="J270" s="29">
        <v>1</v>
      </c>
      <c r="K270" s="29">
        <f t="shared" si="101"/>
        <v>61.933333333333337</v>
      </c>
      <c r="L270" s="29">
        <v>61.95</v>
      </c>
      <c r="M270" s="29">
        <v>61.95</v>
      </c>
      <c r="N270" s="29">
        <v>61.9</v>
      </c>
      <c r="O270" s="29">
        <f t="shared" si="69"/>
        <v>0</v>
      </c>
      <c r="P270" s="35">
        <v>214</v>
      </c>
      <c r="Q270" s="21">
        <f t="shared" si="77"/>
        <v>0</v>
      </c>
      <c r="R270" s="31">
        <f t="shared" si="102"/>
        <v>0</v>
      </c>
      <c r="S270" s="31">
        <f t="shared" si="103"/>
        <v>0</v>
      </c>
      <c r="T270" s="31">
        <f t="shared" si="104"/>
        <v>0</v>
      </c>
      <c r="U270" s="31">
        <f t="shared" si="105"/>
        <v>0</v>
      </c>
      <c r="V270" s="31">
        <f t="shared" si="106"/>
        <v>0</v>
      </c>
      <c r="W270" s="31">
        <f t="shared" si="107"/>
        <v>0</v>
      </c>
      <c r="X270" s="116"/>
      <c r="Y270" s="115">
        <f t="shared" si="96"/>
        <v>0</v>
      </c>
      <c r="Z270" s="116"/>
    </row>
    <row r="271" spans="1:26" s="36" customFormat="1" ht="24.75" hidden="1" customHeight="1" outlineLevel="3" x14ac:dyDescent="0.35">
      <c r="A271" s="26" t="s">
        <v>281</v>
      </c>
      <c r="B271" s="27" t="s">
        <v>271</v>
      </c>
      <c r="C271" s="28">
        <f t="shared" si="97"/>
        <v>0</v>
      </c>
      <c r="D271" s="121"/>
      <c r="E271" s="121">
        <f t="shared" si="98"/>
        <v>0</v>
      </c>
      <c r="F271" s="121">
        <f t="shared" si="99"/>
        <v>0</v>
      </c>
      <c r="G271" s="121"/>
      <c r="H271" s="121"/>
      <c r="I271" s="121">
        <f t="shared" si="100"/>
        <v>0</v>
      </c>
      <c r="J271" s="29">
        <v>1</v>
      </c>
      <c r="K271" s="29">
        <f t="shared" si="101"/>
        <v>136.46666666666667</v>
      </c>
      <c r="L271" s="29">
        <v>135.6</v>
      </c>
      <c r="M271" s="29">
        <v>135.6</v>
      </c>
      <c r="N271" s="29">
        <v>138.19999999999999</v>
      </c>
      <c r="O271" s="29">
        <f t="shared" si="69"/>
        <v>0</v>
      </c>
      <c r="P271" s="35">
        <v>215</v>
      </c>
      <c r="Q271" s="21">
        <f t="shared" si="77"/>
        <v>0</v>
      </c>
      <c r="R271" s="31">
        <f t="shared" si="102"/>
        <v>0</v>
      </c>
      <c r="S271" s="31">
        <f t="shared" si="103"/>
        <v>0</v>
      </c>
      <c r="T271" s="31">
        <f t="shared" si="104"/>
        <v>0</v>
      </c>
      <c r="U271" s="31">
        <f t="shared" si="105"/>
        <v>0</v>
      </c>
      <c r="V271" s="31">
        <f t="shared" si="106"/>
        <v>0</v>
      </c>
      <c r="W271" s="31">
        <f t="shared" si="107"/>
        <v>0</v>
      </c>
      <c r="X271" s="116"/>
      <c r="Y271" s="115">
        <f t="shared" si="96"/>
        <v>0</v>
      </c>
      <c r="Z271" s="116"/>
    </row>
    <row r="272" spans="1:26" s="36" customFormat="1" ht="24.75" hidden="1" customHeight="1" outlineLevel="3" x14ac:dyDescent="0.35">
      <c r="A272" s="26" t="s">
        <v>282</v>
      </c>
      <c r="B272" s="27" t="s">
        <v>271</v>
      </c>
      <c r="C272" s="28">
        <f t="shared" si="97"/>
        <v>6.286672254819782E-2</v>
      </c>
      <c r="D272" s="121">
        <v>30</v>
      </c>
      <c r="E272" s="121">
        <f t="shared" si="98"/>
        <v>45.207460184409051</v>
      </c>
      <c r="F272" s="121">
        <f t="shared" si="99"/>
        <v>59.283319362950543</v>
      </c>
      <c r="G272" s="121"/>
      <c r="H272" s="121"/>
      <c r="I272" s="121">
        <f t="shared" si="100"/>
        <v>52.374266554903606</v>
      </c>
      <c r="J272" s="29">
        <v>1</v>
      </c>
      <c r="K272" s="29">
        <f t="shared" si="101"/>
        <v>56.233333333333327</v>
      </c>
      <c r="L272" s="29">
        <v>56</v>
      </c>
      <c r="M272" s="29">
        <v>56</v>
      </c>
      <c r="N272" s="29">
        <v>56.7</v>
      </c>
      <c r="O272" s="29">
        <f t="shared" si="69"/>
        <v>3.5352053646269903</v>
      </c>
      <c r="P272" s="35">
        <v>216</v>
      </c>
      <c r="Q272" s="21">
        <f t="shared" si="77"/>
        <v>10508.044425817267</v>
      </c>
      <c r="R272" s="31">
        <f t="shared" si="102"/>
        <v>1686.9999999999998</v>
      </c>
      <c r="S272" s="31">
        <f t="shared" si="103"/>
        <v>2542.1661777032687</v>
      </c>
      <c r="T272" s="31">
        <f t="shared" si="104"/>
        <v>3333.6986588432519</v>
      </c>
      <c r="U272" s="31">
        <f t="shared" si="105"/>
        <v>0</v>
      </c>
      <c r="V272" s="31">
        <f t="shared" si="106"/>
        <v>0</v>
      </c>
      <c r="W272" s="31">
        <f t="shared" si="107"/>
        <v>2945.179589270746</v>
      </c>
      <c r="X272" s="116"/>
      <c r="Y272" s="115">
        <f t="shared" si="96"/>
        <v>0</v>
      </c>
      <c r="Z272" s="116"/>
    </row>
    <row r="273" spans="1:26" s="36" customFormat="1" ht="24.75" hidden="1" customHeight="1" outlineLevel="3" x14ac:dyDescent="0.35">
      <c r="A273" s="26" t="s">
        <v>283</v>
      </c>
      <c r="B273" s="27" t="s">
        <v>271</v>
      </c>
      <c r="C273" s="28">
        <f t="shared" si="97"/>
        <v>0</v>
      </c>
      <c r="D273" s="121"/>
      <c r="E273" s="121">
        <f t="shared" si="98"/>
        <v>0</v>
      </c>
      <c r="F273" s="121">
        <f t="shared" si="99"/>
        <v>0</v>
      </c>
      <c r="G273" s="121">
        <v>30</v>
      </c>
      <c r="H273" s="121">
        <v>30</v>
      </c>
      <c r="I273" s="121">
        <f t="shared" si="100"/>
        <v>0</v>
      </c>
      <c r="J273" s="29">
        <v>1</v>
      </c>
      <c r="K273" s="29">
        <f t="shared" si="101"/>
        <v>331.66666666666669</v>
      </c>
      <c r="L273" s="29">
        <v>330</v>
      </c>
      <c r="M273" s="29">
        <v>330</v>
      </c>
      <c r="N273" s="29">
        <v>335</v>
      </c>
      <c r="O273" s="29">
        <f t="shared" si="69"/>
        <v>0</v>
      </c>
      <c r="P273" s="35">
        <v>217</v>
      </c>
      <c r="Q273" s="21">
        <f t="shared" si="77"/>
        <v>19900</v>
      </c>
      <c r="R273" s="31">
        <f t="shared" si="102"/>
        <v>0</v>
      </c>
      <c r="S273" s="31">
        <f t="shared" si="103"/>
        <v>0</v>
      </c>
      <c r="T273" s="31">
        <f t="shared" si="104"/>
        <v>0</v>
      </c>
      <c r="U273" s="31">
        <f t="shared" si="105"/>
        <v>9950</v>
      </c>
      <c r="V273" s="31">
        <f t="shared" si="106"/>
        <v>9950</v>
      </c>
      <c r="W273" s="31">
        <f t="shared" si="107"/>
        <v>0</v>
      </c>
      <c r="X273" s="116"/>
      <c r="Y273" s="115">
        <f t="shared" si="96"/>
        <v>0</v>
      </c>
      <c r="Z273" s="116"/>
    </row>
    <row r="274" spans="1:26" s="36" customFormat="1" ht="24.75" hidden="1" customHeight="1" outlineLevel="3" x14ac:dyDescent="0.35">
      <c r="A274" s="26" t="s">
        <v>284</v>
      </c>
      <c r="B274" s="27" t="s">
        <v>271</v>
      </c>
      <c r="C274" s="28">
        <f t="shared" si="97"/>
        <v>0</v>
      </c>
      <c r="D274" s="121"/>
      <c r="E274" s="121">
        <f t="shared" si="98"/>
        <v>0</v>
      </c>
      <c r="F274" s="121">
        <f t="shared" si="99"/>
        <v>0</v>
      </c>
      <c r="G274" s="121"/>
      <c r="H274" s="121"/>
      <c r="I274" s="121">
        <f t="shared" si="100"/>
        <v>0</v>
      </c>
      <c r="J274" s="29">
        <v>1</v>
      </c>
      <c r="K274" s="29">
        <f t="shared" si="101"/>
        <v>52.333333333333336</v>
      </c>
      <c r="L274" s="29">
        <v>52</v>
      </c>
      <c r="M274" s="29">
        <v>52</v>
      </c>
      <c r="N274" s="29">
        <v>53</v>
      </c>
      <c r="O274" s="29">
        <f t="shared" si="69"/>
        <v>0</v>
      </c>
      <c r="P274" s="35">
        <v>218</v>
      </c>
      <c r="Q274" s="21">
        <f t="shared" si="77"/>
        <v>0</v>
      </c>
      <c r="R274" s="31">
        <f t="shared" si="102"/>
        <v>0</v>
      </c>
      <c r="S274" s="31">
        <f t="shared" si="103"/>
        <v>0</v>
      </c>
      <c r="T274" s="31">
        <f t="shared" si="104"/>
        <v>0</v>
      </c>
      <c r="U274" s="31">
        <f t="shared" si="105"/>
        <v>0</v>
      </c>
      <c r="V274" s="31">
        <f t="shared" si="106"/>
        <v>0</v>
      </c>
      <c r="W274" s="31">
        <f t="shared" si="107"/>
        <v>0</v>
      </c>
      <c r="X274" s="116"/>
      <c r="Y274" s="115">
        <f t="shared" si="96"/>
        <v>0</v>
      </c>
      <c r="Z274" s="116"/>
    </row>
    <row r="275" spans="1:26" s="36" customFormat="1" ht="24.75" hidden="1" customHeight="1" outlineLevel="3" x14ac:dyDescent="0.35">
      <c r="A275" s="26" t="s">
        <v>285</v>
      </c>
      <c r="B275" s="27" t="s">
        <v>286</v>
      </c>
      <c r="C275" s="28">
        <f t="shared" si="97"/>
        <v>3.7720033528918694E-2</v>
      </c>
      <c r="D275" s="121">
        <v>18</v>
      </c>
      <c r="E275" s="121">
        <f t="shared" si="98"/>
        <v>27.124476110645432</v>
      </c>
      <c r="F275" s="121">
        <f t="shared" si="99"/>
        <v>35.569991617770327</v>
      </c>
      <c r="G275" s="121"/>
      <c r="H275" s="121"/>
      <c r="I275" s="121">
        <f t="shared" si="100"/>
        <v>31.424559932942163</v>
      </c>
      <c r="J275" s="29">
        <v>1</v>
      </c>
      <c r="K275" s="29">
        <f t="shared" si="101"/>
        <v>533.33333333333337</v>
      </c>
      <c r="L275" s="29">
        <v>530</v>
      </c>
      <c r="M275" s="29">
        <v>530</v>
      </c>
      <c r="N275" s="29">
        <v>540</v>
      </c>
      <c r="O275" s="29">
        <f t="shared" si="69"/>
        <v>20.117351215423305</v>
      </c>
      <c r="P275" s="35">
        <v>219</v>
      </c>
      <c r="Q275" s="21">
        <f t="shared" si="77"/>
        <v>59796.814752724225</v>
      </c>
      <c r="R275" s="31">
        <f t="shared" si="102"/>
        <v>9600</v>
      </c>
      <c r="S275" s="31">
        <f t="shared" si="103"/>
        <v>14466.387259010899</v>
      </c>
      <c r="T275" s="31">
        <f t="shared" si="104"/>
        <v>18970.662196144174</v>
      </c>
      <c r="U275" s="31">
        <f t="shared" si="105"/>
        <v>0</v>
      </c>
      <c r="V275" s="31">
        <f t="shared" si="106"/>
        <v>0</v>
      </c>
      <c r="W275" s="31">
        <f t="shared" si="107"/>
        <v>16759.765297569156</v>
      </c>
      <c r="X275" s="116"/>
      <c r="Y275" s="115">
        <f t="shared" si="96"/>
        <v>0</v>
      </c>
      <c r="Z275" s="116"/>
    </row>
    <row r="276" spans="1:26" s="36" customFormat="1" ht="24.75" hidden="1" customHeight="1" outlineLevel="3" x14ac:dyDescent="0.35">
      <c r="A276" s="26" t="s">
        <v>287</v>
      </c>
      <c r="B276" s="27" t="s">
        <v>260</v>
      </c>
      <c r="C276" s="28">
        <f t="shared" si="97"/>
        <v>0</v>
      </c>
      <c r="D276" s="121"/>
      <c r="E276" s="121">
        <f t="shared" si="98"/>
        <v>0</v>
      </c>
      <c r="F276" s="121">
        <f t="shared" si="99"/>
        <v>0</v>
      </c>
      <c r="G276" s="121"/>
      <c r="H276" s="121"/>
      <c r="I276" s="121">
        <f t="shared" si="100"/>
        <v>0</v>
      </c>
      <c r="J276" s="29">
        <v>1</v>
      </c>
      <c r="K276" s="29">
        <f t="shared" si="101"/>
        <v>165.66666666666666</v>
      </c>
      <c r="L276" s="29">
        <v>164</v>
      </c>
      <c r="M276" s="29">
        <v>164</v>
      </c>
      <c r="N276" s="29">
        <v>169</v>
      </c>
      <c r="O276" s="29">
        <f t="shared" si="69"/>
        <v>0</v>
      </c>
      <c r="P276" s="35">
        <v>220</v>
      </c>
      <c r="Q276" s="21">
        <f t="shared" si="77"/>
        <v>0</v>
      </c>
      <c r="R276" s="31">
        <f t="shared" si="102"/>
        <v>0</v>
      </c>
      <c r="S276" s="31">
        <f t="shared" si="103"/>
        <v>0</v>
      </c>
      <c r="T276" s="31">
        <f t="shared" si="104"/>
        <v>0</v>
      </c>
      <c r="U276" s="31">
        <f t="shared" si="105"/>
        <v>0</v>
      </c>
      <c r="V276" s="31">
        <f t="shared" si="106"/>
        <v>0</v>
      </c>
      <c r="W276" s="31">
        <f t="shared" si="107"/>
        <v>0</v>
      </c>
      <c r="X276" s="116"/>
      <c r="Y276" s="115">
        <f t="shared" si="96"/>
        <v>0</v>
      </c>
      <c r="Z276" s="116"/>
    </row>
    <row r="277" spans="1:26" s="36" customFormat="1" ht="24.75" hidden="1" customHeight="1" outlineLevel="3" x14ac:dyDescent="0.35">
      <c r="A277" s="26" t="s">
        <v>288</v>
      </c>
      <c r="B277" s="27" t="s">
        <v>10</v>
      </c>
      <c r="C277" s="28">
        <f t="shared" si="97"/>
        <v>3.143336127409891E-2</v>
      </c>
      <c r="D277" s="121">
        <v>15</v>
      </c>
      <c r="E277" s="121">
        <f t="shared" si="98"/>
        <v>22.603730092204525</v>
      </c>
      <c r="F277" s="121">
        <f t="shared" si="99"/>
        <v>29.641659681475272</v>
      </c>
      <c r="G277" s="121"/>
      <c r="H277" s="121"/>
      <c r="I277" s="121">
        <f t="shared" si="100"/>
        <v>26.187133277451803</v>
      </c>
      <c r="J277" s="29">
        <v>1</v>
      </c>
      <c r="K277" s="29">
        <f t="shared" si="101"/>
        <v>56</v>
      </c>
      <c r="L277" s="29">
        <v>55</v>
      </c>
      <c r="M277" s="29">
        <v>55</v>
      </c>
      <c r="N277" s="29">
        <v>58</v>
      </c>
      <c r="O277" s="29">
        <f t="shared" si="69"/>
        <v>1.760268231349539</v>
      </c>
      <c r="P277" s="35">
        <v>221</v>
      </c>
      <c r="Q277" s="21">
        <f t="shared" si="77"/>
        <v>5232.2212908633701</v>
      </c>
      <c r="R277" s="31">
        <f t="shared" si="102"/>
        <v>840</v>
      </c>
      <c r="S277" s="31">
        <f t="shared" si="103"/>
        <v>1265.8088851634534</v>
      </c>
      <c r="T277" s="31">
        <f t="shared" si="104"/>
        <v>1659.9329421626153</v>
      </c>
      <c r="U277" s="31">
        <f t="shared" si="105"/>
        <v>0</v>
      </c>
      <c r="V277" s="31">
        <f t="shared" si="106"/>
        <v>0</v>
      </c>
      <c r="W277" s="31">
        <f t="shared" si="107"/>
        <v>1466.4794635373009</v>
      </c>
      <c r="X277" s="116"/>
      <c r="Y277" s="115">
        <f t="shared" si="96"/>
        <v>0</v>
      </c>
      <c r="Z277" s="116"/>
    </row>
    <row r="278" spans="1:26" s="36" customFormat="1" ht="24.75" hidden="1" customHeight="1" outlineLevel="3" x14ac:dyDescent="0.35">
      <c r="A278" s="26" t="s">
        <v>289</v>
      </c>
      <c r="B278" s="27" t="s">
        <v>286</v>
      </c>
      <c r="C278" s="28">
        <f t="shared" si="97"/>
        <v>6.286672254819782E-2</v>
      </c>
      <c r="D278" s="121">
        <v>30</v>
      </c>
      <c r="E278" s="121">
        <f t="shared" si="98"/>
        <v>45.207460184409051</v>
      </c>
      <c r="F278" s="121">
        <f t="shared" si="99"/>
        <v>59.283319362950543</v>
      </c>
      <c r="G278" s="121"/>
      <c r="H278" s="121"/>
      <c r="I278" s="121">
        <f t="shared" si="100"/>
        <v>52.374266554903606</v>
      </c>
      <c r="J278" s="29">
        <v>1</v>
      </c>
      <c r="K278" s="29">
        <f t="shared" si="101"/>
        <v>333.33333333333331</v>
      </c>
      <c r="L278" s="29">
        <v>330</v>
      </c>
      <c r="M278" s="29">
        <v>330</v>
      </c>
      <c r="N278" s="29">
        <v>340</v>
      </c>
      <c r="O278" s="29">
        <f t="shared" si="69"/>
        <v>20.955574182732605</v>
      </c>
      <c r="P278" s="35">
        <v>222</v>
      </c>
      <c r="Q278" s="21">
        <f t="shared" si="77"/>
        <v>62288.348700754388</v>
      </c>
      <c r="R278" s="31">
        <f t="shared" si="102"/>
        <v>10000</v>
      </c>
      <c r="S278" s="31">
        <f t="shared" si="103"/>
        <v>15069.153394803016</v>
      </c>
      <c r="T278" s="31">
        <f t="shared" si="104"/>
        <v>19761.106454316847</v>
      </c>
      <c r="U278" s="31">
        <f t="shared" si="105"/>
        <v>0</v>
      </c>
      <c r="V278" s="31">
        <f t="shared" si="106"/>
        <v>0</v>
      </c>
      <c r="W278" s="31">
        <f t="shared" si="107"/>
        <v>17458.088851634533</v>
      </c>
      <c r="X278" s="116"/>
      <c r="Y278" s="115">
        <f t="shared" si="96"/>
        <v>0</v>
      </c>
      <c r="Z278" s="116"/>
    </row>
    <row r="279" spans="1:26" s="36" customFormat="1" ht="24.75" hidden="1" customHeight="1" outlineLevel="3" x14ac:dyDescent="0.35">
      <c r="A279" s="26" t="s">
        <v>290</v>
      </c>
      <c r="B279" s="27" t="s">
        <v>271</v>
      </c>
      <c r="C279" s="28">
        <f t="shared" si="97"/>
        <v>0</v>
      </c>
      <c r="D279" s="121"/>
      <c r="E279" s="121">
        <f t="shared" si="98"/>
        <v>0</v>
      </c>
      <c r="F279" s="121">
        <f t="shared" si="99"/>
        <v>0</v>
      </c>
      <c r="G279" s="121">
        <v>6</v>
      </c>
      <c r="H279" s="121">
        <v>6</v>
      </c>
      <c r="I279" s="121">
        <f t="shared" si="100"/>
        <v>0</v>
      </c>
      <c r="J279" s="29">
        <v>1</v>
      </c>
      <c r="K279" s="29">
        <f t="shared" si="101"/>
        <v>760</v>
      </c>
      <c r="L279" s="29">
        <v>750</v>
      </c>
      <c r="M279" s="29">
        <v>750</v>
      </c>
      <c r="N279" s="29">
        <v>780</v>
      </c>
      <c r="O279" s="29">
        <f t="shared" si="69"/>
        <v>0</v>
      </c>
      <c r="P279" s="35">
        <v>223</v>
      </c>
      <c r="Q279" s="21">
        <f t="shared" si="77"/>
        <v>9120</v>
      </c>
      <c r="R279" s="31">
        <f t="shared" si="102"/>
        <v>0</v>
      </c>
      <c r="S279" s="31">
        <f t="shared" si="103"/>
        <v>0</v>
      </c>
      <c r="T279" s="31">
        <f t="shared" si="104"/>
        <v>0</v>
      </c>
      <c r="U279" s="31">
        <f t="shared" si="105"/>
        <v>4560</v>
      </c>
      <c r="V279" s="31">
        <f t="shared" si="106"/>
        <v>4560</v>
      </c>
      <c r="W279" s="31">
        <f t="shared" si="107"/>
        <v>0</v>
      </c>
      <c r="X279" s="116"/>
      <c r="Y279" s="115">
        <f t="shared" si="96"/>
        <v>0</v>
      </c>
      <c r="Z279" s="116"/>
    </row>
    <row r="280" spans="1:26" s="36" customFormat="1" ht="24.75" hidden="1" customHeight="1" outlineLevel="3" x14ac:dyDescent="0.35">
      <c r="A280" s="26" t="s">
        <v>291</v>
      </c>
      <c r="B280" s="27" t="s">
        <v>26</v>
      </c>
      <c r="C280" s="28">
        <f t="shared" si="97"/>
        <v>0</v>
      </c>
      <c r="D280" s="121"/>
      <c r="E280" s="121">
        <f t="shared" si="98"/>
        <v>0</v>
      </c>
      <c r="F280" s="121">
        <f t="shared" si="99"/>
        <v>0</v>
      </c>
      <c r="G280" s="121"/>
      <c r="H280" s="121"/>
      <c r="I280" s="121">
        <f t="shared" si="100"/>
        <v>0</v>
      </c>
      <c r="J280" s="29">
        <v>1</v>
      </c>
      <c r="K280" s="29">
        <f t="shared" si="101"/>
        <v>610</v>
      </c>
      <c r="L280" s="29">
        <v>600</v>
      </c>
      <c r="M280" s="29">
        <v>600</v>
      </c>
      <c r="N280" s="29">
        <v>630</v>
      </c>
      <c r="O280" s="29">
        <f t="shared" si="69"/>
        <v>0</v>
      </c>
      <c r="P280" s="35">
        <v>224</v>
      </c>
      <c r="Q280" s="21">
        <f t="shared" si="77"/>
        <v>0</v>
      </c>
      <c r="R280" s="31">
        <f t="shared" si="102"/>
        <v>0</v>
      </c>
      <c r="S280" s="31">
        <f t="shared" si="103"/>
        <v>0</v>
      </c>
      <c r="T280" s="31">
        <f t="shared" si="104"/>
        <v>0</v>
      </c>
      <c r="U280" s="31">
        <f t="shared" si="105"/>
        <v>0</v>
      </c>
      <c r="V280" s="31">
        <f t="shared" si="106"/>
        <v>0</v>
      </c>
      <c r="W280" s="31">
        <f t="shared" si="107"/>
        <v>0</v>
      </c>
      <c r="X280" s="116"/>
      <c r="Y280" s="115">
        <f t="shared" si="96"/>
        <v>0</v>
      </c>
      <c r="Z280" s="116"/>
    </row>
    <row r="281" spans="1:26" s="36" customFormat="1" ht="24.75" hidden="1" customHeight="1" outlineLevel="3" x14ac:dyDescent="0.35">
      <c r="A281" s="26" t="s">
        <v>398</v>
      </c>
      <c r="B281" s="27" t="s">
        <v>10</v>
      </c>
      <c r="C281" s="28">
        <f t="shared" si="97"/>
        <v>6.286672254819782E-2</v>
      </c>
      <c r="D281" s="121">
        <v>30</v>
      </c>
      <c r="E281" s="121">
        <f t="shared" si="98"/>
        <v>45.207460184409051</v>
      </c>
      <c r="F281" s="121">
        <f t="shared" si="99"/>
        <v>59.283319362950543</v>
      </c>
      <c r="G281" s="121"/>
      <c r="H281" s="121"/>
      <c r="I281" s="121">
        <f t="shared" si="100"/>
        <v>52.374266554903606</v>
      </c>
      <c r="J281" s="29">
        <v>1</v>
      </c>
      <c r="K281" s="29">
        <f t="shared" si="101"/>
        <v>131.66666666666666</v>
      </c>
      <c r="L281" s="29">
        <v>120</v>
      </c>
      <c r="M281" s="29">
        <v>135</v>
      </c>
      <c r="N281" s="29">
        <v>140</v>
      </c>
      <c r="O281" s="29">
        <f t="shared" si="69"/>
        <v>8.2774518021793799</v>
      </c>
      <c r="P281" s="35">
        <v>225</v>
      </c>
      <c r="Q281" s="21">
        <f t="shared" si="77"/>
        <v>24603.897736797986</v>
      </c>
      <c r="R281" s="31">
        <f t="shared" si="102"/>
        <v>3949.9999999999995</v>
      </c>
      <c r="S281" s="31">
        <f t="shared" si="103"/>
        <v>5952.3155909471916</v>
      </c>
      <c r="T281" s="31">
        <f t="shared" si="104"/>
        <v>7805.6370494551538</v>
      </c>
      <c r="U281" s="31">
        <f t="shared" si="105"/>
        <v>0</v>
      </c>
      <c r="V281" s="31">
        <f t="shared" si="106"/>
        <v>0</v>
      </c>
      <c r="W281" s="31">
        <f t="shared" si="107"/>
        <v>6895.9450963956406</v>
      </c>
      <c r="X281" s="116"/>
      <c r="Y281" s="115">
        <f t="shared" si="96"/>
        <v>0</v>
      </c>
      <c r="Z281" s="116"/>
    </row>
    <row r="282" spans="1:26" s="36" customFormat="1" ht="24.75" hidden="1" customHeight="1" outlineLevel="3" x14ac:dyDescent="0.35">
      <c r="A282" s="26" t="s">
        <v>399</v>
      </c>
      <c r="B282" s="27" t="s">
        <v>10</v>
      </c>
      <c r="C282" s="28">
        <f t="shared" si="97"/>
        <v>0</v>
      </c>
      <c r="D282" s="121"/>
      <c r="E282" s="121">
        <f t="shared" si="98"/>
        <v>0</v>
      </c>
      <c r="F282" s="121">
        <f t="shared" si="99"/>
        <v>0</v>
      </c>
      <c r="G282" s="121">
        <v>30</v>
      </c>
      <c r="H282" s="121">
        <v>30</v>
      </c>
      <c r="I282" s="121">
        <f t="shared" si="100"/>
        <v>0</v>
      </c>
      <c r="J282" s="29">
        <v>1</v>
      </c>
      <c r="K282" s="29">
        <f t="shared" si="101"/>
        <v>64.84</v>
      </c>
      <c r="L282" s="29">
        <v>64.84</v>
      </c>
      <c r="M282" s="29"/>
      <c r="N282" s="29"/>
      <c r="O282" s="29">
        <f t="shared" si="69"/>
        <v>0</v>
      </c>
      <c r="P282" s="35">
        <v>226</v>
      </c>
      <c r="Q282" s="21">
        <f t="shared" si="77"/>
        <v>3890.4</v>
      </c>
      <c r="R282" s="31">
        <f t="shared" si="102"/>
        <v>0</v>
      </c>
      <c r="S282" s="31">
        <f t="shared" si="103"/>
        <v>0</v>
      </c>
      <c r="T282" s="31">
        <f t="shared" si="104"/>
        <v>0</v>
      </c>
      <c r="U282" s="31">
        <f t="shared" si="105"/>
        <v>1945.2</v>
      </c>
      <c r="V282" s="31">
        <f t="shared" si="106"/>
        <v>1945.2</v>
      </c>
      <c r="W282" s="31">
        <f t="shared" si="107"/>
        <v>0</v>
      </c>
      <c r="X282" s="116"/>
      <c r="Y282" s="115">
        <f t="shared" si="96"/>
        <v>0</v>
      </c>
      <c r="Z282" s="116"/>
    </row>
    <row r="283" spans="1:26" s="36" customFormat="1" ht="24.75" hidden="1" customHeight="1" outlineLevel="3" x14ac:dyDescent="0.35">
      <c r="A283" s="26" t="s">
        <v>400</v>
      </c>
      <c r="B283" s="27" t="s">
        <v>10</v>
      </c>
      <c r="C283" s="28">
        <f t="shared" si="97"/>
        <v>3.143336127409891E-2</v>
      </c>
      <c r="D283" s="121">
        <v>15</v>
      </c>
      <c r="E283" s="121">
        <f t="shared" si="98"/>
        <v>22.603730092204525</v>
      </c>
      <c r="F283" s="121">
        <f t="shared" si="99"/>
        <v>29.641659681475272</v>
      </c>
      <c r="G283" s="121"/>
      <c r="H283" s="121"/>
      <c r="I283" s="121">
        <f t="shared" si="100"/>
        <v>26.187133277451803</v>
      </c>
      <c r="J283" s="29">
        <v>1</v>
      </c>
      <c r="K283" s="29">
        <f>AVERAGE(L283:N283)</f>
        <v>792</v>
      </c>
      <c r="L283" s="29">
        <v>780</v>
      </c>
      <c r="M283" s="29">
        <v>796</v>
      </c>
      <c r="N283" s="29">
        <v>800</v>
      </c>
      <c r="O283" s="29">
        <f t="shared" si="69"/>
        <v>24.895222129086338</v>
      </c>
      <c r="P283" s="35">
        <v>227</v>
      </c>
      <c r="Q283" s="21">
        <f t="shared" si="77"/>
        <v>73998.558256496239</v>
      </c>
      <c r="R283" s="31">
        <f t="shared" si="102"/>
        <v>11880</v>
      </c>
      <c r="S283" s="31">
        <f t="shared" si="103"/>
        <v>17902.154233025984</v>
      </c>
      <c r="T283" s="31">
        <f t="shared" si="104"/>
        <v>23476.194467728415</v>
      </c>
      <c r="U283" s="31">
        <f t="shared" si="105"/>
        <v>0</v>
      </c>
      <c r="V283" s="31">
        <f t="shared" si="106"/>
        <v>0</v>
      </c>
      <c r="W283" s="31">
        <f t="shared" si="107"/>
        <v>20740.209555741829</v>
      </c>
      <c r="X283" s="116"/>
      <c r="Y283" s="115">
        <f t="shared" si="96"/>
        <v>0</v>
      </c>
      <c r="Z283" s="116"/>
    </row>
    <row r="284" spans="1:26" s="36" customFormat="1" ht="24.75" hidden="1" customHeight="1" outlineLevel="3" x14ac:dyDescent="0.35">
      <c r="A284" s="26" t="s">
        <v>401</v>
      </c>
      <c r="B284" s="27" t="s">
        <v>10</v>
      </c>
      <c r="C284" s="28">
        <f t="shared" si="97"/>
        <v>6.286672254819782E-2</v>
      </c>
      <c r="D284" s="121">
        <v>30</v>
      </c>
      <c r="E284" s="121">
        <f t="shared" si="98"/>
        <v>45.207460184409051</v>
      </c>
      <c r="F284" s="121">
        <f t="shared" si="99"/>
        <v>59.283319362950543</v>
      </c>
      <c r="G284" s="121"/>
      <c r="H284" s="121"/>
      <c r="I284" s="121">
        <f t="shared" si="100"/>
        <v>52.374266554903606</v>
      </c>
      <c r="J284" s="29">
        <v>1</v>
      </c>
      <c r="K284" s="29">
        <f>AVERAGE(L284:N284)</f>
        <v>1513.3333333333333</v>
      </c>
      <c r="L284" s="29">
        <v>1350</v>
      </c>
      <c r="M284" s="29">
        <v>1590</v>
      </c>
      <c r="N284" s="29">
        <v>1600</v>
      </c>
      <c r="O284" s="29">
        <f t="shared" si="69"/>
        <v>95.138306789606034</v>
      </c>
      <c r="P284" s="35">
        <v>228</v>
      </c>
      <c r="Q284" s="21">
        <f t="shared" si="77"/>
        <v>282789.10310142499</v>
      </c>
      <c r="R284" s="31">
        <f t="shared" si="102"/>
        <v>45400</v>
      </c>
      <c r="S284" s="31">
        <f t="shared" si="103"/>
        <v>68413.956412405692</v>
      </c>
      <c r="T284" s="31">
        <f t="shared" si="104"/>
        <v>89715.423302598487</v>
      </c>
      <c r="U284" s="31">
        <f t="shared" si="105"/>
        <v>0</v>
      </c>
      <c r="V284" s="31">
        <f t="shared" si="106"/>
        <v>0</v>
      </c>
      <c r="W284" s="31">
        <f t="shared" si="107"/>
        <v>79259.723386420781</v>
      </c>
      <c r="X284" s="116"/>
      <c r="Y284" s="115">
        <f t="shared" si="96"/>
        <v>0</v>
      </c>
      <c r="Z284" s="116"/>
    </row>
    <row r="285" spans="1:26" s="36" customFormat="1" ht="14.25" customHeight="1" outlineLevel="2" collapsed="1" x14ac:dyDescent="0.35">
      <c r="A285" s="33" t="s">
        <v>31</v>
      </c>
      <c r="B285" s="34" t="s">
        <v>3</v>
      </c>
      <c r="C285" s="34" t="s">
        <v>3</v>
      </c>
      <c r="D285" s="34" t="s">
        <v>3</v>
      </c>
      <c r="E285" s="34" t="s">
        <v>3</v>
      </c>
      <c r="F285" s="34" t="s">
        <v>3</v>
      </c>
      <c r="G285" s="34" t="s">
        <v>3</v>
      </c>
      <c r="H285" s="34" t="s">
        <v>3</v>
      </c>
      <c r="I285" s="34" t="s">
        <v>3</v>
      </c>
      <c r="J285" s="34" t="s">
        <v>3</v>
      </c>
      <c r="K285" s="34" t="s">
        <v>3</v>
      </c>
      <c r="L285" s="34"/>
      <c r="M285" s="34"/>
      <c r="N285" s="34"/>
      <c r="O285" s="29">
        <f>SUM(O286:O288)</f>
        <v>0</v>
      </c>
      <c r="P285" s="34" t="s">
        <v>3</v>
      </c>
      <c r="Q285" s="21">
        <f t="shared" si="77"/>
        <v>34223.333333333336</v>
      </c>
      <c r="R285" s="31">
        <f t="shared" ref="R285:W285" si="108">SUM(R286:R288)</f>
        <v>15826.666666666668</v>
      </c>
      <c r="S285" s="31">
        <f t="shared" si="108"/>
        <v>0</v>
      </c>
      <c r="T285" s="31">
        <f t="shared" si="108"/>
        <v>0</v>
      </c>
      <c r="U285" s="31">
        <f t="shared" si="108"/>
        <v>0</v>
      </c>
      <c r="V285" s="31">
        <f t="shared" si="108"/>
        <v>0</v>
      </c>
      <c r="W285" s="31">
        <f t="shared" si="108"/>
        <v>18396.666666666668</v>
      </c>
      <c r="X285" s="116"/>
      <c r="Y285" s="115">
        <f t="shared" si="96"/>
        <v>0</v>
      </c>
      <c r="Z285" s="116"/>
    </row>
    <row r="286" spans="1:26" s="36" customFormat="1" ht="24.75" hidden="1" customHeight="1" outlineLevel="3" x14ac:dyDescent="0.35">
      <c r="A286" s="26" t="s">
        <v>355</v>
      </c>
      <c r="B286" s="27" t="s">
        <v>10</v>
      </c>
      <c r="C286" s="28">
        <f>F286/$T$2</f>
        <v>0</v>
      </c>
      <c r="D286" s="29"/>
      <c r="E286" s="29"/>
      <c r="F286" s="29"/>
      <c r="G286" s="29"/>
      <c r="H286" s="29"/>
      <c r="I286" s="29">
        <v>2</v>
      </c>
      <c r="J286" s="29">
        <v>1</v>
      </c>
      <c r="K286" s="29">
        <f>AVERAGE(L286:N286)</f>
        <v>3978.3333333333335</v>
      </c>
      <c r="L286" s="29">
        <v>3895</v>
      </c>
      <c r="M286" s="29">
        <v>3940</v>
      </c>
      <c r="N286" s="29">
        <v>4100</v>
      </c>
      <c r="O286" s="29">
        <f t="shared" si="69"/>
        <v>0</v>
      </c>
      <c r="P286" s="35">
        <v>229</v>
      </c>
      <c r="Q286" s="21">
        <f t="shared" si="77"/>
        <v>7956.666666666667</v>
      </c>
      <c r="R286" s="31">
        <f t="shared" ref="R286:W288" si="109">D286*$K286/$J286</f>
        <v>0</v>
      </c>
      <c r="S286" s="31">
        <f t="shared" si="109"/>
        <v>0</v>
      </c>
      <c r="T286" s="31">
        <f t="shared" si="109"/>
        <v>0</v>
      </c>
      <c r="U286" s="31">
        <f t="shared" si="109"/>
        <v>0</v>
      </c>
      <c r="V286" s="31">
        <f t="shared" si="109"/>
        <v>0</v>
      </c>
      <c r="W286" s="31">
        <f t="shared" si="109"/>
        <v>7956.666666666667</v>
      </c>
      <c r="X286" s="116"/>
      <c r="Y286" s="115">
        <f t="shared" si="96"/>
        <v>0</v>
      </c>
      <c r="Z286" s="116"/>
    </row>
    <row r="287" spans="1:26" s="36" customFormat="1" ht="24.75" hidden="1" customHeight="1" outlineLevel="3" x14ac:dyDescent="0.35">
      <c r="A287" s="26" t="s">
        <v>356</v>
      </c>
      <c r="B287" s="27" t="s">
        <v>10</v>
      </c>
      <c r="C287" s="28">
        <f>F287/$T$2</f>
        <v>0</v>
      </c>
      <c r="D287" s="29"/>
      <c r="E287" s="29"/>
      <c r="F287" s="29"/>
      <c r="G287" s="29"/>
      <c r="H287" s="29"/>
      <c r="I287" s="29">
        <v>12</v>
      </c>
      <c r="J287" s="29">
        <v>1</v>
      </c>
      <c r="K287" s="29">
        <f>AVERAGE(L287:N287)</f>
        <v>870</v>
      </c>
      <c r="L287" s="29">
        <v>850</v>
      </c>
      <c r="M287" s="29">
        <v>860</v>
      </c>
      <c r="N287" s="29">
        <v>900</v>
      </c>
      <c r="O287" s="29">
        <f t="shared" si="69"/>
        <v>0</v>
      </c>
      <c r="P287" s="35">
        <v>230</v>
      </c>
      <c r="Q287" s="21">
        <f t="shared" si="77"/>
        <v>10440</v>
      </c>
      <c r="R287" s="31">
        <f t="shared" si="109"/>
        <v>0</v>
      </c>
      <c r="S287" s="31">
        <f t="shared" si="109"/>
        <v>0</v>
      </c>
      <c r="T287" s="31">
        <f t="shared" si="109"/>
        <v>0</v>
      </c>
      <c r="U287" s="31">
        <f t="shared" si="109"/>
        <v>0</v>
      </c>
      <c r="V287" s="31">
        <f t="shared" si="109"/>
        <v>0</v>
      </c>
      <c r="W287" s="31">
        <f t="shared" si="109"/>
        <v>10440</v>
      </c>
      <c r="X287" s="116"/>
      <c r="Y287" s="115">
        <f t="shared" si="96"/>
        <v>0</v>
      </c>
      <c r="Z287" s="116"/>
    </row>
    <row r="288" spans="1:26" s="36" customFormat="1" ht="25.5" hidden="1" customHeight="1" outlineLevel="3" x14ac:dyDescent="0.35">
      <c r="A288" s="26" t="s">
        <v>403</v>
      </c>
      <c r="B288" s="27" t="s">
        <v>10</v>
      </c>
      <c r="C288" s="28">
        <f>F288/$T$2</f>
        <v>0</v>
      </c>
      <c r="D288" s="29">
        <v>20</v>
      </c>
      <c r="E288" s="29"/>
      <c r="F288" s="29"/>
      <c r="G288" s="29"/>
      <c r="H288" s="29"/>
      <c r="I288" s="29"/>
      <c r="J288" s="29">
        <v>1</v>
      </c>
      <c r="K288" s="29">
        <f>AVERAGE(L288:N288)</f>
        <v>791.33333333333337</v>
      </c>
      <c r="L288" s="29">
        <v>805</v>
      </c>
      <c r="M288" s="29">
        <v>699</v>
      </c>
      <c r="N288" s="29">
        <v>870</v>
      </c>
      <c r="O288" s="29">
        <f t="shared" si="69"/>
        <v>0</v>
      </c>
      <c r="P288" s="35">
        <v>231</v>
      </c>
      <c r="Q288" s="21">
        <f t="shared" si="77"/>
        <v>15826.666666666668</v>
      </c>
      <c r="R288" s="31">
        <f t="shared" si="109"/>
        <v>15826.666666666668</v>
      </c>
      <c r="S288" s="31">
        <f t="shared" si="109"/>
        <v>0</v>
      </c>
      <c r="T288" s="31">
        <f t="shared" si="109"/>
        <v>0</v>
      </c>
      <c r="U288" s="31">
        <f t="shared" si="109"/>
        <v>0</v>
      </c>
      <c r="V288" s="31">
        <f t="shared" si="109"/>
        <v>0</v>
      </c>
      <c r="W288" s="31">
        <f t="shared" si="109"/>
        <v>0</v>
      </c>
      <c r="X288" s="116"/>
      <c r="Y288" s="115">
        <f t="shared" si="96"/>
        <v>0</v>
      </c>
      <c r="Z288" s="116"/>
    </row>
    <row r="289" spans="1:26" s="36" customFormat="1" ht="65.25" customHeight="1" outlineLevel="2" collapsed="1" x14ac:dyDescent="0.35">
      <c r="A289" s="33" t="s">
        <v>479</v>
      </c>
      <c r="B289" s="34" t="s">
        <v>3</v>
      </c>
      <c r="C289" s="34" t="s">
        <v>3</v>
      </c>
      <c r="D289" s="34" t="s">
        <v>3</v>
      </c>
      <c r="E289" s="34" t="s">
        <v>3</v>
      </c>
      <c r="F289" s="34" t="s">
        <v>3</v>
      </c>
      <c r="G289" s="34" t="s">
        <v>3</v>
      </c>
      <c r="H289" s="34" t="s">
        <v>3</v>
      </c>
      <c r="I289" s="34" t="s">
        <v>3</v>
      </c>
      <c r="J289" s="34" t="s">
        <v>3</v>
      </c>
      <c r="K289" s="34" t="s">
        <v>3</v>
      </c>
      <c r="L289" s="34"/>
      <c r="M289" s="34"/>
      <c r="N289" s="34"/>
      <c r="O289" s="29">
        <f>SUM(O290:O333)</f>
        <v>0</v>
      </c>
      <c r="P289" s="34" t="s">
        <v>3</v>
      </c>
      <c r="Q289" s="21">
        <f t="shared" si="77"/>
        <v>223616.49666666667</v>
      </c>
      <c r="R289" s="31">
        <f t="shared" ref="R289:W289" si="110">SUM(R290:R333)</f>
        <v>107565.38333333333</v>
      </c>
      <c r="S289" s="31">
        <f t="shared" si="110"/>
        <v>30751.58</v>
      </c>
      <c r="T289" s="31">
        <f t="shared" si="110"/>
        <v>0</v>
      </c>
      <c r="U289" s="31">
        <f t="shared" si="110"/>
        <v>16240.6</v>
      </c>
      <c r="V289" s="31">
        <f t="shared" si="110"/>
        <v>16240.6</v>
      </c>
      <c r="W289" s="31">
        <f t="shared" si="110"/>
        <v>52818.333333333336</v>
      </c>
      <c r="X289" s="116"/>
      <c r="Y289" s="115">
        <f t="shared" si="96"/>
        <v>0</v>
      </c>
      <c r="Z289" s="116"/>
    </row>
    <row r="290" spans="1:26" s="36" customFormat="1" ht="25.5" hidden="1" customHeight="1" outlineLevel="3" x14ac:dyDescent="0.35">
      <c r="A290" s="26" t="s">
        <v>372</v>
      </c>
      <c r="B290" s="27" t="s">
        <v>10</v>
      </c>
      <c r="C290" s="28">
        <f t="shared" ref="C290:C333" si="111">F290/$T$2</f>
        <v>0</v>
      </c>
      <c r="D290" s="29">
        <v>15</v>
      </c>
      <c r="E290" s="29"/>
      <c r="F290" s="29"/>
      <c r="G290" s="29"/>
      <c r="H290" s="29"/>
      <c r="I290" s="29"/>
      <c r="J290" s="29">
        <v>1</v>
      </c>
      <c r="K290" s="29">
        <f>AVERAGE(L290:N290)</f>
        <v>283.33333333333331</v>
      </c>
      <c r="L290" s="29">
        <v>260</v>
      </c>
      <c r="M290" s="29">
        <v>290</v>
      </c>
      <c r="N290" s="29">
        <v>300</v>
      </c>
      <c r="O290" s="29">
        <f t="shared" si="69"/>
        <v>0</v>
      </c>
      <c r="P290" s="35">
        <v>232</v>
      </c>
      <c r="Q290" s="21">
        <f t="shared" si="77"/>
        <v>4250</v>
      </c>
      <c r="R290" s="31">
        <f t="shared" ref="R290:R333" si="112">D290*$K290/$J290</f>
        <v>4250</v>
      </c>
      <c r="S290" s="31">
        <f t="shared" ref="S290:S333" si="113">E290*$K290/$J290</f>
        <v>0</v>
      </c>
      <c r="T290" s="31">
        <f t="shared" ref="T290:T333" si="114">F290*$K290/$J290</f>
        <v>0</v>
      </c>
      <c r="U290" s="31">
        <f t="shared" ref="U290:U333" si="115">G290*$K290/$J290</f>
        <v>0</v>
      </c>
      <c r="V290" s="31">
        <f t="shared" ref="V290:V333" si="116">H290*$K290/$J290</f>
        <v>0</v>
      </c>
      <c r="W290" s="31">
        <f t="shared" ref="W290:W333" si="117">I290*$K290/$J290</f>
        <v>0</v>
      </c>
      <c r="X290" s="116"/>
      <c r="Y290" s="115">
        <f t="shared" si="96"/>
        <v>0</v>
      </c>
      <c r="Z290" s="116"/>
    </row>
    <row r="291" spans="1:26" s="36" customFormat="1" ht="25.5" hidden="1" customHeight="1" outlineLevel="3" x14ac:dyDescent="0.35">
      <c r="A291" s="26" t="s">
        <v>373</v>
      </c>
      <c r="B291" s="27" t="s">
        <v>10</v>
      </c>
      <c r="C291" s="28">
        <f t="shared" si="111"/>
        <v>0</v>
      </c>
      <c r="D291" s="29">
        <v>10</v>
      </c>
      <c r="E291" s="29"/>
      <c r="F291" s="29"/>
      <c r="G291" s="29"/>
      <c r="H291" s="29"/>
      <c r="I291" s="29"/>
      <c r="J291" s="29">
        <v>1</v>
      </c>
      <c r="K291" s="29">
        <f>AVERAGE(L291:N291)</f>
        <v>483.34</v>
      </c>
      <c r="L291" s="29">
        <v>483.34</v>
      </c>
      <c r="M291" s="29"/>
      <c r="N291" s="29"/>
      <c r="O291" s="29">
        <f t="shared" si="69"/>
        <v>0</v>
      </c>
      <c r="P291" s="35">
        <v>233</v>
      </c>
      <c r="Q291" s="21">
        <f t="shared" si="77"/>
        <v>4833.3999999999996</v>
      </c>
      <c r="R291" s="31">
        <f t="shared" si="112"/>
        <v>4833.3999999999996</v>
      </c>
      <c r="S291" s="31">
        <f t="shared" si="113"/>
        <v>0</v>
      </c>
      <c r="T291" s="31">
        <f t="shared" si="114"/>
        <v>0</v>
      </c>
      <c r="U291" s="31">
        <f t="shared" si="115"/>
        <v>0</v>
      </c>
      <c r="V291" s="31">
        <f t="shared" si="116"/>
        <v>0</v>
      </c>
      <c r="W291" s="31">
        <f t="shared" si="117"/>
        <v>0</v>
      </c>
      <c r="X291" s="116"/>
      <c r="Y291" s="115">
        <f t="shared" si="96"/>
        <v>0</v>
      </c>
      <c r="Z291" s="116"/>
    </row>
    <row r="292" spans="1:26" s="36" customFormat="1" ht="25.5" hidden="1" customHeight="1" outlineLevel="3" x14ac:dyDescent="0.35">
      <c r="A292" s="26" t="s">
        <v>374</v>
      </c>
      <c r="B292" s="27" t="s">
        <v>10</v>
      </c>
      <c r="C292" s="28">
        <f t="shared" si="111"/>
        <v>0</v>
      </c>
      <c r="D292" s="29">
        <v>15</v>
      </c>
      <c r="E292" s="29"/>
      <c r="F292" s="29"/>
      <c r="G292" s="29"/>
      <c r="H292" s="29"/>
      <c r="I292" s="29"/>
      <c r="J292" s="29">
        <v>1</v>
      </c>
      <c r="K292" s="29">
        <f t="shared" ref="K292:K319" si="118">AVERAGE(L292:N292)</f>
        <v>233.33333333333334</v>
      </c>
      <c r="L292" s="29">
        <v>210</v>
      </c>
      <c r="M292" s="29">
        <v>240</v>
      </c>
      <c r="N292" s="29">
        <v>250</v>
      </c>
      <c r="O292" s="29">
        <f t="shared" si="69"/>
        <v>0</v>
      </c>
      <c r="P292" s="35">
        <v>234</v>
      </c>
      <c r="Q292" s="21">
        <f t="shared" si="77"/>
        <v>3500</v>
      </c>
      <c r="R292" s="31">
        <f t="shared" si="112"/>
        <v>3500</v>
      </c>
      <c r="S292" s="31">
        <f t="shared" si="113"/>
        <v>0</v>
      </c>
      <c r="T292" s="31">
        <f t="shared" si="114"/>
        <v>0</v>
      </c>
      <c r="U292" s="31">
        <f t="shared" si="115"/>
        <v>0</v>
      </c>
      <c r="V292" s="31">
        <f t="shared" si="116"/>
        <v>0</v>
      </c>
      <c r="W292" s="31">
        <f t="shared" si="117"/>
        <v>0</v>
      </c>
      <c r="X292" s="116"/>
      <c r="Y292" s="115">
        <f t="shared" si="96"/>
        <v>0</v>
      </c>
      <c r="Z292" s="116"/>
    </row>
    <row r="293" spans="1:26" s="36" customFormat="1" ht="25.5" hidden="1" customHeight="1" outlineLevel="3" x14ac:dyDescent="0.35">
      <c r="A293" s="26" t="s">
        <v>375</v>
      </c>
      <c r="B293" s="27" t="s">
        <v>10</v>
      </c>
      <c r="C293" s="28">
        <f t="shared" si="111"/>
        <v>0</v>
      </c>
      <c r="D293" s="29">
        <v>10</v>
      </c>
      <c r="E293" s="29"/>
      <c r="F293" s="29"/>
      <c r="G293" s="29"/>
      <c r="H293" s="29"/>
      <c r="I293" s="29"/>
      <c r="J293" s="29">
        <v>1</v>
      </c>
      <c r="K293" s="29">
        <f t="shared" si="118"/>
        <v>230</v>
      </c>
      <c r="L293" s="29">
        <v>210</v>
      </c>
      <c r="M293" s="29">
        <v>230</v>
      </c>
      <c r="N293" s="29">
        <v>250</v>
      </c>
      <c r="O293" s="29">
        <f t="shared" si="69"/>
        <v>0</v>
      </c>
      <c r="P293" s="35">
        <v>235</v>
      </c>
      <c r="Q293" s="21">
        <f t="shared" ref="Q293:Q333" si="119">SUM(R293:W293)</f>
        <v>2300</v>
      </c>
      <c r="R293" s="31">
        <f t="shared" si="112"/>
        <v>2300</v>
      </c>
      <c r="S293" s="31">
        <f t="shared" si="113"/>
        <v>0</v>
      </c>
      <c r="T293" s="31">
        <f t="shared" si="114"/>
        <v>0</v>
      </c>
      <c r="U293" s="31">
        <f t="shared" si="115"/>
        <v>0</v>
      </c>
      <c r="V293" s="31">
        <f t="shared" si="116"/>
        <v>0</v>
      </c>
      <c r="W293" s="31">
        <f t="shared" si="117"/>
        <v>0</v>
      </c>
      <c r="X293" s="116"/>
      <c r="Y293" s="115">
        <f t="shared" si="96"/>
        <v>0</v>
      </c>
      <c r="Z293" s="116"/>
    </row>
    <row r="294" spans="1:26" s="36" customFormat="1" ht="25.5" hidden="1" customHeight="1" outlineLevel="3" x14ac:dyDescent="0.35">
      <c r="A294" s="26" t="s">
        <v>376</v>
      </c>
      <c r="B294" s="27" t="s">
        <v>10</v>
      </c>
      <c r="C294" s="28">
        <f t="shared" si="111"/>
        <v>0</v>
      </c>
      <c r="D294" s="29">
        <v>10</v>
      </c>
      <c r="E294" s="29"/>
      <c r="F294" s="29"/>
      <c r="G294" s="29"/>
      <c r="H294" s="29"/>
      <c r="I294" s="29"/>
      <c r="J294" s="29">
        <v>1</v>
      </c>
      <c r="K294" s="29">
        <f t="shared" si="118"/>
        <v>1846.6666666666667</v>
      </c>
      <c r="L294" s="29">
        <v>1750</v>
      </c>
      <c r="M294" s="29">
        <v>1890</v>
      </c>
      <c r="N294" s="29">
        <v>1900</v>
      </c>
      <c r="O294" s="29">
        <f t="shared" si="69"/>
        <v>0</v>
      </c>
      <c r="P294" s="35">
        <v>236</v>
      </c>
      <c r="Q294" s="21">
        <f t="shared" si="119"/>
        <v>18466.666666666668</v>
      </c>
      <c r="R294" s="31">
        <f t="shared" si="112"/>
        <v>18466.666666666668</v>
      </c>
      <c r="S294" s="31">
        <f t="shared" si="113"/>
        <v>0</v>
      </c>
      <c r="T294" s="31">
        <f t="shared" si="114"/>
        <v>0</v>
      </c>
      <c r="U294" s="31">
        <f t="shared" si="115"/>
        <v>0</v>
      </c>
      <c r="V294" s="31">
        <f t="shared" si="116"/>
        <v>0</v>
      </c>
      <c r="W294" s="31">
        <f t="shared" si="117"/>
        <v>0</v>
      </c>
      <c r="X294" s="116"/>
      <c r="Y294" s="115">
        <f t="shared" si="96"/>
        <v>0</v>
      </c>
      <c r="Z294" s="116"/>
    </row>
    <row r="295" spans="1:26" s="36" customFormat="1" ht="25.5" hidden="1" customHeight="1" outlineLevel="3" x14ac:dyDescent="0.35">
      <c r="A295" s="26" t="s">
        <v>377</v>
      </c>
      <c r="B295" s="27" t="s">
        <v>10</v>
      </c>
      <c r="C295" s="28">
        <f t="shared" si="111"/>
        <v>0</v>
      </c>
      <c r="D295" s="29">
        <v>10</v>
      </c>
      <c r="E295" s="29"/>
      <c r="F295" s="29"/>
      <c r="G295" s="29">
        <v>20</v>
      </c>
      <c r="H295" s="29">
        <v>20</v>
      </c>
      <c r="I295" s="29">
        <v>20</v>
      </c>
      <c r="J295" s="29">
        <v>1</v>
      </c>
      <c r="K295" s="29">
        <f t="shared" si="118"/>
        <v>153.66666666666666</v>
      </c>
      <c r="L295" s="29">
        <v>144</v>
      </c>
      <c r="M295" s="29">
        <v>157</v>
      </c>
      <c r="N295" s="29">
        <v>160</v>
      </c>
      <c r="O295" s="29">
        <f t="shared" si="69"/>
        <v>0</v>
      </c>
      <c r="P295" s="35">
        <v>237</v>
      </c>
      <c r="Q295" s="21">
        <f t="shared" si="119"/>
        <v>10756.666666666666</v>
      </c>
      <c r="R295" s="31">
        <f t="shared" si="112"/>
        <v>1536.6666666666665</v>
      </c>
      <c r="S295" s="31">
        <f t="shared" si="113"/>
        <v>0</v>
      </c>
      <c r="T295" s="31">
        <f t="shared" si="114"/>
        <v>0</v>
      </c>
      <c r="U295" s="31">
        <f t="shared" si="115"/>
        <v>3073.333333333333</v>
      </c>
      <c r="V295" s="31">
        <f t="shared" si="116"/>
        <v>3073.333333333333</v>
      </c>
      <c r="W295" s="31">
        <f t="shared" si="117"/>
        <v>3073.333333333333</v>
      </c>
      <c r="X295" s="116"/>
      <c r="Y295" s="115">
        <f t="shared" si="96"/>
        <v>0</v>
      </c>
      <c r="Z295" s="116"/>
    </row>
    <row r="296" spans="1:26" s="36" customFormat="1" ht="25.5" hidden="1" customHeight="1" outlineLevel="3" x14ac:dyDescent="0.35">
      <c r="A296" s="26" t="s">
        <v>378</v>
      </c>
      <c r="B296" s="27" t="s">
        <v>10</v>
      </c>
      <c r="C296" s="28">
        <f t="shared" si="111"/>
        <v>0</v>
      </c>
      <c r="D296" s="29">
        <v>15</v>
      </c>
      <c r="E296" s="29"/>
      <c r="F296" s="29"/>
      <c r="G296" s="29"/>
      <c r="H296" s="29"/>
      <c r="I296" s="29"/>
      <c r="J296" s="29">
        <v>1</v>
      </c>
      <c r="K296" s="29">
        <f t="shared" si="118"/>
        <v>232</v>
      </c>
      <c r="L296" s="29">
        <v>218</v>
      </c>
      <c r="M296" s="29">
        <v>238</v>
      </c>
      <c r="N296" s="29">
        <v>240</v>
      </c>
      <c r="O296" s="29">
        <f t="shared" si="69"/>
        <v>0</v>
      </c>
      <c r="P296" s="35">
        <v>238</v>
      </c>
      <c r="Q296" s="21">
        <f t="shared" si="119"/>
        <v>3480</v>
      </c>
      <c r="R296" s="31">
        <f t="shared" si="112"/>
        <v>3480</v>
      </c>
      <c r="S296" s="31">
        <f t="shared" si="113"/>
        <v>0</v>
      </c>
      <c r="T296" s="31">
        <f t="shared" si="114"/>
        <v>0</v>
      </c>
      <c r="U296" s="31">
        <f t="shared" si="115"/>
        <v>0</v>
      </c>
      <c r="V296" s="31">
        <f t="shared" si="116"/>
        <v>0</v>
      </c>
      <c r="W296" s="31">
        <f t="shared" si="117"/>
        <v>0</v>
      </c>
      <c r="X296" s="116"/>
      <c r="Y296" s="115">
        <f t="shared" si="96"/>
        <v>0</v>
      </c>
      <c r="Z296" s="116"/>
    </row>
    <row r="297" spans="1:26" s="36" customFormat="1" ht="25.5" hidden="1" customHeight="1" outlineLevel="3" x14ac:dyDescent="0.35">
      <c r="A297" s="26" t="s">
        <v>24</v>
      </c>
      <c r="B297" s="27" t="s">
        <v>10</v>
      </c>
      <c r="C297" s="28">
        <f t="shared" si="111"/>
        <v>0</v>
      </c>
      <c r="D297" s="29">
        <v>15</v>
      </c>
      <c r="E297" s="29"/>
      <c r="F297" s="29"/>
      <c r="G297" s="29"/>
      <c r="H297" s="29"/>
      <c r="I297" s="29">
        <v>25</v>
      </c>
      <c r="J297" s="29">
        <v>1</v>
      </c>
      <c r="K297" s="29">
        <f t="shared" si="118"/>
        <v>57.666666666666664</v>
      </c>
      <c r="L297" s="29">
        <v>54</v>
      </c>
      <c r="M297" s="29">
        <v>59</v>
      </c>
      <c r="N297" s="29">
        <v>60</v>
      </c>
      <c r="O297" s="29">
        <f t="shared" si="69"/>
        <v>0</v>
      </c>
      <c r="P297" s="35">
        <v>239</v>
      </c>
      <c r="Q297" s="21">
        <f t="shared" si="119"/>
        <v>2306.6666666666665</v>
      </c>
      <c r="R297" s="31">
        <f t="shared" si="112"/>
        <v>865</v>
      </c>
      <c r="S297" s="31">
        <f t="shared" si="113"/>
        <v>0</v>
      </c>
      <c r="T297" s="31">
        <f t="shared" si="114"/>
        <v>0</v>
      </c>
      <c r="U297" s="31">
        <f t="shared" si="115"/>
        <v>0</v>
      </c>
      <c r="V297" s="31">
        <f t="shared" si="116"/>
        <v>0</v>
      </c>
      <c r="W297" s="31">
        <f t="shared" si="117"/>
        <v>1441.6666666666665</v>
      </c>
      <c r="X297" s="116"/>
      <c r="Y297" s="115">
        <f t="shared" si="96"/>
        <v>0</v>
      </c>
      <c r="Z297" s="116"/>
    </row>
    <row r="298" spans="1:26" s="36" customFormat="1" ht="25.5" hidden="1" customHeight="1" outlineLevel="3" x14ac:dyDescent="0.35">
      <c r="A298" s="26" t="s">
        <v>379</v>
      </c>
      <c r="B298" s="27" t="s">
        <v>10</v>
      </c>
      <c r="C298" s="28">
        <f t="shared" si="111"/>
        <v>0</v>
      </c>
      <c r="D298" s="29">
        <v>15</v>
      </c>
      <c r="E298" s="29"/>
      <c r="F298" s="29"/>
      <c r="G298" s="29"/>
      <c r="H298" s="29"/>
      <c r="I298" s="29"/>
      <c r="J298" s="29">
        <v>1</v>
      </c>
      <c r="K298" s="29">
        <f t="shared" si="118"/>
        <v>239.26666666666665</v>
      </c>
      <c r="L298" s="29">
        <v>262.8</v>
      </c>
      <c r="M298" s="29">
        <v>245</v>
      </c>
      <c r="N298" s="29">
        <v>210</v>
      </c>
      <c r="O298" s="29">
        <f t="shared" si="69"/>
        <v>0</v>
      </c>
      <c r="P298" s="35">
        <v>240</v>
      </c>
      <c r="Q298" s="21">
        <f t="shared" si="119"/>
        <v>3589</v>
      </c>
      <c r="R298" s="31">
        <f t="shared" si="112"/>
        <v>3589</v>
      </c>
      <c r="S298" s="31">
        <f t="shared" si="113"/>
        <v>0</v>
      </c>
      <c r="T298" s="31">
        <f t="shared" si="114"/>
        <v>0</v>
      </c>
      <c r="U298" s="31">
        <f t="shared" si="115"/>
        <v>0</v>
      </c>
      <c r="V298" s="31">
        <f t="shared" si="116"/>
        <v>0</v>
      </c>
      <c r="W298" s="31">
        <f t="shared" si="117"/>
        <v>0</v>
      </c>
      <c r="X298" s="116"/>
      <c r="Y298" s="115">
        <f t="shared" si="96"/>
        <v>0</v>
      </c>
      <c r="Z298" s="116"/>
    </row>
    <row r="299" spans="1:26" s="36" customFormat="1" ht="25.5" hidden="1" customHeight="1" outlineLevel="3" x14ac:dyDescent="0.35">
      <c r="A299" s="26" t="s">
        <v>380</v>
      </c>
      <c r="B299" s="27" t="s">
        <v>10</v>
      </c>
      <c r="C299" s="28">
        <f t="shared" si="111"/>
        <v>0</v>
      </c>
      <c r="D299" s="29">
        <v>5</v>
      </c>
      <c r="E299" s="29"/>
      <c r="F299" s="29"/>
      <c r="G299" s="29"/>
      <c r="H299" s="29"/>
      <c r="I299" s="29"/>
      <c r="J299" s="29">
        <v>1</v>
      </c>
      <c r="K299" s="29">
        <f t="shared" si="118"/>
        <v>455</v>
      </c>
      <c r="L299" s="29">
        <v>470</v>
      </c>
      <c r="M299" s="29">
        <v>475</v>
      </c>
      <c r="N299" s="29">
        <v>420</v>
      </c>
      <c r="O299" s="29">
        <f t="shared" si="69"/>
        <v>0</v>
      </c>
      <c r="P299" s="35">
        <v>241</v>
      </c>
      <c r="Q299" s="21">
        <f t="shared" si="119"/>
        <v>2275</v>
      </c>
      <c r="R299" s="31">
        <f t="shared" si="112"/>
        <v>2275</v>
      </c>
      <c r="S299" s="31">
        <f t="shared" si="113"/>
        <v>0</v>
      </c>
      <c r="T299" s="31">
        <f t="shared" si="114"/>
        <v>0</v>
      </c>
      <c r="U299" s="31">
        <f t="shared" si="115"/>
        <v>0</v>
      </c>
      <c r="V299" s="31">
        <f t="shared" si="116"/>
        <v>0</v>
      </c>
      <c r="W299" s="31">
        <f t="shared" si="117"/>
        <v>0</v>
      </c>
      <c r="X299" s="116"/>
      <c r="Y299" s="115">
        <f t="shared" si="96"/>
        <v>0</v>
      </c>
      <c r="Z299" s="116"/>
    </row>
    <row r="300" spans="1:26" s="36" customFormat="1" ht="25.5" hidden="1" customHeight="1" outlineLevel="3" x14ac:dyDescent="0.35">
      <c r="A300" s="26" t="s">
        <v>381</v>
      </c>
      <c r="B300" s="27" t="s">
        <v>10</v>
      </c>
      <c r="C300" s="28">
        <f t="shared" si="111"/>
        <v>0</v>
      </c>
      <c r="D300" s="29">
        <v>5</v>
      </c>
      <c r="E300" s="29"/>
      <c r="F300" s="29"/>
      <c r="G300" s="29"/>
      <c r="H300" s="29"/>
      <c r="I300" s="29"/>
      <c r="J300" s="29">
        <v>1</v>
      </c>
      <c r="K300" s="29">
        <f t="shared" si="118"/>
        <v>49.333333333333336</v>
      </c>
      <c r="L300" s="29">
        <v>46</v>
      </c>
      <c r="M300" s="29">
        <v>50</v>
      </c>
      <c r="N300" s="29">
        <v>52</v>
      </c>
      <c r="O300" s="29">
        <f t="shared" si="69"/>
        <v>0</v>
      </c>
      <c r="P300" s="35">
        <v>241</v>
      </c>
      <c r="Q300" s="21">
        <f t="shared" si="119"/>
        <v>246.66666666666669</v>
      </c>
      <c r="R300" s="31">
        <f t="shared" si="112"/>
        <v>246.66666666666669</v>
      </c>
      <c r="S300" s="31">
        <f t="shared" si="113"/>
        <v>0</v>
      </c>
      <c r="T300" s="31">
        <f t="shared" si="114"/>
        <v>0</v>
      </c>
      <c r="U300" s="31">
        <f t="shared" si="115"/>
        <v>0</v>
      </c>
      <c r="V300" s="31">
        <f t="shared" si="116"/>
        <v>0</v>
      </c>
      <c r="W300" s="31">
        <f t="shared" si="117"/>
        <v>0</v>
      </c>
      <c r="X300" s="116"/>
      <c r="Y300" s="115">
        <f t="shared" si="96"/>
        <v>0</v>
      </c>
      <c r="Z300" s="116"/>
    </row>
    <row r="301" spans="1:26" s="36" customFormat="1" ht="25.5" hidden="1" customHeight="1" outlineLevel="3" x14ac:dyDescent="0.35">
      <c r="A301" s="26" t="s">
        <v>382</v>
      </c>
      <c r="B301" s="27" t="s">
        <v>10</v>
      </c>
      <c r="C301" s="28">
        <f t="shared" si="111"/>
        <v>0</v>
      </c>
      <c r="D301" s="29">
        <v>5</v>
      </c>
      <c r="E301" s="29"/>
      <c r="F301" s="29"/>
      <c r="G301" s="29"/>
      <c r="H301" s="29"/>
      <c r="I301" s="29">
        <v>4</v>
      </c>
      <c r="J301" s="29">
        <v>1</v>
      </c>
      <c r="K301" s="29">
        <f t="shared" si="118"/>
        <v>504.33333333333331</v>
      </c>
      <c r="L301" s="29">
        <v>475</v>
      </c>
      <c r="M301" s="29">
        <v>518</v>
      </c>
      <c r="N301" s="29">
        <v>520</v>
      </c>
      <c r="O301" s="29">
        <f t="shared" si="69"/>
        <v>0</v>
      </c>
      <c r="P301" s="35">
        <v>242</v>
      </c>
      <c r="Q301" s="21">
        <f t="shared" si="119"/>
        <v>4539</v>
      </c>
      <c r="R301" s="31">
        <f t="shared" si="112"/>
        <v>2521.6666666666665</v>
      </c>
      <c r="S301" s="31">
        <f t="shared" si="113"/>
        <v>0</v>
      </c>
      <c r="T301" s="31">
        <f t="shared" si="114"/>
        <v>0</v>
      </c>
      <c r="U301" s="31">
        <f t="shared" si="115"/>
        <v>0</v>
      </c>
      <c r="V301" s="31">
        <f t="shared" si="116"/>
        <v>0</v>
      </c>
      <c r="W301" s="31">
        <f t="shared" si="117"/>
        <v>2017.3333333333333</v>
      </c>
      <c r="X301" s="116"/>
      <c r="Y301" s="115">
        <f t="shared" si="96"/>
        <v>0</v>
      </c>
      <c r="Z301" s="116"/>
    </row>
    <row r="302" spans="1:26" s="36" customFormat="1" ht="25.5" hidden="1" customHeight="1" outlineLevel="3" x14ac:dyDescent="0.35">
      <c r="A302" s="26" t="s">
        <v>383</v>
      </c>
      <c r="B302" s="27" t="s">
        <v>10</v>
      </c>
      <c r="C302" s="28">
        <f t="shared" si="111"/>
        <v>0</v>
      </c>
      <c r="D302" s="29">
        <v>10</v>
      </c>
      <c r="E302" s="29"/>
      <c r="F302" s="29"/>
      <c r="G302" s="29"/>
      <c r="H302" s="29"/>
      <c r="I302" s="29">
        <v>10</v>
      </c>
      <c r="J302" s="29">
        <v>1</v>
      </c>
      <c r="K302" s="29">
        <f t="shared" si="118"/>
        <v>212.66666666666666</v>
      </c>
      <c r="L302" s="29">
        <v>200</v>
      </c>
      <c r="M302" s="29">
        <v>226</v>
      </c>
      <c r="N302" s="29">
        <v>212</v>
      </c>
      <c r="O302" s="29">
        <f t="shared" si="69"/>
        <v>0</v>
      </c>
      <c r="P302" s="35">
        <v>243</v>
      </c>
      <c r="Q302" s="21">
        <f t="shared" si="119"/>
        <v>4253.333333333333</v>
      </c>
      <c r="R302" s="31">
        <f t="shared" si="112"/>
        <v>2126.6666666666665</v>
      </c>
      <c r="S302" s="31">
        <f t="shared" si="113"/>
        <v>0</v>
      </c>
      <c r="T302" s="31">
        <f t="shared" si="114"/>
        <v>0</v>
      </c>
      <c r="U302" s="31">
        <f t="shared" si="115"/>
        <v>0</v>
      </c>
      <c r="V302" s="31">
        <f t="shared" si="116"/>
        <v>0</v>
      </c>
      <c r="W302" s="31">
        <f t="shared" si="117"/>
        <v>2126.6666666666665</v>
      </c>
      <c r="X302" s="116"/>
      <c r="Y302" s="115">
        <f t="shared" si="96"/>
        <v>0</v>
      </c>
      <c r="Z302" s="116"/>
    </row>
    <row r="303" spans="1:26" s="36" customFormat="1" ht="25.5" hidden="1" customHeight="1" outlineLevel="3" x14ac:dyDescent="0.35">
      <c r="A303" s="26" t="s">
        <v>384</v>
      </c>
      <c r="B303" s="27" t="s">
        <v>10</v>
      </c>
      <c r="C303" s="28">
        <f t="shared" si="111"/>
        <v>0</v>
      </c>
      <c r="D303" s="29">
        <v>10</v>
      </c>
      <c r="E303" s="29"/>
      <c r="F303" s="29"/>
      <c r="G303" s="29"/>
      <c r="H303" s="29"/>
      <c r="I303" s="29"/>
      <c r="J303" s="29">
        <v>1</v>
      </c>
      <c r="K303" s="29">
        <f t="shared" si="118"/>
        <v>532.33333333333337</v>
      </c>
      <c r="L303" s="29">
        <v>501</v>
      </c>
      <c r="M303" s="29">
        <v>546</v>
      </c>
      <c r="N303" s="29">
        <v>550</v>
      </c>
      <c r="O303" s="29">
        <f t="shared" si="69"/>
        <v>0</v>
      </c>
      <c r="P303" s="35">
        <v>244</v>
      </c>
      <c r="Q303" s="21">
        <f t="shared" si="119"/>
        <v>5323.3333333333339</v>
      </c>
      <c r="R303" s="31">
        <f t="shared" si="112"/>
        <v>5323.3333333333339</v>
      </c>
      <c r="S303" s="31">
        <f t="shared" si="113"/>
        <v>0</v>
      </c>
      <c r="T303" s="31">
        <f t="shared" si="114"/>
        <v>0</v>
      </c>
      <c r="U303" s="31">
        <f t="shared" si="115"/>
        <v>0</v>
      </c>
      <c r="V303" s="31">
        <f t="shared" si="116"/>
        <v>0</v>
      </c>
      <c r="W303" s="31">
        <f t="shared" si="117"/>
        <v>0</v>
      </c>
      <c r="X303" s="116"/>
      <c r="Y303" s="115">
        <f t="shared" si="96"/>
        <v>0</v>
      </c>
      <c r="Z303" s="116"/>
    </row>
    <row r="304" spans="1:26" s="36" customFormat="1" ht="25.5" hidden="1" customHeight="1" outlineLevel="3" x14ac:dyDescent="0.35">
      <c r="A304" s="26" t="s">
        <v>385</v>
      </c>
      <c r="B304" s="27" t="s">
        <v>10</v>
      </c>
      <c r="C304" s="28">
        <f t="shared" si="111"/>
        <v>0</v>
      </c>
      <c r="D304" s="29"/>
      <c r="E304" s="29"/>
      <c r="F304" s="29"/>
      <c r="G304" s="29"/>
      <c r="H304" s="29"/>
      <c r="I304" s="29">
        <v>100</v>
      </c>
      <c r="J304" s="29">
        <v>1</v>
      </c>
      <c r="K304" s="29">
        <f t="shared" si="118"/>
        <v>28.710000000000004</v>
      </c>
      <c r="L304" s="29">
        <v>27</v>
      </c>
      <c r="M304" s="29">
        <v>30.51</v>
      </c>
      <c r="N304" s="29">
        <v>28.62</v>
      </c>
      <c r="O304" s="29">
        <f t="shared" si="69"/>
        <v>0</v>
      </c>
      <c r="P304" s="35">
        <v>245</v>
      </c>
      <c r="Q304" s="21">
        <f t="shared" si="119"/>
        <v>2871.0000000000005</v>
      </c>
      <c r="R304" s="31">
        <f t="shared" si="112"/>
        <v>0</v>
      </c>
      <c r="S304" s="31">
        <f t="shared" si="113"/>
        <v>0</v>
      </c>
      <c r="T304" s="31">
        <f t="shared" si="114"/>
        <v>0</v>
      </c>
      <c r="U304" s="31">
        <f t="shared" si="115"/>
        <v>0</v>
      </c>
      <c r="V304" s="31">
        <f t="shared" si="116"/>
        <v>0</v>
      </c>
      <c r="W304" s="31">
        <f t="shared" si="117"/>
        <v>2871.0000000000005</v>
      </c>
      <c r="X304" s="116"/>
      <c r="Y304" s="115">
        <f t="shared" si="96"/>
        <v>0</v>
      </c>
      <c r="Z304" s="116"/>
    </row>
    <row r="305" spans="1:26" s="36" customFormat="1" ht="25.5" hidden="1" customHeight="1" outlineLevel="3" x14ac:dyDescent="0.35">
      <c r="A305" s="26" t="s">
        <v>386</v>
      </c>
      <c r="B305" s="27" t="s">
        <v>10</v>
      </c>
      <c r="C305" s="28">
        <f t="shared" si="111"/>
        <v>0</v>
      </c>
      <c r="D305" s="29"/>
      <c r="E305" s="29"/>
      <c r="F305" s="29"/>
      <c r="G305" s="29"/>
      <c r="H305" s="29"/>
      <c r="I305" s="29">
        <v>24</v>
      </c>
      <c r="J305" s="29">
        <v>1</v>
      </c>
      <c r="K305" s="29">
        <f t="shared" si="118"/>
        <v>159.5</v>
      </c>
      <c r="L305" s="29">
        <v>150</v>
      </c>
      <c r="M305" s="29">
        <v>169.5</v>
      </c>
      <c r="N305" s="29">
        <v>159</v>
      </c>
      <c r="O305" s="29">
        <f t="shared" si="69"/>
        <v>0</v>
      </c>
      <c r="P305" s="35">
        <v>246</v>
      </c>
      <c r="Q305" s="21">
        <f t="shared" si="119"/>
        <v>3828</v>
      </c>
      <c r="R305" s="31">
        <f t="shared" si="112"/>
        <v>0</v>
      </c>
      <c r="S305" s="31">
        <f t="shared" si="113"/>
        <v>0</v>
      </c>
      <c r="T305" s="31">
        <f t="shared" si="114"/>
        <v>0</v>
      </c>
      <c r="U305" s="31">
        <f t="shared" si="115"/>
        <v>0</v>
      </c>
      <c r="V305" s="31">
        <f t="shared" si="116"/>
        <v>0</v>
      </c>
      <c r="W305" s="31">
        <f t="shared" si="117"/>
        <v>3828</v>
      </c>
      <c r="X305" s="116"/>
      <c r="Y305" s="115">
        <f t="shared" si="96"/>
        <v>0</v>
      </c>
      <c r="Z305" s="116"/>
    </row>
    <row r="306" spans="1:26" s="36" customFormat="1" ht="25.5" hidden="1" customHeight="1" outlineLevel="3" x14ac:dyDescent="0.35">
      <c r="A306" s="26" t="s">
        <v>387</v>
      </c>
      <c r="B306" s="27" t="s">
        <v>10</v>
      </c>
      <c r="C306" s="28">
        <f t="shared" si="111"/>
        <v>0</v>
      </c>
      <c r="D306" s="29"/>
      <c r="E306" s="29"/>
      <c r="F306" s="29"/>
      <c r="G306" s="29"/>
      <c r="H306" s="29"/>
      <c r="I306" s="29">
        <v>12</v>
      </c>
      <c r="J306" s="29">
        <v>1</v>
      </c>
      <c r="K306" s="29">
        <f t="shared" si="118"/>
        <v>307.39999999999998</v>
      </c>
      <c r="L306" s="29">
        <v>290</v>
      </c>
      <c r="M306" s="29">
        <v>324.8</v>
      </c>
      <c r="N306" s="29">
        <v>307.39999999999998</v>
      </c>
      <c r="O306" s="29">
        <f t="shared" si="69"/>
        <v>0</v>
      </c>
      <c r="P306" s="35">
        <v>247</v>
      </c>
      <c r="Q306" s="21">
        <f t="shared" si="119"/>
        <v>3688.7999999999997</v>
      </c>
      <c r="R306" s="31">
        <f t="shared" si="112"/>
        <v>0</v>
      </c>
      <c r="S306" s="31">
        <f t="shared" si="113"/>
        <v>0</v>
      </c>
      <c r="T306" s="31">
        <f t="shared" si="114"/>
        <v>0</v>
      </c>
      <c r="U306" s="31">
        <f t="shared" si="115"/>
        <v>0</v>
      </c>
      <c r="V306" s="31">
        <f t="shared" si="116"/>
        <v>0</v>
      </c>
      <c r="W306" s="31">
        <f t="shared" si="117"/>
        <v>3688.7999999999997</v>
      </c>
      <c r="X306" s="116"/>
      <c r="Y306" s="115">
        <f t="shared" si="96"/>
        <v>0</v>
      </c>
      <c r="Z306" s="116"/>
    </row>
    <row r="307" spans="1:26" s="36" customFormat="1" ht="25.5" hidden="1" customHeight="1" outlineLevel="3" x14ac:dyDescent="0.35">
      <c r="A307" s="26" t="s">
        <v>293</v>
      </c>
      <c r="B307" s="27" t="s">
        <v>10</v>
      </c>
      <c r="C307" s="28">
        <f t="shared" si="111"/>
        <v>0</v>
      </c>
      <c r="D307" s="29"/>
      <c r="E307" s="29"/>
      <c r="F307" s="29"/>
      <c r="G307" s="29"/>
      <c r="H307" s="29"/>
      <c r="I307" s="29">
        <v>22</v>
      </c>
      <c r="J307" s="29">
        <v>1</v>
      </c>
      <c r="K307" s="29">
        <f t="shared" si="118"/>
        <v>177.43333333333331</v>
      </c>
      <c r="L307" s="29">
        <v>160</v>
      </c>
      <c r="M307" s="29">
        <v>192.1</v>
      </c>
      <c r="N307" s="29">
        <v>180.2</v>
      </c>
      <c r="O307" s="29">
        <f t="shared" si="69"/>
        <v>0</v>
      </c>
      <c r="P307" s="35">
        <v>248</v>
      </c>
      <c r="Q307" s="21">
        <f t="shared" si="119"/>
        <v>3903.5333333333328</v>
      </c>
      <c r="R307" s="31">
        <f t="shared" si="112"/>
        <v>0</v>
      </c>
      <c r="S307" s="31">
        <f t="shared" si="113"/>
        <v>0</v>
      </c>
      <c r="T307" s="31">
        <f t="shared" si="114"/>
        <v>0</v>
      </c>
      <c r="U307" s="31">
        <f t="shared" si="115"/>
        <v>0</v>
      </c>
      <c r="V307" s="31">
        <f t="shared" si="116"/>
        <v>0</v>
      </c>
      <c r="W307" s="31">
        <f t="shared" si="117"/>
        <v>3903.5333333333328</v>
      </c>
      <c r="X307" s="116"/>
      <c r="Y307" s="115">
        <f t="shared" si="96"/>
        <v>0</v>
      </c>
      <c r="Z307" s="116"/>
    </row>
    <row r="308" spans="1:26" s="36" customFormat="1" ht="25.5" hidden="1" customHeight="1" outlineLevel="3" x14ac:dyDescent="0.35">
      <c r="A308" s="26" t="s">
        <v>388</v>
      </c>
      <c r="B308" s="27" t="s">
        <v>10</v>
      </c>
      <c r="C308" s="28">
        <f t="shared" si="111"/>
        <v>0</v>
      </c>
      <c r="D308" s="29">
        <v>50</v>
      </c>
      <c r="E308" s="29"/>
      <c r="F308" s="29"/>
      <c r="G308" s="29"/>
      <c r="H308" s="29"/>
      <c r="I308" s="29"/>
      <c r="J308" s="29">
        <v>1</v>
      </c>
      <c r="K308" s="29">
        <f t="shared" si="118"/>
        <v>18</v>
      </c>
      <c r="L308" s="29">
        <v>15</v>
      </c>
      <c r="M308" s="29">
        <v>19</v>
      </c>
      <c r="N308" s="29">
        <v>20</v>
      </c>
      <c r="O308" s="29">
        <f t="shared" si="69"/>
        <v>0</v>
      </c>
      <c r="P308" s="35">
        <v>249</v>
      </c>
      <c r="Q308" s="21">
        <f t="shared" si="119"/>
        <v>900</v>
      </c>
      <c r="R308" s="31">
        <f t="shared" si="112"/>
        <v>900</v>
      </c>
      <c r="S308" s="31">
        <f t="shared" si="113"/>
        <v>0</v>
      </c>
      <c r="T308" s="31">
        <f t="shared" si="114"/>
        <v>0</v>
      </c>
      <c r="U308" s="31">
        <f t="shared" si="115"/>
        <v>0</v>
      </c>
      <c r="V308" s="31">
        <f t="shared" si="116"/>
        <v>0</v>
      </c>
      <c r="W308" s="31">
        <f t="shared" si="117"/>
        <v>0</v>
      </c>
      <c r="X308" s="116"/>
      <c r="Y308" s="115">
        <f t="shared" si="96"/>
        <v>0</v>
      </c>
      <c r="Z308" s="116"/>
    </row>
    <row r="309" spans="1:26" s="36" customFormat="1" ht="25.5" hidden="1" customHeight="1" outlineLevel="3" x14ac:dyDescent="0.35">
      <c r="A309" s="26" t="s">
        <v>389</v>
      </c>
      <c r="B309" s="27" t="s">
        <v>390</v>
      </c>
      <c r="C309" s="28">
        <f t="shared" si="111"/>
        <v>0</v>
      </c>
      <c r="D309" s="29">
        <v>30</v>
      </c>
      <c r="E309" s="29"/>
      <c r="F309" s="29"/>
      <c r="G309" s="29"/>
      <c r="H309" s="29"/>
      <c r="I309" s="29">
        <v>110</v>
      </c>
      <c r="J309" s="29">
        <v>1</v>
      </c>
      <c r="K309" s="29">
        <f t="shared" si="118"/>
        <v>63.6</v>
      </c>
      <c r="L309" s="29">
        <v>60</v>
      </c>
      <c r="M309" s="29">
        <v>67.2</v>
      </c>
      <c r="N309" s="29">
        <v>63.6</v>
      </c>
      <c r="O309" s="29">
        <f t="shared" si="69"/>
        <v>0</v>
      </c>
      <c r="P309" s="35">
        <v>250</v>
      </c>
      <c r="Q309" s="21">
        <f t="shared" si="119"/>
        <v>8904</v>
      </c>
      <c r="R309" s="31">
        <f t="shared" si="112"/>
        <v>1908</v>
      </c>
      <c r="S309" s="31">
        <f t="shared" si="113"/>
        <v>0</v>
      </c>
      <c r="T309" s="31">
        <f t="shared" si="114"/>
        <v>0</v>
      </c>
      <c r="U309" s="31">
        <f t="shared" si="115"/>
        <v>0</v>
      </c>
      <c r="V309" s="31">
        <f t="shared" si="116"/>
        <v>0</v>
      </c>
      <c r="W309" s="31">
        <f t="shared" si="117"/>
        <v>6996</v>
      </c>
      <c r="X309" s="116"/>
      <c r="Y309" s="115">
        <f t="shared" si="96"/>
        <v>0</v>
      </c>
      <c r="Z309" s="116"/>
    </row>
    <row r="310" spans="1:26" s="36" customFormat="1" ht="25.5" hidden="1" customHeight="1" outlineLevel="3" x14ac:dyDescent="0.35">
      <c r="A310" s="26" t="s">
        <v>391</v>
      </c>
      <c r="B310" s="27" t="s">
        <v>390</v>
      </c>
      <c r="C310" s="28">
        <f t="shared" si="111"/>
        <v>0</v>
      </c>
      <c r="D310" s="29"/>
      <c r="E310" s="29"/>
      <c r="F310" s="29"/>
      <c r="G310" s="29"/>
      <c r="H310" s="29"/>
      <c r="I310" s="29">
        <v>15</v>
      </c>
      <c r="J310" s="29">
        <v>1</v>
      </c>
      <c r="K310" s="29">
        <f t="shared" si="118"/>
        <v>85.066666666666663</v>
      </c>
      <c r="L310" s="29">
        <v>80</v>
      </c>
      <c r="M310" s="29">
        <v>90.4</v>
      </c>
      <c r="N310" s="29">
        <v>84.8</v>
      </c>
      <c r="O310" s="29">
        <f t="shared" si="69"/>
        <v>0</v>
      </c>
      <c r="P310" s="35">
        <v>251</v>
      </c>
      <c r="Q310" s="21">
        <f t="shared" si="119"/>
        <v>1276</v>
      </c>
      <c r="R310" s="31">
        <f t="shared" si="112"/>
        <v>0</v>
      </c>
      <c r="S310" s="31">
        <f t="shared" si="113"/>
        <v>0</v>
      </c>
      <c r="T310" s="31">
        <f t="shared" si="114"/>
        <v>0</v>
      </c>
      <c r="U310" s="31">
        <f t="shared" si="115"/>
        <v>0</v>
      </c>
      <c r="V310" s="31">
        <f t="shared" si="116"/>
        <v>0</v>
      </c>
      <c r="W310" s="31">
        <f t="shared" si="117"/>
        <v>1276</v>
      </c>
      <c r="X310" s="116"/>
      <c r="Y310" s="115">
        <f t="shared" si="96"/>
        <v>0</v>
      </c>
      <c r="Z310" s="116"/>
    </row>
    <row r="311" spans="1:26" s="36" customFormat="1" ht="25.5" hidden="1" customHeight="1" outlineLevel="3" x14ac:dyDescent="0.35">
      <c r="A311" s="26" t="s">
        <v>392</v>
      </c>
      <c r="B311" s="27" t="s">
        <v>30</v>
      </c>
      <c r="C311" s="28">
        <f t="shared" si="111"/>
        <v>0</v>
      </c>
      <c r="D311" s="29">
        <v>100</v>
      </c>
      <c r="E311" s="29"/>
      <c r="F311" s="29"/>
      <c r="G311" s="29"/>
      <c r="H311" s="29"/>
      <c r="I311" s="29"/>
      <c r="J311" s="29">
        <v>1</v>
      </c>
      <c r="K311" s="29">
        <f t="shared" si="118"/>
        <v>60.666666666666664</v>
      </c>
      <c r="L311" s="29">
        <v>56</v>
      </c>
      <c r="M311" s="29">
        <v>62</v>
      </c>
      <c r="N311" s="29">
        <v>64</v>
      </c>
      <c r="O311" s="29">
        <f t="shared" si="69"/>
        <v>0</v>
      </c>
      <c r="P311" s="35">
        <v>252</v>
      </c>
      <c r="Q311" s="21">
        <f t="shared" si="119"/>
        <v>6066.6666666666661</v>
      </c>
      <c r="R311" s="31">
        <f t="shared" si="112"/>
        <v>6066.6666666666661</v>
      </c>
      <c r="S311" s="31">
        <f t="shared" si="113"/>
        <v>0</v>
      </c>
      <c r="T311" s="31">
        <f t="shared" si="114"/>
        <v>0</v>
      </c>
      <c r="U311" s="31">
        <f t="shared" si="115"/>
        <v>0</v>
      </c>
      <c r="V311" s="31">
        <f t="shared" si="116"/>
        <v>0</v>
      </c>
      <c r="W311" s="31">
        <f t="shared" si="117"/>
        <v>0</v>
      </c>
      <c r="X311" s="116"/>
      <c r="Y311" s="115">
        <f t="shared" si="96"/>
        <v>0</v>
      </c>
      <c r="Z311" s="116"/>
    </row>
    <row r="312" spans="1:26" s="36" customFormat="1" ht="25.5" hidden="1" customHeight="1" outlineLevel="3" x14ac:dyDescent="0.35">
      <c r="A312" s="26" t="s">
        <v>393</v>
      </c>
      <c r="B312" s="27" t="s">
        <v>30</v>
      </c>
      <c r="C312" s="28">
        <f t="shared" si="111"/>
        <v>0</v>
      </c>
      <c r="D312" s="29"/>
      <c r="E312" s="29"/>
      <c r="F312" s="29"/>
      <c r="G312" s="29"/>
      <c r="H312" s="29"/>
      <c r="I312" s="29">
        <v>0</v>
      </c>
      <c r="J312" s="29">
        <v>1</v>
      </c>
      <c r="K312" s="29">
        <f t="shared" si="118"/>
        <v>63.6</v>
      </c>
      <c r="L312" s="29">
        <v>60</v>
      </c>
      <c r="M312" s="29">
        <v>67.2</v>
      </c>
      <c r="N312" s="29">
        <v>63.6</v>
      </c>
      <c r="O312" s="29">
        <f t="shared" si="69"/>
        <v>0</v>
      </c>
      <c r="P312" s="35">
        <v>253</v>
      </c>
      <c r="Q312" s="21">
        <f t="shared" si="119"/>
        <v>0</v>
      </c>
      <c r="R312" s="31">
        <f t="shared" si="112"/>
        <v>0</v>
      </c>
      <c r="S312" s="31">
        <f t="shared" si="113"/>
        <v>0</v>
      </c>
      <c r="T312" s="31">
        <f t="shared" si="114"/>
        <v>0</v>
      </c>
      <c r="U312" s="31">
        <f t="shared" si="115"/>
        <v>0</v>
      </c>
      <c r="V312" s="31">
        <f t="shared" si="116"/>
        <v>0</v>
      </c>
      <c r="W312" s="31">
        <f t="shared" si="117"/>
        <v>0</v>
      </c>
      <c r="X312" s="116"/>
      <c r="Y312" s="115">
        <f t="shared" si="96"/>
        <v>0</v>
      </c>
      <c r="Z312" s="116"/>
    </row>
    <row r="313" spans="1:26" s="36" customFormat="1" ht="25.5" hidden="1" customHeight="1" outlineLevel="3" x14ac:dyDescent="0.35">
      <c r="A313" s="26" t="s">
        <v>394</v>
      </c>
      <c r="B313" s="27" t="s">
        <v>30</v>
      </c>
      <c r="C313" s="28">
        <f t="shared" si="111"/>
        <v>0</v>
      </c>
      <c r="D313" s="29">
        <v>100</v>
      </c>
      <c r="E313" s="29"/>
      <c r="F313" s="29"/>
      <c r="G313" s="29">
        <v>20</v>
      </c>
      <c r="H313" s="29">
        <v>20</v>
      </c>
      <c r="I313" s="29">
        <v>132</v>
      </c>
      <c r="J313" s="29">
        <v>1</v>
      </c>
      <c r="K313" s="29">
        <f t="shared" si="118"/>
        <v>30.599999999999998</v>
      </c>
      <c r="L313" s="29">
        <v>28</v>
      </c>
      <c r="M313" s="29">
        <v>32</v>
      </c>
      <c r="N313" s="29">
        <v>31.8</v>
      </c>
      <c r="O313" s="29">
        <f t="shared" si="69"/>
        <v>0</v>
      </c>
      <c r="P313" s="35">
        <v>254</v>
      </c>
      <c r="Q313" s="21">
        <f t="shared" si="119"/>
        <v>8323.2000000000007</v>
      </c>
      <c r="R313" s="31">
        <f t="shared" si="112"/>
        <v>3060</v>
      </c>
      <c r="S313" s="31">
        <f t="shared" si="113"/>
        <v>0</v>
      </c>
      <c r="T313" s="31">
        <f t="shared" si="114"/>
        <v>0</v>
      </c>
      <c r="U313" s="31">
        <f t="shared" si="115"/>
        <v>612</v>
      </c>
      <c r="V313" s="31">
        <f t="shared" si="116"/>
        <v>612</v>
      </c>
      <c r="W313" s="31">
        <f t="shared" si="117"/>
        <v>4039.2</v>
      </c>
      <c r="X313" s="116"/>
      <c r="Y313" s="115">
        <f t="shared" si="96"/>
        <v>0</v>
      </c>
      <c r="Z313" s="116"/>
    </row>
    <row r="314" spans="1:26" s="36" customFormat="1" ht="25.5" hidden="1" customHeight="1" outlineLevel="3" x14ac:dyDescent="0.35">
      <c r="A314" s="26" t="s">
        <v>395</v>
      </c>
      <c r="B314" s="27" t="s">
        <v>10</v>
      </c>
      <c r="C314" s="28">
        <f t="shared" si="111"/>
        <v>0</v>
      </c>
      <c r="D314" s="29">
        <v>50</v>
      </c>
      <c r="E314" s="29"/>
      <c r="F314" s="29"/>
      <c r="G314" s="29"/>
      <c r="H314" s="29"/>
      <c r="I314" s="29"/>
      <c r="J314" s="29">
        <v>1</v>
      </c>
      <c r="K314" s="29">
        <f t="shared" si="118"/>
        <v>110.66666666666667</v>
      </c>
      <c r="L314" s="29">
        <v>105</v>
      </c>
      <c r="M314" s="29">
        <v>112</v>
      </c>
      <c r="N314" s="29">
        <v>115</v>
      </c>
      <c r="O314" s="29">
        <f t="shared" si="69"/>
        <v>0</v>
      </c>
      <c r="P314" s="35">
        <v>255</v>
      </c>
      <c r="Q314" s="21">
        <f t="shared" si="119"/>
        <v>5533.3333333333339</v>
      </c>
      <c r="R314" s="31">
        <f t="shared" si="112"/>
        <v>5533.3333333333339</v>
      </c>
      <c r="S314" s="31">
        <f t="shared" si="113"/>
        <v>0</v>
      </c>
      <c r="T314" s="31">
        <f t="shared" si="114"/>
        <v>0</v>
      </c>
      <c r="U314" s="31">
        <f t="shared" si="115"/>
        <v>0</v>
      </c>
      <c r="V314" s="31">
        <f t="shared" si="116"/>
        <v>0</v>
      </c>
      <c r="W314" s="31">
        <f t="shared" si="117"/>
        <v>0</v>
      </c>
      <c r="X314" s="116"/>
      <c r="Y314" s="115">
        <f t="shared" si="96"/>
        <v>0</v>
      </c>
      <c r="Z314" s="116"/>
    </row>
    <row r="315" spans="1:26" s="36" customFormat="1" ht="25.5" hidden="1" customHeight="1" outlineLevel="3" x14ac:dyDescent="0.35">
      <c r="A315" s="26" t="s">
        <v>396</v>
      </c>
      <c r="B315" s="27" t="s">
        <v>46</v>
      </c>
      <c r="C315" s="28">
        <f t="shared" si="111"/>
        <v>0</v>
      </c>
      <c r="D315" s="29"/>
      <c r="E315" s="29"/>
      <c r="F315" s="29"/>
      <c r="G315" s="29"/>
      <c r="H315" s="29"/>
      <c r="I315" s="29">
        <v>50</v>
      </c>
      <c r="J315" s="29">
        <v>1</v>
      </c>
      <c r="K315" s="29">
        <f t="shared" si="118"/>
        <v>74.2</v>
      </c>
      <c r="L315" s="29">
        <v>70</v>
      </c>
      <c r="M315" s="29">
        <v>78.400000000000006</v>
      </c>
      <c r="N315" s="29">
        <v>74.2</v>
      </c>
      <c r="O315" s="29">
        <f t="shared" si="69"/>
        <v>0</v>
      </c>
      <c r="P315" s="35">
        <v>256</v>
      </c>
      <c r="Q315" s="21">
        <f t="shared" si="119"/>
        <v>3710</v>
      </c>
      <c r="R315" s="31">
        <f t="shared" si="112"/>
        <v>0</v>
      </c>
      <c r="S315" s="31">
        <f t="shared" si="113"/>
        <v>0</v>
      </c>
      <c r="T315" s="31">
        <f t="shared" si="114"/>
        <v>0</v>
      </c>
      <c r="U315" s="31">
        <f t="shared" si="115"/>
        <v>0</v>
      </c>
      <c r="V315" s="31">
        <f t="shared" si="116"/>
        <v>0</v>
      </c>
      <c r="W315" s="31">
        <f t="shared" si="117"/>
        <v>3710</v>
      </c>
      <c r="X315" s="116"/>
      <c r="Y315" s="115">
        <f t="shared" si="96"/>
        <v>0</v>
      </c>
      <c r="Z315" s="116"/>
    </row>
    <row r="316" spans="1:26" s="36" customFormat="1" ht="25.5" hidden="1" customHeight="1" outlineLevel="3" x14ac:dyDescent="0.35">
      <c r="A316" s="26" t="s">
        <v>397</v>
      </c>
      <c r="B316" s="27" t="s">
        <v>10</v>
      </c>
      <c r="C316" s="28">
        <f t="shared" si="111"/>
        <v>0</v>
      </c>
      <c r="D316" s="29">
        <v>50</v>
      </c>
      <c r="E316" s="29"/>
      <c r="F316" s="29"/>
      <c r="G316" s="29">
        <v>30</v>
      </c>
      <c r="H316" s="29">
        <v>30</v>
      </c>
      <c r="I316" s="29"/>
      <c r="J316" s="29">
        <v>1</v>
      </c>
      <c r="K316" s="29">
        <f t="shared" si="118"/>
        <v>126.33333333333333</v>
      </c>
      <c r="L316" s="29">
        <v>120</v>
      </c>
      <c r="M316" s="29">
        <v>129</v>
      </c>
      <c r="N316" s="29">
        <v>130</v>
      </c>
      <c r="O316" s="29">
        <f t="shared" si="69"/>
        <v>0</v>
      </c>
      <c r="P316" s="35">
        <v>257</v>
      </c>
      <c r="Q316" s="21">
        <f t="shared" si="119"/>
        <v>13896.666666666666</v>
      </c>
      <c r="R316" s="31">
        <f t="shared" si="112"/>
        <v>6316.6666666666661</v>
      </c>
      <c r="S316" s="31">
        <f t="shared" si="113"/>
        <v>0</v>
      </c>
      <c r="T316" s="31">
        <f t="shared" si="114"/>
        <v>0</v>
      </c>
      <c r="U316" s="31">
        <f t="shared" si="115"/>
        <v>3790</v>
      </c>
      <c r="V316" s="31">
        <f t="shared" si="116"/>
        <v>3790</v>
      </c>
      <c r="W316" s="31">
        <f t="shared" si="117"/>
        <v>0</v>
      </c>
      <c r="X316" s="116"/>
      <c r="Y316" s="115">
        <f t="shared" si="96"/>
        <v>0</v>
      </c>
      <c r="Z316" s="116"/>
    </row>
    <row r="317" spans="1:26" s="36" customFormat="1" ht="25.5" hidden="1" customHeight="1" outlineLevel="3" x14ac:dyDescent="0.35">
      <c r="A317" s="26" t="s">
        <v>292</v>
      </c>
      <c r="B317" s="27" t="s">
        <v>10</v>
      </c>
      <c r="C317" s="28">
        <f t="shared" si="111"/>
        <v>0</v>
      </c>
      <c r="D317" s="29"/>
      <c r="E317" s="29"/>
      <c r="F317" s="29"/>
      <c r="G317" s="29"/>
      <c r="H317" s="29"/>
      <c r="I317" s="29">
        <v>12</v>
      </c>
      <c r="J317" s="29">
        <v>1</v>
      </c>
      <c r="K317" s="29">
        <f t="shared" si="118"/>
        <v>850.66666666666663</v>
      </c>
      <c r="L317" s="29">
        <v>800</v>
      </c>
      <c r="M317" s="29">
        <v>904</v>
      </c>
      <c r="N317" s="29">
        <v>848</v>
      </c>
      <c r="O317" s="29">
        <f t="shared" si="69"/>
        <v>0</v>
      </c>
      <c r="P317" s="35">
        <v>258</v>
      </c>
      <c r="Q317" s="21">
        <f t="shared" si="119"/>
        <v>10208</v>
      </c>
      <c r="R317" s="31">
        <f t="shared" si="112"/>
        <v>0</v>
      </c>
      <c r="S317" s="31">
        <f t="shared" si="113"/>
        <v>0</v>
      </c>
      <c r="T317" s="31">
        <f t="shared" si="114"/>
        <v>0</v>
      </c>
      <c r="U317" s="31">
        <f t="shared" si="115"/>
        <v>0</v>
      </c>
      <c r="V317" s="31">
        <f t="shared" si="116"/>
        <v>0</v>
      </c>
      <c r="W317" s="31">
        <f t="shared" si="117"/>
        <v>10208</v>
      </c>
      <c r="X317" s="116"/>
      <c r="Y317" s="115">
        <f t="shared" si="96"/>
        <v>0</v>
      </c>
      <c r="Z317" s="116"/>
    </row>
    <row r="318" spans="1:26" s="36" customFormat="1" ht="25.5" hidden="1" customHeight="1" outlineLevel="3" x14ac:dyDescent="0.35">
      <c r="A318" s="26" t="s">
        <v>262</v>
      </c>
      <c r="B318" s="27" t="s">
        <v>10</v>
      </c>
      <c r="C318" s="28">
        <f t="shared" si="111"/>
        <v>0</v>
      </c>
      <c r="D318" s="29"/>
      <c r="E318" s="29">
        <v>1</v>
      </c>
      <c r="F318" s="29"/>
      <c r="G318" s="29"/>
      <c r="H318" s="29"/>
      <c r="I318" s="29"/>
      <c r="J318" s="29">
        <v>5</v>
      </c>
      <c r="K318" s="29">
        <f t="shared" si="118"/>
        <v>10852</v>
      </c>
      <c r="L318" s="29">
        <v>12936</v>
      </c>
      <c r="M318" s="29">
        <v>10250</v>
      </c>
      <c r="N318" s="29">
        <v>9370</v>
      </c>
      <c r="O318" s="29">
        <f t="shared" si="69"/>
        <v>0</v>
      </c>
      <c r="P318" s="35">
        <v>259</v>
      </c>
      <c r="Q318" s="21">
        <f t="shared" si="119"/>
        <v>2170.4</v>
      </c>
      <c r="R318" s="31">
        <f t="shared" si="112"/>
        <v>0</v>
      </c>
      <c r="S318" s="31">
        <f t="shared" si="113"/>
        <v>2170.4</v>
      </c>
      <c r="T318" s="31">
        <f t="shared" si="114"/>
        <v>0</v>
      </c>
      <c r="U318" s="31">
        <f t="shared" si="115"/>
        <v>0</v>
      </c>
      <c r="V318" s="31">
        <f t="shared" si="116"/>
        <v>0</v>
      </c>
      <c r="W318" s="31">
        <f t="shared" si="117"/>
        <v>0</v>
      </c>
      <c r="X318" s="116"/>
      <c r="Y318" s="115">
        <f t="shared" si="96"/>
        <v>0</v>
      </c>
      <c r="Z318" s="116"/>
    </row>
    <row r="319" spans="1:26" s="36" customFormat="1" ht="25.5" hidden="1" customHeight="1" outlineLevel="3" x14ac:dyDescent="0.35">
      <c r="A319" s="26" t="s">
        <v>263</v>
      </c>
      <c r="B319" s="27" t="s">
        <v>10</v>
      </c>
      <c r="C319" s="28">
        <f t="shared" si="111"/>
        <v>0</v>
      </c>
      <c r="D319" s="29"/>
      <c r="E319" s="29">
        <v>1</v>
      </c>
      <c r="F319" s="29"/>
      <c r="G319" s="29">
        <v>1</v>
      </c>
      <c r="H319" s="29">
        <v>1</v>
      </c>
      <c r="I319" s="29"/>
      <c r="J319" s="29">
        <v>5</v>
      </c>
      <c r="K319" s="29">
        <f t="shared" si="118"/>
        <v>7200</v>
      </c>
      <c r="L319" s="29">
        <v>6000</v>
      </c>
      <c r="M319" s="29">
        <v>7942</v>
      </c>
      <c r="N319" s="29">
        <v>7658</v>
      </c>
      <c r="O319" s="29">
        <f t="shared" si="69"/>
        <v>0</v>
      </c>
      <c r="P319" s="35">
        <v>260</v>
      </c>
      <c r="Q319" s="21">
        <f t="shared" si="119"/>
        <v>4320</v>
      </c>
      <c r="R319" s="31">
        <f t="shared" si="112"/>
        <v>0</v>
      </c>
      <c r="S319" s="31">
        <f t="shared" si="113"/>
        <v>1440</v>
      </c>
      <c r="T319" s="31">
        <f t="shared" si="114"/>
        <v>0</v>
      </c>
      <c r="U319" s="31">
        <f t="shared" si="115"/>
        <v>1440</v>
      </c>
      <c r="V319" s="31">
        <f t="shared" si="116"/>
        <v>1440</v>
      </c>
      <c r="W319" s="31">
        <f t="shared" si="117"/>
        <v>0</v>
      </c>
      <c r="X319" s="116"/>
      <c r="Y319" s="115">
        <f t="shared" ref="Y319:Y334" si="120">Q319-R319-S319-T319-U319-V319-W319</f>
        <v>0</v>
      </c>
      <c r="Z319" s="116"/>
    </row>
    <row r="320" spans="1:26" s="32" customFormat="1" ht="24.75" hidden="1" customHeight="1" outlineLevel="3" x14ac:dyDescent="0.35">
      <c r="A320" s="26" t="s">
        <v>366</v>
      </c>
      <c r="B320" s="27" t="s">
        <v>10</v>
      </c>
      <c r="C320" s="28">
        <f t="shared" si="111"/>
        <v>0</v>
      </c>
      <c r="D320" s="29">
        <v>1</v>
      </c>
      <c r="E320" s="29"/>
      <c r="F320" s="29"/>
      <c r="G320" s="29"/>
      <c r="H320" s="29"/>
      <c r="I320" s="29"/>
      <c r="J320" s="29">
        <v>5</v>
      </c>
      <c r="K320" s="29">
        <f>AVERAGE(L320:N320)</f>
        <v>12600</v>
      </c>
      <c r="L320" s="29">
        <v>12000</v>
      </c>
      <c r="M320" s="29">
        <v>12900</v>
      </c>
      <c r="N320" s="29">
        <v>12900</v>
      </c>
      <c r="O320" s="29">
        <f t="shared" si="69"/>
        <v>0</v>
      </c>
      <c r="P320" s="35">
        <v>261</v>
      </c>
      <c r="Q320" s="21">
        <f t="shared" si="119"/>
        <v>2520</v>
      </c>
      <c r="R320" s="31">
        <f t="shared" si="112"/>
        <v>2520</v>
      </c>
      <c r="S320" s="31">
        <f t="shared" si="113"/>
        <v>0</v>
      </c>
      <c r="T320" s="31">
        <f t="shared" si="114"/>
        <v>0</v>
      </c>
      <c r="U320" s="31">
        <f t="shared" si="115"/>
        <v>0</v>
      </c>
      <c r="V320" s="31">
        <f t="shared" si="116"/>
        <v>0</v>
      </c>
      <c r="W320" s="31">
        <f t="shared" si="117"/>
        <v>0</v>
      </c>
      <c r="X320" s="116"/>
      <c r="Y320" s="115">
        <f t="shared" si="120"/>
        <v>0</v>
      </c>
      <c r="Z320" s="116"/>
    </row>
    <row r="321" spans="1:26" s="32" customFormat="1" ht="24.75" hidden="1" customHeight="1" outlineLevel="3" x14ac:dyDescent="0.35">
      <c r="A321" s="26" t="s">
        <v>367</v>
      </c>
      <c r="B321" s="27" t="s">
        <v>10</v>
      </c>
      <c r="C321" s="28">
        <f t="shared" si="111"/>
        <v>0</v>
      </c>
      <c r="D321" s="29">
        <v>1</v>
      </c>
      <c r="E321" s="29"/>
      <c r="F321" s="29"/>
      <c r="G321" s="29"/>
      <c r="H321" s="29"/>
      <c r="I321" s="29"/>
      <c r="J321" s="29">
        <v>5</v>
      </c>
      <c r="K321" s="29">
        <f>AVERAGE(L321:N321)</f>
        <v>9483.3333333333339</v>
      </c>
      <c r="L321" s="29">
        <v>9350</v>
      </c>
      <c r="M321" s="29">
        <v>9600</v>
      </c>
      <c r="N321" s="29">
        <v>9500</v>
      </c>
      <c r="O321" s="29">
        <f t="shared" si="69"/>
        <v>0</v>
      </c>
      <c r="P321" s="35">
        <v>262</v>
      </c>
      <c r="Q321" s="21">
        <f t="shared" si="119"/>
        <v>1896.6666666666667</v>
      </c>
      <c r="R321" s="31">
        <f t="shared" si="112"/>
        <v>1896.6666666666667</v>
      </c>
      <c r="S321" s="31">
        <f t="shared" si="113"/>
        <v>0</v>
      </c>
      <c r="T321" s="31">
        <f t="shared" si="114"/>
        <v>0</v>
      </c>
      <c r="U321" s="31">
        <f t="shared" si="115"/>
        <v>0</v>
      </c>
      <c r="V321" s="31">
        <f t="shared" si="116"/>
        <v>0</v>
      </c>
      <c r="W321" s="31">
        <f t="shared" si="117"/>
        <v>0</v>
      </c>
      <c r="X321" s="116"/>
      <c r="Y321" s="115">
        <f t="shared" si="120"/>
        <v>0</v>
      </c>
      <c r="Z321" s="116"/>
    </row>
    <row r="322" spans="1:26" s="32" customFormat="1" ht="24.75" hidden="1" customHeight="1" outlineLevel="3" x14ac:dyDescent="0.35">
      <c r="A322" s="26" t="s">
        <v>368</v>
      </c>
      <c r="B322" s="27" t="s">
        <v>10</v>
      </c>
      <c r="C322" s="28">
        <f t="shared" si="111"/>
        <v>0</v>
      </c>
      <c r="D322" s="29">
        <v>1</v>
      </c>
      <c r="E322" s="29"/>
      <c r="F322" s="29"/>
      <c r="G322" s="29"/>
      <c r="H322" s="29"/>
      <c r="I322" s="29"/>
      <c r="J322" s="29">
        <v>5</v>
      </c>
      <c r="K322" s="29">
        <f>AVERAGE(L322:N322)</f>
        <v>6900</v>
      </c>
      <c r="L322" s="29">
        <v>6750</v>
      </c>
      <c r="M322" s="29">
        <v>7000</v>
      </c>
      <c r="N322" s="29">
        <v>6950</v>
      </c>
      <c r="O322" s="29">
        <f t="shared" si="69"/>
        <v>0</v>
      </c>
      <c r="P322" s="35">
        <v>263</v>
      </c>
      <c r="Q322" s="21">
        <f t="shared" si="119"/>
        <v>1380</v>
      </c>
      <c r="R322" s="31">
        <f t="shared" si="112"/>
        <v>1380</v>
      </c>
      <c r="S322" s="31">
        <f t="shared" si="113"/>
        <v>0</v>
      </c>
      <c r="T322" s="31">
        <f t="shared" si="114"/>
        <v>0</v>
      </c>
      <c r="U322" s="31">
        <f t="shared" si="115"/>
        <v>0</v>
      </c>
      <c r="V322" s="31">
        <f t="shared" si="116"/>
        <v>0</v>
      </c>
      <c r="W322" s="31">
        <f t="shared" si="117"/>
        <v>0</v>
      </c>
      <c r="X322" s="116"/>
      <c r="Y322" s="115">
        <f t="shared" si="120"/>
        <v>0</v>
      </c>
      <c r="Z322" s="116"/>
    </row>
    <row r="323" spans="1:26" s="32" customFormat="1" ht="24.75" hidden="1" customHeight="1" outlineLevel="3" x14ac:dyDescent="0.35">
      <c r="A323" s="26" t="s">
        <v>369</v>
      </c>
      <c r="B323" s="27" t="s">
        <v>10</v>
      </c>
      <c r="C323" s="28">
        <f t="shared" si="111"/>
        <v>0</v>
      </c>
      <c r="D323" s="29">
        <v>10</v>
      </c>
      <c r="E323" s="29"/>
      <c r="F323" s="29"/>
      <c r="G323" s="29"/>
      <c r="H323" s="29"/>
      <c r="I323" s="29"/>
      <c r="J323" s="29">
        <v>1</v>
      </c>
      <c r="K323" s="29">
        <f>AVERAGE(L323:N323)</f>
        <v>843.33333333333337</v>
      </c>
      <c r="L323" s="29">
        <v>830</v>
      </c>
      <c r="M323" s="29">
        <v>850</v>
      </c>
      <c r="N323" s="29">
        <v>850</v>
      </c>
      <c r="O323" s="29">
        <f t="shared" si="69"/>
        <v>0</v>
      </c>
      <c r="P323" s="35">
        <v>264</v>
      </c>
      <c r="Q323" s="21">
        <f t="shared" si="119"/>
        <v>8433.3333333333339</v>
      </c>
      <c r="R323" s="31">
        <f t="shared" si="112"/>
        <v>8433.3333333333339</v>
      </c>
      <c r="S323" s="31">
        <f t="shared" si="113"/>
        <v>0</v>
      </c>
      <c r="T323" s="31">
        <f t="shared" si="114"/>
        <v>0</v>
      </c>
      <c r="U323" s="31">
        <f t="shared" si="115"/>
        <v>0</v>
      </c>
      <c r="V323" s="31">
        <f t="shared" si="116"/>
        <v>0</v>
      </c>
      <c r="W323" s="31">
        <f t="shared" si="117"/>
        <v>0</v>
      </c>
      <c r="X323" s="116"/>
      <c r="Y323" s="115">
        <f t="shared" si="120"/>
        <v>0</v>
      </c>
      <c r="Z323" s="116"/>
    </row>
    <row r="324" spans="1:26" s="32" customFormat="1" ht="24.75" hidden="1" customHeight="1" outlineLevel="3" x14ac:dyDescent="0.35">
      <c r="A324" s="26" t="s">
        <v>402</v>
      </c>
      <c r="B324" s="27" t="s">
        <v>10</v>
      </c>
      <c r="C324" s="28">
        <f t="shared" si="111"/>
        <v>0</v>
      </c>
      <c r="D324" s="29">
        <v>20</v>
      </c>
      <c r="E324" s="29"/>
      <c r="F324" s="29"/>
      <c r="G324" s="29"/>
      <c r="H324" s="29"/>
      <c r="I324" s="29"/>
      <c r="J324" s="29">
        <v>1</v>
      </c>
      <c r="K324" s="29">
        <f>AVERAGE(L324:N324)</f>
        <v>689.67</v>
      </c>
      <c r="L324" s="29">
        <v>689.67</v>
      </c>
      <c r="M324" s="29"/>
      <c r="N324" s="29"/>
      <c r="O324" s="29">
        <f t="shared" si="69"/>
        <v>0</v>
      </c>
      <c r="P324" s="35">
        <v>265</v>
      </c>
      <c r="Q324" s="21">
        <f t="shared" si="119"/>
        <v>13793.4</v>
      </c>
      <c r="R324" s="31">
        <f t="shared" si="112"/>
        <v>13793.4</v>
      </c>
      <c r="S324" s="31">
        <f t="shared" si="113"/>
        <v>0</v>
      </c>
      <c r="T324" s="31">
        <f t="shared" si="114"/>
        <v>0</v>
      </c>
      <c r="U324" s="31">
        <f t="shared" si="115"/>
        <v>0</v>
      </c>
      <c r="V324" s="31">
        <f t="shared" si="116"/>
        <v>0</v>
      </c>
      <c r="W324" s="31">
        <f t="shared" si="117"/>
        <v>0</v>
      </c>
      <c r="X324" s="116"/>
      <c r="Y324" s="115">
        <f t="shared" si="120"/>
        <v>0</v>
      </c>
      <c r="Z324" s="116"/>
    </row>
    <row r="325" spans="1:26" s="32" customFormat="1" ht="24.75" hidden="1" customHeight="1" outlineLevel="3" x14ac:dyDescent="0.35">
      <c r="A325" s="26" t="s">
        <v>404</v>
      </c>
      <c r="B325" s="27" t="s">
        <v>10</v>
      </c>
      <c r="C325" s="28">
        <f t="shared" si="111"/>
        <v>0</v>
      </c>
      <c r="D325" s="29"/>
      <c r="E325" s="29"/>
      <c r="F325" s="29"/>
      <c r="G325" s="29">
        <v>5</v>
      </c>
      <c r="H325" s="29">
        <v>5</v>
      </c>
      <c r="I325" s="29"/>
      <c r="J325" s="29">
        <v>1</v>
      </c>
      <c r="K325" s="29">
        <f t="shared" ref="K325:K333" si="121">AVERAGE(L325:N325)</f>
        <v>242.66666666666666</v>
      </c>
      <c r="L325" s="29">
        <v>258</v>
      </c>
      <c r="M325" s="29">
        <v>260</v>
      </c>
      <c r="N325" s="29">
        <v>210</v>
      </c>
      <c r="O325" s="29">
        <f t="shared" si="69"/>
        <v>0</v>
      </c>
      <c r="P325" s="35">
        <v>267</v>
      </c>
      <c r="Q325" s="21">
        <f t="shared" si="119"/>
        <v>2426.6666666666665</v>
      </c>
      <c r="R325" s="31">
        <f t="shared" si="112"/>
        <v>0</v>
      </c>
      <c r="S325" s="31">
        <f t="shared" si="113"/>
        <v>0</v>
      </c>
      <c r="T325" s="31">
        <f t="shared" si="114"/>
        <v>0</v>
      </c>
      <c r="U325" s="31">
        <f t="shared" si="115"/>
        <v>1213.3333333333333</v>
      </c>
      <c r="V325" s="31">
        <f t="shared" si="116"/>
        <v>1213.3333333333333</v>
      </c>
      <c r="W325" s="31">
        <f t="shared" si="117"/>
        <v>0</v>
      </c>
      <c r="X325" s="116"/>
      <c r="Y325" s="115">
        <f t="shared" si="120"/>
        <v>0</v>
      </c>
      <c r="Z325" s="116"/>
    </row>
    <row r="326" spans="1:26" s="32" customFormat="1" ht="24.75" hidden="1" customHeight="1" outlineLevel="3" x14ac:dyDescent="0.35">
      <c r="A326" s="26" t="s">
        <v>405</v>
      </c>
      <c r="B326" s="27" t="s">
        <v>10</v>
      </c>
      <c r="C326" s="28">
        <f t="shared" si="111"/>
        <v>0</v>
      </c>
      <c r="D326" s="29"/>
      <c r="E326" s="29"/>
      <c r="F326" s="29"/>
      <c r="G326" s="29">
        <v>5</v>
      </c>
      <c r="H326" s="29">
        <v>5</v>
      </c>
      <c r="I326" s="29"/>
      <c r="J326" s="29">
        <v>1</v>
      </c>
      <c r="K326" s="29">
        <f t="shared" si="121"/>
        <v>483.66666666666669</v>
      </c>
      <c r="L326" s="29">
        <v>541</v>
      </c>
      <c r="M326" s="29">
        <v>490</v>
      </c>
      <c r="N326" s="29">
        <v>420</v>
      </c>
      <c r="O326" s="29">
        <f t="shared" si="69"/>
        <v>0</v>
      </c>
      <c r="P326" s="35">
        <v>268</v>
      </c>
      <c r="Q326" s="21">
        <f t="shared" si="119"/>
        <v>4836.666666666667</v>
      </c>
      <c r="R326" s="31">
        <f t="shared" si="112"/>
        <v>0</v>
      </c>
      <c r="S326" s="31">
        <f t="shared" si="113"/>
        <v>0</v>
      </c>
      <c r="T326" s="31">
        <f t="shared" si="114"/>
        <v>0</v>
      </c>
      <c r="U326" s="31">
        <f t="shared" si="115"/>
        <v>2418.3333333333335</v>
      </c>
      <c r="V326" s="31">
        <f t="shared" si="116"/>
        <v>2418.3333333333335</v>
      </c>
      <c r="W326" s="31">
        <f t="shared" si="117"/>
        <v>0</v>
      </c>
      <c r="X326" s="116"/>
      <c r="Y326" s="115">
        <f t="shared" si="120"/>
        <v>0</v>
      </c>
      <c r="Z326" s="116"/>
    </row>
    <row r="327" spans="1:26" s="32" customFormat="1" ht="24.75" hidden="1" customHeight="1" outlineLevel="3" x14ac:dyDescent="0.35">
      <c r="A327" s="26" t="s">
        <v>329</v>
      </c>
      <c r="B327" s="27" t="s">
        <v>10</v>
      </c>
      <c r="C327" s="28">
        <f t="shared" si="111"/>
        <v>0</v>
      </c>
      <c r="D327" s="29"/>
      <c r="E327" s="29"/>
      <c r="F327" s="29"/>
      <c r="G327" s="29"/>
      <c r="H327" s="29"/>
      <c r="I327" s="29">
        <v>16</v>
      </c>
      <c r="J327" s="29">
        <v>1</v>
      </c>
      <c r="K327" s="29">
        <f t="shared" si="121"/>
        <v>42.300000000000004</v>
      </c>
      <c r="L327" s="29">
        <v>36</v>
      </c>
      <c r="M327" s="29">
        <v>38</v>
      </c>
      <c r="N327" s="29">
        <v>52.9</v>
      </c>
      <c r="O327" s="29">
        <f t="shared" ref="O327:O333" si="122">C327/$J327*$K327</f>
        <v>0</v>
      </c>
      <c r="P327" s="35">
        <v>269</v>
      </c>
      <c r="Q327" s="21">
        <f t="shared" si="119"/>
        <v>676.80000000000007</v>
      </c>
      <c r="R327" s="31">
        <f t="shared" si="112"/>
        <v>0</v>
      </c>
      <c r="S327" s="31">
        <f t="shared" si="113"/>
        <v>0</v>
      </c>
      <c r="T327" s="31">
        <f t="shared" si="114"/>
        <v>0</v>
      </c>
      <c r="U327" s="31">
        <f t="shared" si="115"/>
        <v>0</v>
      </c>
      <c r="V327" s="31">
        <f t="shared" si="116"/>
        <v>0</v>
      </c>
      <c r="W327" s="31">
        <f t="shared" si="117"/>
        <v>676.80000000000007</v>
      </c>
      <c r="X327" s="116"/>
      <c r="Y327" s="115">
        <f t="shared" si="120"/>
        <v>0</v>
      </c>
      <c r="Z327" s="116"/>
    </row>
    <row r="328" spans="1:26" s="32" customFormat="1" ht="24.75" hidden="1" customHeight="1" outlineLevel="3" x14ac:dyDescent="0.35">
      <c r="A328" s="26" t="s">
        <v>330</v>
      </c>
      <c r="B328" s="27" t="s">
        <v>10</v>
      </c>
      <c r="C328" s="28">
        <f t="shared" si="111"/>
        <v>0</v>
      </c>
      <c r="D328" s="29"/>
      <c r="E328" s="29"/>
      <c r="F328" s="29"/>
      <c r="G328" s="29"/>
      <c r="H328" s="29"/>
      <c r="I328" s="29">
        <v>12</v>
      </c>
      <c r="J328" s="29">
        <v>1</v>
      </c>
      <c r="K328" s="29">
        <f t="shared" si="121"/>
        <v>101.33333333333333</v>
      </c>
      <c r="L328" s="29">
        <v>96</v>
      </c>
      <c r="M328" s="29">
        <v>106</v>
      </c>
      <c r="N328" s="29">
        <v>102</v>
      </c>
      <c r="O328" s="29">
        <f t="shared" si="122"/>
        <v>0</v>
      </c>
      <c r="P328" s="35">
        <v>270</v>
      </c>
      <c r="Q328" s="21">
        <f t="shared" si="119"/>
        <v>1216</v>
      </c>
      <c r="R328" s="31">
        <f t="shared" si="112"/>
        <v>0</v>
      </c>
      <c r="S328" s="31">
        <f t="shared" si="113"/>
        <v>0</v>
      </c>
      <c r="T328" s="31">
        <f t="shared" si="114"/>
        <v>0</v>
      </c>
      <c r="U328" s="31">
        <f t="shared" si="115"/>
        <v>0</v>
      </c>
      <c r="V328" s="31">
        <f t="shared" si="116"/>
        <v>0</v>
      </c>
      <c r="W328" s="31">
        <f t="shared" si="117"/>
        <v>1216</v>
      </c>
      <c r="X328" s="116"/>
      <c r="Y328" s="115">
        <f t="shared" si="120"/>
        <v>0</v>
      </c>
      <c r="Z328" s="116"/>
    </row>
    <row r="329" spans="1:26" s="32" customFormat="1" ht="24.75" hidden="1" customHeight="1" outlineLevel="3" x14ac:dyDescent="0.35">
      <c r="A329" s="26" t="s">
        <v>294</v>
      </c>
      <c r="B329" s="27" t="s">
        <v>295</v>
      </c>
      <c r="C329" s="28">
        <f t="shared" si="111"/>
        <v>0</v>
      </c>
      <c r="D329" s="29">
        <v>10</v>
      </c>
      <c r="E329" s="29">
        <v>1476</v>
      </c>
      <c r="F329" s="29"/>
      <c r="G329" s="29"/>
      <c r="H329" s="29"/>
      <c r="I329" s="29">
        <v>200</v>
      </c>
      <c r="J329" s="29">
        <v>1</v>
      </c>
      <c r="K329" s="29">
        <f t="shared" si="121"/>
        <v>8.73</v>
      </c>
      <c r="L329" s="29">
        <v>8.73</v>
      </c>
      <c r="M329" s="29"/>
      <c r="N329" s="29"/>
      <c r="O329" s="29">
        <f t="shared" si="122"/>
        <v>0</v>
      </c>
      <c r="P329" s="35">
        <v>271</v>
      </c>
      <c r="Q329" s="21">
        <f t="shared" si="119"/>
        <v>14718.78</v>
      </c>
      <c r="R329" s="31">
        <f t="shared" si="112"/>
        <v>87.300000000000011</v>
      </c>
      <c r="S329" s="31">
        <f t="shared" si="113"/>
        <v>12885.480000000001</v>
      </c>
      <c r="T329" s="31">
        <f t="shared" si="114"/>
        <v>0</v>
      </c>
      <c r="U329" s="31">
        <f t="shared" si="115"/>
        <v>0</v>
      </c>
      <c r="V329" s="31">
        <f t="shared" si="116"/>
        <v>0</v>
      </c>
      <c r="W329" s="31">
        <f t="shared" si="117"/>
        <v>1746</v>
      </c>
      <c r="X329" s="116"/>
      <c r="Y329" s="115">
        <f t="shared" si="120"/>
        <v>0</v>
      </c>
      <c r="Z329" s="116"/>
    </row>
    <row r="330" spans="1:26" s="32" customFormat="1" ht="24.75" hidden="1" customHeight="1" outlineLevel="3" x14ac:dyDescent="0.35">
      <c r="A330" s="26" t="s">
        <v>296</v>
      </c>
      <c r="B330" s="27" t="s">
        <v>26</v>
      </c>
      <c r="C330" s="28">
        <f t="shared" si="111"/>
        <v>0</v>
      </c>
      <c r="D330" s="29">
        <v>5</v>
      </c>
      <c r="E330" s="29">
        <v>80</v>
      </c>
      <c r="F330" s="29"/>
      <c r="G330" s="29"/>
      <c r="H330" s="29"/>
      <c r="I330" s="29"/>
      <c r="J330" s="29">
        <v>1</v>
      </c>
      <c r="K330" s="29">
        <f t="shared" si="121"/>
        <v>50.82</v>
      </c>
      <c r="L330" s="29">
        <v>50.82</v>
      </c>
      <c r="M330" s="29"/>
      <c r="N330" s="29"/>
      <c r="O330" s="29">
        <f t="shared" si="122"/>
        <v>0</v>
      </c>
      <c r="P330" s="35">
        <v>272</v>
      </c>
      <c r="Q330" s="21">
        <f t="shared" si="119"/>
        <v>4319.7</v>
      </c>
      <c r="R330" s="31">
        <f t="shared" si="112"/>
        <v>254.1</v>
      </c>
      <c r="S330" s="31">
        <f t="shared" si="113"/>
        <v>4065.6</v>
      </c>
      <c r="T330" s="31">
        <f t="shared" si="114"/>
        <v>0</v>
      </c>
      <c r="U330" s="31">
        <f t="shared" si="115"/>
        <v>0</v>
      </c>
      <c r="V330" s="31">
        <f t="shared" si="116"/>
        <v>0</v>
      </c>
      <c r="W330" s="31">
        <f t="shared" si="117"/>
        <v>0</v>
      </c>
      <c r="X330" s="116"/>
      <c r="Y330" s="115">
        <f t="shared" si="120"/>
        <v>0</v>
      </c>
      <c r="Z330" s="116"/>
    </row>
    <row r="331" spans="1:26" s="32" customFormat="1" ht="24.75" hidden="1" customHeight="1" outlineLevel="3" x14ac:dyDescent="0.35">
      <c r="A331" s="26" t="s">
        <v>297</v>
      </c>
      <c r="B331" s="27" t="s">
        <v>260</v>
      </c>
      <c r="C331" s="28">
        <f t="shared" si="111"/>
        <v>0</v>
      </c>
      <c r="D331" s="29">
        <v>5</v>
      </c>
      <c r="E331" s="29">
        <v>430</v>
      </c>
      <c r="F331" s="29"/>
      <c r="G331" s="29"/>
      <c r="H331" s="29"/>
      <c r="I331" s="29"/>
      <c r="J331" s="29">
        <v>1</v>
      </c>
      <c r="K331" s="29">
        <f t="shared" si="121"/>
        <v>20.37</v>
      </c>
      <c r="L331" s="29">
        <v>20.37</v>
      </c>
      <c r="M331" s="29"/>
      <c r="N331" s="29"/>
      <c r="O331" s="29">
        <f t="shared" si="122"/>
        <v>0</v>
      </c>
      <c r="P331" s="35">
        <v>273</v>
      </c>
      <c r="Q331" s="21">
        <f t="shared" si="119"/>
        <v>8860.9500000000007</v>
      </c>
      <c r="R331" s="31">
        <f t="shared" si="112"/>
        <v>101.85000000000001</v>
      </c>
      <c r="S331" s="31">
        <f t="shared" si="113"/>
        <v>8759.1</v>
      </c>
      <c r="T331" s="31">
        <f t="shared" si="114"/>
        <v>0</v>
      </c>
      <c r="U331" s="31">
        <f t="shared" si="115"/>
        <v>0</v>
      </c>
      <c r="V331" s="31">
        <f t="shared" si="116"/>
        <v>0</v>
      </c>
      <c r="W331" s="31">
        <f t="shared" si="117"/>
        <v>0</v>
      </c>
      <c r="X331" s="116"/>
      <c r="Y331" s="115">
        <f t="shared" si="120"/>
        <v>0</v>
      </c>
      <c r="Z331" s="116"/>
    </row>
    <row r="332" spans="1:26" s="32" customFormat="1" ht="24.75" hidden="1" customHeight="1" outlineLevel="3" x14ac:dyDescent="0.35">
      <c r="A332" s="26" t="s">
        <v>298</v>
      </c>
      <c r="B332" s="27" t="s">
        <v>260</v>
      </c>
      <c r="C332" s="28">
        <f t="shared" si="111"/>
        <v>0</v>
      </c>
      <c r="D332" s="29"/>
      <c r="E332" s="29"/>
      <c r="F332" s="29"/>
      <c r="G332" s="29">
        <v>40</v>
      </c>
      <c r="H332" s="29">
        <v>40</v>
      </c>
      <c r="I332" s="29"/>
      <c r="J332" s="29">
        <v>1</v>
      </c>
      <c r="K332" s="29">
        <f t="shared" si="121"/>
        <v>92.34</v>
      </c>
      <c r="L332" s="29">
        <v>92.34</v>
      </c>
      <c r="M332" s="29"/>
      <c r="N332" s="29"/>
      <c r="O332" s="29">
        <f t="shared" si="122"/>
        <v>0</v>
      </c>
      <c r="P332" s="35">
        <v>274</v>
      </c>
      <c r="Q332" s="21">
        <f t="shared" si="119"/>
        <v>7387.2000000000007</v>
      </c>
      <c r="R332" s="31">
        <f t="shared" si="112"/>
        <v>0</v>
      </c>
      <c r="S332" s="31">
        <f t="shared" si="113"/>
        <v>0</v>
      </c>
      <c r="T332" s="31">
        <f t="shared" si="114"/>
        <v>0</v>
      </c>
      <c r="U332" s="31">
        <f t="shared" si="115"/>
        <v>3693.6000000000004</v>
      </c>
      <c r="V332" s="31">
        <f t="shared" si="116"/>
        <v>3693.6000000000004</v>
      </c>
      <c r="W332" s="31">
        <f t="shared" si="117"/>
        <v>0</v>
      </c>
      <c r="X332" s="116"/>
      <c r="Y332" s="115">
        <f t="shared" si="120"/>
        <v>0</v>
      </c>
      <c r="Z332" s="116"/>
    </row>
    <row r="333" spans="1:26" s="32" customFormat="1" ht="24.75" hidden="1" customHeight="1" outlineLevel="3" x14ac:dyDescent="0.35">
      <c r="A333" s="26" t="s">
        <v>299</v>
      </c>
      <c r="B333" s="27" t="s">
        <v>26</v>
      </c>
      <c r="C333" s="28">
        <f t="shared" si="111"/>
        <v>0</v>
      </c>
      <c r="D333" s="29"/>
      <c r="E333" s="29">
        <v>270</v>
      </c>
      <c r="F333" s="29"/>
      <c r="G333" s="29"/>
      <c r="H333" s="29"/>
      <c r="I333" s="29"/>
      <c r="J333" s="29">
        <v>1</v>
      </c>
      <c r="K333" s="29">
        <f t="shared" si="121"/>
        <v>5.3</v>
      </c>
      <c r="L333" s="29">
        <v>5.3</v>
      </c>
      <c r="M333" s="29"/>
      <c r="N333" s="29"/>
      <c r="O333" s="29">
        <f t="shared" si="122"/>
        <v>0</v>
      </c>
      <c r="P333" s="35">
        <v>275</v>
      </c>
      <c r="Q333" s="21">
        <f t="shared" si="119"/>
        <v>1431</v>
      </c>
      <c r="R333" s="31">
        <f t="shared" si="112"/>
        <v>0</v>
      </c>
      <c r="S333" s="31">
        <f t="shared" si="113"/>
        <v>1431</v>
      </c>
      <c r="T333" s="31">
        <f t="shared" si="114"/>
        <v>0</v>
      </c>
      <c r="U333" s="31">
        <f t="shared" si="115"/>
        <v>0</v>
      </c>
      <c r="V333" s="31">
        <f t="shared" si="116"/>
        <v>0</v>
      </c>
      <c r="W333" s="31">
        <f t="shared" si="117"/>
        <v>0</v>
      </c>
      <c r="X333" s="116"/>
      <c r="Y333" s="115">
        <f t="shared" si="120"/>
        <v>0</v>
      </c>
      <c r="Z333" s="116"/>
    </row>
    <row r="334" spans="1:26" ht="26.25" customHeight="1" x14ac:dyDescent="0.35">
      <c r="A334" s="17" t="s">
        <v>25</v>
      </c>
      <c r="B334" s="18" t="s">
        <v>3</v>
      </c>
      <c r="C334" s="19">
        <f>C3+C154</f>
        <v>311.71269814920703</v>
      </c>
      <c r="D334" s="20" t="s">
        <v>3</v>
      </c>
      <c r="E334" s="20" t="s">
        <v>3</v>
      </c>
      <c r="F334" s="20" t="s">
        <v>3</v>
      </c>
      <c r="G334" s="20" t="s">
        <v>3</v>
      </c>
      <c r="H334" s="20" t="s">
        <v>3</v>
      </c>
      <c r="I334" s="20" t="s">
        <v>3</v>
      </c>
      <c r="J334" s="20" t="s">
        <v>3</v>
      </c>
      <c r="K334" s="20" t="s">
        <v>3</v>
      </c>
      <c r="L334" s="20"/>
      <c r="M334" s="20"/>
      <c r="N334" s="20"/>
      <c r="O334" s="19">
        <f>O3+O154</f>
        <v>9939.2645635508125</v>
      </c>
      <c r="P334" s="20" t="s">
        <v>3</v>
      </c>
      <c r="Q334" s="21">
        <f>SUM(R334:W334)</f>
        <v>39741982.661696248</v>
      </c>
      <c r="R334" s="21">
        <f t="shared" ref="R334:W334" si="123">R3+R154</f>
        <v>5665374.1671087025</v>
      </c>
      <c r="S334" s="21">
        <f t="shared" si="123"/>
        <v>7205257.8442159202</v>
      </c>
      <c r="T334" s="21">
        <f t="shared" si="123"/>
        <v>9372726.4834284168</v>
      </c>
      <c r="U334" s="21">
        <f t="shared" si="123"/>
        <v>3726654.3782473216</v>
      </c>
      <c r="V334" s="21">
        <f t="shared" si="123"/>
        <v>4336506.2379584024</v>
      </c>
      <c r="W334" s="21">
        <f t="shared" si="123"/>
        <v>9435463.5507374853</v>
      </c>
      <c r="Y334" s="115">
        <f t="shared" si="120"/>
        <v>0</v>
      </c>
      <c r="Z334" s="116"/>
    </row>
    <row r="335" spans="1:26" ht="12.75" customHeight="1" x14ac:dyDescent="0.35">
      <c r="C335" s="48"/>
      <c r="K335" s="48"/>
      <c r="L335" s="48"/>
      <c r="M335" s="48"/>
      <c r="N335" s="48"/>
      <c r="O335" s="49"/>
    </row>
    <row r="336" spans="1:26" ht="12.75" customHeight="1" x14ac:dyDescent="0.35">
      <c r="C336" s="48"/>
      <c r="K336" s="48"/>
      <c r="L336" s="48"/>
      <c r="M336" s="48"/>
      <c r="N336" s="48"/>
      <c r="O336" s="49"/>
      <c r="P336" s="16" t="s">
        <v>157</v>
      </c>
      <c r="Q336" s="21">
        <f>SUM(R336:W336)</f>
        <v>39741982.661696248</v>
      </c>
      <c r="R336" s="92">
        <f>R154+R4+($O$3-$O$4)*R2</f>
        <v>5665374.1671087025</v>
      </c>
      <c r="S336" s="92">
        <f>S154+S4+($O$3-$O$4)*S2</f>
        <v>7205257.8442159211</v>
      </c>
      <c r="T336" s="92">
        <f>T154+T4+($O$3-$O$4)*T2</f>
        <v>9372726.4834284168</v>
      </c>
      <c r="U336" s="92">
        <f>U334</f>
        <v>3726654.3782473216</v>
      </c>
      <c r="V336" s="92">
        <f>V334</f>
        <v>4336506.2379584024</v>
      </c>
      <c r="W336" s="92">
        <f>W154+W4+($O$3-$O$4)*W2</f>
        <v>9435463.5507374853</v>
      </c>
    </row>
    <row r="337" spans="3:23" ht="12.75" customHeight="1" x14ac:dyDescent="0.35">
      <c r="C337" s="48"/>
      <c r="K337" s="48"/>
      <c r="L337" s="48"/>
      <c r="M337" s="48"/>
      <c r="N337" s="48"/>
      <c r="O337" s="48"/>
      <c r="Q337" s="114">
        <f>MIN(R337:W337)</f>
        <v>9939.2645635508125</v>
      </c>
      <c r="R337" s="114">
        <f t="shared" ref="R337:W337" si="124">R336/R2</f>
        <v>11872.116863178337</v>
      </c>
      <c r="S337" s="114">
        <f t="shared" si="124"/>
        <v>10019.827345592992</v>
      </c>
      <c r="T337" s="114">
        <f t="shared" si="124"/>
        <v>9939.2645635508125</v>
      </c>
      <c r="U337" s="114">
        <f t="shared" si="124"/>
        <v>34189.48970869102</v>
      </c>
      <c r="V337" s="114">
        <f t="shared" si="124"/>
        <v>43106.423836564638</v>
      </c>
      <c r="W337" s="114">
        <f t="shared" si="124"/>
        <v>11325.727464575062</v>
      </c>
    </row>
    <row r="338" spans="3:23" ht="12.75" customHeight="1" x14ac:dyDescent="0.35">
      <c r="C338" s="48"/>
      <c r="K338" s="48"/>
      <c r="L338" s="48"/>
      <c r="M338" s="48"/>
      <c r="N338" s="48"/>
      <c r="O338" s="48"/>
    </row>
    <row r="339" spans="3:23" ht="12.75" customHeight="1" x14ac:dyDescent="0.35">
      <c r="C339" s="48"/>
      <c r="K339" s="48"/>
      <c r="L339" s="48"/>
      <c r="M339" s="48"/>
      <c r="N339" s="48"/>
      <c r="O339" s="48"/>
      <c r="P339" s="16" t="s">
        <v>157</v>
      </c>
      <c r="Q339" s="21">
        <f>SUM(R339:W339)</f>
        <v>40141289.084534377</v>
      </c>
      <c r="R339" s="92">
        <v>5666008.3588238088</v>
      </c>
      <c r="S339" s="92">
        <v>7205283.1027015308</v>
      </c>
      <c r="T339" s="92">
        <v>9379425.1797654089</v>
      </c>
      <c r="U339" s="92">
        <v>3920259.4592459723</v>
      </c>
      <c r="V339" s="92">
        <v>4534820.1705090096</v>
      </c>
      <c r="W339" s="92">
        <v>9435492.8134886492</v>
      </c>
    </row>
    <row r="340" spans="3:23" ht="12.75" customHeight="1" x14ac:dyDescent="0.35">
      <c r="C340" s="48"/>
      <c r="K340" s="48"/>
      <c r="L340" s="48"/>
      <c r="M340" s="48"/>
      <c r="N340" s="48"/>
      <c r="O340" s="48"/>
    </row>
    <row r="341" spans="3:23" ht="12.75" customHeight="1" x14ac:dyDescent="0.35">
      <c r="C341" s="48"/>
      <c r="K341" s="48"/>
      <c r="L341" s="48"/>
      <c r="M341" s="48"/>
      <c r="N341" s="48"/>
      <c r="O341" s="48"/>
      <c r="P341" s="16" t="s">
        <v>157</v>
      </c>
      <c r="Q341" s="21">
        <f>SUM(R341:W341)</f>
        <v>-399306.42283813003</v>
      </c>
      <c r="R341" s="92">
        <f t="shared" ref="R341:W341" si="125">R336-R339</f>
        <v>-634.19171510636806</v>
      </c>
      <c r="S341" s="92">
        <f t="shared" si="125"/>
        <v>-25.258485609665513</v>
      </c>
      <c r="T341" s="92">
        <f t="shared" si="125"/>
        <v>-6698.696336992085</v>
      </c>
      <c r="U341" s="92">
        <f t="shared" si="125"/>
        <v>-193605.08099865075</v>
      </c>
      <c r="V341" s="92">
        <f t="shared" si="125"/>
        <v>-198313.93255060725</v>
      </c>
      <c r="W341" s="92">
        <f t="shared" si="125"/>
        <v>-29.2627511639148</v>
      </c>
    </row>
    <row r="342" spans="3:23" ht="12.75" customHeight="1" x14ac:dyDescent="0.35">
      <c r="C342" s="48"/>
      <c r="K342" s="48"/>
      <c r="L342" s="48"/>
      <c r="M342" s="48"/>
      <c r="N342" s="48"/>
      <c r="O342" s="48"/>
    </row>
    <row r="343" spans="3:23" ht="12.75" customHeight="1" x14ac:dyDescent="0.35">
      <c r="C343" s="48"/>
      <c r="K343" s="48"/>
      <c r="L343" s="48"/>
      <c r="M343" s="48"/>
      <c r="N343" s="48"/>
      <c r="O343" s="48"/>
      <c r="R343" s="138"/>
      <c r="S343" s="138"/>
      <c r="T343" s="138"/>
      <c r="U343" s="138"/>
      <c r="V343" s="138"/>
      <c r="W343" s="138"/>
    </row>
    <row r="344" spans="3:23" ht="12.75" customHeight="1" x14ac:dyDescent="0.35">
      <c r="C344" s="48"/>
      <c r="K344" s="48"/>
      <c r="L344" s="48"/>
      <c r="M344" s="48"/>
      <c r="N344" s="48"/>
      <c r="O344" s="48"/>
      <c r="R344" s="114">
        <f t="shared" ref="R344:W344" si="126">R4+R204</f>
        <v>456986.22</v>
      </c>
      <c r="S344" s="114">
        <f t="shared" si="126"/>
        <v>704203.42</v>
      </c>
      <c r="T344" s="114">
        <f t="shared" si="126"/>
        <v>912158.69</v>
      </c>
      <c r="U344" s="114">
        <f t="shared" si="126"/>
        <v>412365.53</v>
      </c>
      <c r="V344" s="114">
        <f t="shared" si="126"/>
        <v>265231.98</v>
      </c>
      <c r="W344" s="114">
        <f t="shared" si="126"/>
        <v>944672.05</v>
      </c>
    </row>
    <row r="345" spans="3:23" ht="12.75" customHeight="1" x14ac:dyDescent="0.35">
      <c r="C345" s="48"/>
      <c r="K345" s="48"/>
      <c r="L345" s="48"/>
      <c r="M345" s="48"/>
      <c r="N345" s="48"/>
      <c r="O345" s="48"/>
      <c r="R345" s="114">
        <f t="shared" ref="R345:W345" si="127">R7+R79</f>
        <v>650030.31380718295</v>
      </c>
      <c r="S345" s="114">
        <f t="shared" si="127"/>
        <v>979540.65100323828</v>
      </c>
      <c r="T345" s="114">
        <f t="shared" si="127"/>
        <v>1284531.8229676732</v>
      </c>
      <c r="U345" s="114">
        <f t="shared" si="127"/>
        <v>193873.4143319838</v>
      </c>
      <c r="V345" s="114">
        <f t="shared" si="127"/>
        <v>198582.26588394059</v>
      </c>
      <c r="W345" s="114">
        <f t="shared" si="127"/>
        <v>1134828.6974701677</v>
      </c>
    </row>
    <row r="346" spans="3:23" ht="12.75" customHeight="1" x14ac:dyDescent="0.35">
      <c r="C346" s="48"/>
      <c r="K346" s="48"/>
      <c r="L346" s="48"/>
      <c r="M346" s="48"/>
      <c r="N346" s="48"/>
      <c r="O346" s="48"/>
      <c r="R346" s="114">
        <f t="shared" ref="R346:W346" si="128">R155</f>
        <v>3679256.28</v>
      </c>
      <c r="S346" s="114">
        <f t="shared" si="128"/>
        <v>4839665.2500000009</v>
      </c>
      <c r="T346" s="114">
        <f t="shared" si="128"/>
        <v>5874889.1400000006</v>
      </c>
      <c r="U346" s="114">
        <f t="shared" si="128"/>
        <v>2561233.6600000006</v>
      </c>
      <c r="V346" s="114">
        <f t="shared" si="128"/>
        <v>3529798.0100000002</v>
      </c>
      <c r="W346" s="114">
        <f t="shared" si="128"/>
        <v>6572724.9000000013</v>
      </c>
    </row>
    <row r="347" spans="3:23" ht="12.75" customHeight="1" x14ac:dyDescent="0.35">
      <c r="C347" s="48"/>
      <c r="K347" s="48"/>
      <c r="L347" s="48"/>
      <c r="M347" s="48"/>
      <c r="N347" s="48"/>
      <c r="O347" s="48"/>
      <c r="R347" s="114">
        <f t="shared" ref="R347:W347" si="129">R154-R155-R204+R348</f>
        <v>883171.70686151984</v>
      </c>
      <c r="S347" s="114">
        <f t="shared" si="129"/>
        <v>686194.44297268114</v>
      </c>
      <c r="T347" s="114">
        <f t="shared" si="129"/>
        <v>1308747.7625967434</v>
      </c>
      <c r="U347" s="114">
        <f t="shared" si="129"/>
        <v>561806.70626733743</v>
      </c>
      <c r="V347" s="114">
        <f t="shared" si="129"/>
        <v>344371.25837846141</v>
      </c>
      <c r="W347" s="114">
        <f t="shared" si="129"/>
        <v>789681.07320331526</v>
      </c>
    </row>
    <row r="348" spans="3:23" ht="12.75" customHeight="1" x14ac:dyDescent="0.35">
      <c r="C348" s="48"/>
      <c r="K348" s="48"/>
      <c r="L348" s="48"/>
      <c r="M348" s="48"/>
      <c r="N348" s="48"/>
      <c r="O348" s="48"/>
      <c r="R348" s="114">
        <v>4070.35356</v>
      </c>
      <c r="S348" s="114">
        <v>4345.9197599999998</v>
      </c>
      <c r="T348" s="114">
        <v>7600.9321360000013</v>
      </c>
      <c r="U348" s="114">
        <v>2624.9323519999998</v>
      </c>
      <c r="V348" s="114">
        <v>1477.276304</v>
      </c>
      <c r="W348" s="114">
        <v>6443.1699360000002</v>
      </c>
    </row>
    <row r="349" spans="3:23" ht="12.75" customHeight="1" x14ac:dyDescent="0.35">
      <c r="C349" s="48"/>
      <c r="K349" s="48"/>
      <c r="L349" s="48"/>
      <c r="M349" s="48"/>
      <c r="N349" s="48"/>
      <c r="O349" s="48"/>
      <c r="R349" s="114"/>
      <c r="S349" s="114"/>
      <c r="T349" s="114"/>
      <c r="U349" s="114"/>
      <c r="V349" s="114"/>
      <c r="W349" s="114"/>
    </row>
    <row r="350" spans="3:23" ht="12.75" customHeight="1" x14ac:dyDescent="0.35">
      <c r="C350" s="48"/>
      <c r="K350" s="48"/>
      <c r="L350" s="48"/>
      <c r="M350" s="48"/>
      <c r="N350" s="48"/>
      <c r="O350" s="48"/>
    </row>
    <row r="351" spans="3:23" ht="12.75" customHeight="1" x14ac:dyDescent="0.35">
      <c r="C351" s="48"/>
      <c r="K351" s="48"/>
      <c r="L351" s="48"/>
      <c r="M351" s="48"/>
      <c r="N351" s="48"/>
      <c r="O351" s="48"/>
    </row>
    <row r="352" spans="3:23" ht="12.75" customHeight="1" x14ac:dyDescent="0.35">
      <c r="C352" s="48"/>
      <c r="K352" s="48"/>
      <c r="L352" s="48"/>
      <c r="M352" s="48"/>
      <c r="N352" s="48"/>
      <c r="O352" s="48"/>
      <c r="Q352" s="141" t="s">
        <v>157</v>
      </c>
    </row>
    <row r="353" spans="3:23" ht="12.75" customHeight="1" x14ac:dyDescent="0.35">
      <c r="C353" s="48"/>
      <c r="K353" s="48"/>
      <c r="L353" s="48"/>
      <c r="M353" s="48"/>
      <c r="N353" s="48"/>
      <c r="O353" s="48"/>
      <c r="Q353" s="142" t="s">
        <v>532</v>
      </c>
      <c r="R353" s="114">
        <f t="shared" ref="R353:W353" si="130">R4+R204</f>
        <v>456986.22</v>
      </c>
      <c r="S353" s="114">
        <f t="shared" si="130"/>
        <v>704203.42</v>
      </c>
      <c r="T353" s="114">
        <f t="shared" si="130"/>
        <v>912158.69</v>
      </c>
      <c r="U353" s="114">
        <f t="shared" si="130"/>
        <v>412365.53</v>
      </c>
      <c r="V353" s="114">
        <f t="shared" si="130"/>
        <v>265231.98</v>
      </c>
      <c r="W353" s="114">
        <f t="shared" si="130"/>
        <v>944672.05</v>
      </c>
    </row>
    <row r="354" spans="3:23" ht="12.75" customHeight="1" x14ac:dyDescent="0.35">
      <c r="C354" s="48"/>
      <c r="K354" s="48"/>
      <c r="L354" s="48"/>
      <c r="M354" s="48"/>
      <c r="N354" s="48"/>
      <c r="O354" s="48"/>
      <c r="Q354" s="142" t="s">
        <v>533</v>
      </c>
      <c r="R354" s="114">
        <f t="shared" ref="R354:W354" si="131">R155</f>
        <v>3679256.28</v>
      </c>
      <c r="S354" s="114">
        <f t="shared" si="131"/>
        <v>4839665.2500000009</v>
      </c>
      <c r="T354" s="114">
        <f t="shared" si="131"/>
        <v>5874889.1400000006</v>
      </c>
      <c r="U354" s="114">
        <f t="shared" si="131"/>
        <v>2561233.6600000006</v>
      </c>
      <c r="V354" s="114">
        <f t="shared" si="131"/>
        <v>3529798.0100000002</v>
      </c>
      <c r="W354" s="114">
        <f t="shared" si="131"/>
        <v>6572724.9000000013</v>
      </c>
    </row>
    <row r="355" spans="3:23" ht="12.75" customHeight="1" x14ac:dyDescent="0.35">
      <c r="C355" s="48"/>
      <c r="K355" s="48"/>
      <c r="L355" s="48"/>
      <c r="M355" s="48"/>
      <c r="N355" s="48"/>
      <c r="O355" s="48"/>
      <c r="Q355" s="142" t="s">
        <v>535</v>
      </c>
      <c r="R355" s="114">
        <v>4070.35</v>
      </c>
      <c r="S355" s="114">
        <v>4345.92</v>
      </c>
      <c r="T355" s="114">
        <v>7600.93</v>
      </c>
      <c r="U355" s="114">
        <v>2624.93</v>
      </c>
      <c r="V355" s="114">
        <v>1477.28</v>
      </c>
      <c r="W355" s="114">
        <v>6443.17</v>
      </c>
    </row>
    <row r="356" spans="3:23" ht="27.75" customHeight="1" x14ac:dyDescent="0.35">
      <c r="C356" s="48"/>
      <c r="K356" s="48"/>
      <c r="L356" s="48"/>
      <c r="M356" s="48"/>
      <c r="N356" s="48"/>
      <c r="O356" s="48"/>
      <c r="Q356" s="142" t="s">
        <v>536</v>
      </c>
      <c r="R356" s="114">
        <f t="shared" ref="R356:W356" si="132">R357-R353-R354-R355</f>
        <v>1529766.1500000004</v>
      </c>
      <c r="S356" s="114">
        <f t="shared" si="132"/>
        <v>1661414.4099999992</v>
      </c>
      <c r="T356" s="114">
        <f t="shared" si="132"/>
        <v>2592377.2399999998</v>
      </c>
      <c r="U356" s="114">
        <f t="shared" si="132"/>
        <v>752840.87999999907</v>
      </c>
      <c r="V356" s="114">
        <f t="shared" si="132"/>
        <v>541261.72999999975</v>
      </c>
      <c r="W356" s="114">
        <f t="shared" si="132"/>
        <v>1918095.879999998</v>
      </c>
    </row>
    <row r="357" spans="3:23" ht="12.75" customHeight="1" x14ac:dyDescent="0.35">
      <c r="C357" s="48"/>
      <c r="K357" s="48"/>
      <c r="L357" s="48"/>
      <c r="M357" s="48"/>
      <c r="N357" s="48"/>
      <c r="O357" s="48"/>
      <c r="Q357" s="143" t="s">
        <v>538</v>
      </c>
      <c r="R357" s="114">
        <v>5670079</v>
      </c>
      <c r="S357" s="114">
        <v>7209629</v>
      </c>
      <c r="T357" s="114">
        <v>9387026</v>
      </c>
      <c r="U357" s="114">
        <v>3729065</v>
      </c>
      <c r="V357" s="114">
        <v>4337769</v>
      </c>
      <c r="W357" s="114">
        <v>9441936</v>
      </c>
    </row>
    <row r="358" spans="3:23" ht="12.75" customHeight="1" x14ac:dyDescent="0.35">
      <c r="C358" s="48"/>
      <c r="K358" s="48"/>
      <c r="L358" s="48"/>
      <c r="M358" s="48"/>
      <c r="N358" s="48"/>
      <c r="O358" s="48"/>
      <c r="R358" s="114"/>
      <c r="S358" s="114"/>
      <c r="T358" s="114"/>
      <c r="U358" s="114"/>
      <c r="V358" s="114"/>
      <c r="W358" s="114"/>
    </row>
    <row r="359" spans="3:23" ht="12.75" customHeight="1" x14ac:dyDescent="0.35">
      <c r="C359" s="48"/>
      <c r="K359" s="48"/>
      <c r="L359" s="48"/>
      <c r="M359" s="48"/>
      <c r="N359" s="48"/>
      <c r="O359" s="48"/>
      <c r="R359" s="114"/>
      <c r="S359" s="114"/>
      <c r="T359" s="114"/>
      <c r="U359" s="114"/>
      <c r="V359" s="114"/>
      <c r="W359" s="114"/>
    </row>
    <row r="360" spans="3:23" ht="12.75" customHeight="1" x14ac:dyDescent="0.35">
      <c r="C360" s="48"/>
      <c r="K360" s="48"/>
      <c r="L360" s="48"/>
      <c r="M360" s="48"/>
      <c r="N360" s="48"/>
      <c r="O360" s="48"/>
      <c r="Q360" s="141" t="s">
        <v>537</v>
      </c>
      <c r="R360" s="114"/>
      <c r="S360" s="114"/>
      <c r="T360" s="114"/>
      <c r="U360" s="114"/>
      <c r="V360" s="114"/>
      <c r="W360" s="114"/>
    </row>
    <row r="361" spans="3:23" ht="12.75" customHeight="1" x14ac:dyDescent="0.35">
      <c r="C361" s="48"/>
      <c r="K361" s="48"/>
      <c r="L361" s="48"/>
      <c r="M361" s="48"/>
      <c r="N361" s="48"/>
      <c r="O361" s="48"/>
      <c r="Q361" s="142" t="s">
        <v>532</v>
      </c>
      <c r="R361" s="114">
        <v>406622.06</v>
      </c>
      <c r="S361" s="114">
        <v>167673.26999999999</v>
      </c>
      <c r="T361" s="114">
        <v>333859.34000000003</v>
      </c>
      <c r="U361" s="114">
        <v>174855.02</v>
      </c>
      <c r="V361" s="114">
        <v>146559.94</v>
      </c>
      <c r="W361" s="114">
        <v>162163.91</v>
      </c>
    </row>
    <row r="362" spans="3:23" ht="12.75" customHeight="1" x14ac:dyDescent="0.35">
      <c r="C362" s="48"/>
      <c r="K362" s="48"/>
      <c r="L362" s="48"/>
      <c r="M362" s="48"/>
      <c r="N362" s="48"/>
      <c r="O362" s="48"/>
      <c r="Q362" s="142" t="s">
        <v>533</v>
      </c>
      <c r="R362" s="114"/>
      <c r="S362" s="114"/>
      <c r="T362" s="114"/>
      <c r="U362" s="114"/>
      <c r="V362" s="114"/>
      <c r="W362" s="114"/>
    </row>
    <row r="363" spans="3:23" ht="12.75" customHeight="1" x14ac:dyDescent="0.35">
      <c r="C363" s="48"/>
      <c r="K363" s="48"/>
      <c r="L363" s="48"/>
      <c r="M363" s="48"/>
      <c r="N363" s="48"/>
      <c r="O363" s="48"/>
      <c r="Q363" s="142" t="s">
        <v>534</v>
      </c>
      <c r="R363" s="114"/>
      <c r="S363" s="114"/>
      <c r="T363" s="114"/>
      <c r="U363" s="114"/>
      <c r="V363" s="114"/>
      <c r="W363" s="114"/>
    </row>
    <row r="364" spans="3:23" ht="12.75" customHeight="1" x14ac:dyDescent="0.35">
      <c r="C364" s="48"/>
      <c r="K364" s="48"/>
      <c r="L364" s="48"/>
      <c r="M364" s="48"/>
      <c r="N364" s="48"/>
      <c r="O364" s="48"/>
      <c r="Q364" s="142" t="s">
        <v>535</v>
      </c>
      <c r="R364" s="114"/>
      <c r="S364" s="114"/>
      <c r="T364" s="114"/>
      <c r="U364" s="114"/>
      <c r="V364" s="114"/>
      <c r="W364" s="114"/>
    </row>
    <row r="365" spans="3:23" ht="28.5" customHeight="1" x14ac:dyDescent="0.35">
      <c r="C365" s="48"/>
      <c r="K365" s="48"/>
      <c r="L365" s="48"/>
      <c r="M365" s="48"/>
      <c r="N365" s="48"/>
      <c r="O365" s="48"/>
      <c r="Q365" s="142" t="s">
        <v>536</v>
      </c>
      <c r="R365" s="114">
        <f t="shared" ref="R365:W365" si="133">R366-R361</f>
        <v>67500</v>
      </c>
      <c r="S365" s="114">
        <f t="shared" si="133"/>
        <v>43500</v>
      </c>
      <c r="T365" s="114">
        <f t="shared" si="133"/>
        <v>22500</v>
      </c>
      <c r="U365" s="114">
        <f t="shared" si="133"/>
        <v>27750</v>
      </c>
      <c r="V365" s="114">
        <f t="shared" si="133"/>
        <v>21750</v>
      </c>
      <c r="W365" s="114">
        <f t="shared" si="133"/>
        <v>42750.459999999992</v>
      </c>
    </row>
    <row r="366" spans="3:23" ht="12.75" customHeight="1" x14ac:dyDescent="0.35">
      <c r="C366" s="48"/>
      <c r="K366" s="48"/>
      <c r="L366" s="48"/>
      <c r="M366" s="48"/>
      <c r="N366" s="48"/>
      <c r="O366" s="48"/>
      <c r="Q366" s="143" t="s">
        <v>538</v>
      </c>
      <c r="R366" s="114">
        <v>474122.06</v>
      </c>
      <c r="S366" s="114">
        <v>211173.27</v>
      </c>
      <c r="T366" s="114">
        <v>356359.34</v>
      </c>
      <c r="U366" s="114">
        <v>202605.02</v>
      </c>
      <c r="V366" s="114">
        <v>168309.94</v>
      </c>
      <c r="W366" s="114">
        <f>204913.91+0.46</f>
        <v>204914.37</v>
      </c>
    </row>
    <row r="367" spans="3:23" ht="12.75" customHeight="1" x14ac:dyDescent="0.35">
      <c r="C367" s="48"/>
      <c r="K367" s="48"/>
      <c r="L367" s="48"/>
      <c r="M367" s="48"/>
      <c r="N367" s="48"/>
      <c r="O367" s="48"/>
    </row>
    <row r="368" spans="3:23" ht="12.75" customHeight="1" x14ac:dyDescent="0.35">
      <c r="C368" s="48"/>
      <c r="K368" s="48"/>
      <c r="L368" s="48"/>
      <c r="M368" s="48"/>
      <c r="N368" s="48"/>
      <c r="O368" s="48"/>
    </row>
    <row r="369" spans="3:15" ht="12.75" customHeight="1" x14ac:dyDescent="0.35">
      <c r="C369" s="48"/>
      <c r="K369" s="48"/>
      <c r="L369" s="48"/>
      <c r="M369" s="48"/>
      <c r="N369" s="48"/>
      <c r="O369" s="48"/>
    </row>
    <row r="370" spans="3:15" ht="12.75" customHeight="1" x14ac:dyDescent="0.35">
      <c r="C370" s="48"/>
      <c r="K370" s="48"/>
      <c r="L370" s="48"/>
      <c r="M370" s="48"/>
      <c r="N370" s="48"/>
      <c r="O370" s="48"/>
    </row>
    <row r="371" spans="3:15" ht="12.75" customHeight="1" x14ac:dyDescent="0.35">
      <c r="C371" s="48"/>
      <c r="K371" s="48"/>
      <c r="L371" s="48"/>
      <c r="M371" s="48"/>
      <c r="N371" s="48"/>
      <c r="O371" s="48"/>
    </row>
    <row r="372" spans="3:15" ht="12.75" customHeight="1" x14ac:dyDescent="0.35">
      <c r="C372" s="48"/>
      <c r="K372" s="48"/>
      <c r="L372" s="48"/>
      <c r="M372" s="48"/>
      <c r="N372" s="48"/>
      <c r="O372" s="48"/>
    </row>
    <row r="373" spans="3:15" ht="12.75" customHeight="1" x14ac:dyDescent="0.35">
      <c r="C373" s="48"/>
      <c r="K373" s="48"/>
      <c r="L373" s="48"/>
      <c r="M373" s="48"/>
      <c r="N373" s="48"/>
      <c r="O373" s="48"/>
    </row>
    <row r="374" spans="3:15" ht="12.75" customHeight="1" x14ac:dyDescent="0.35">
      <c r="C374" s="48"/>
      <c r="K374" s="48"/>
      <c r="L374" s="48"/>
      <c r="M374" s="48"/>
      <c r="N374" s="48"/>
      <c r="O374" s="48"/>
    </row>
    <row r="375" spans="3:15" ht="12.75" customHeight="1" x14ac:dyDescent="0.35">
      <c r="C375" s="48"/>
      <c r="K375" s="48"/>
      <c r="L375" s="48"/>
      <c r="M375" s="48"/>
      <c r="N375" s="48"/>
      <c r="O375" s="48"/>
    </row>
    <row r="376" spans="3:15" ht="12.75" customHeight="1" x14ac:dyDescent="0.35">
      <c r="C376" s="48"/>
      <c r="K376" s="48"/>
      <c r="L376" s="48"/>
      <c r="M376" s="48"/>
      <c r="N376" s="48"/>
      <c r="O376" s="48"/>
    </row>
    <row r="377" spans="3:15" ht="12.75" customHeight="1" x14ac:dyDescent="0.35">
      <c r="C377" s="48"/>
      <c r="K377" s="48"/>
      <c r="L377" s="48"/>
      <c r="M377" s="48"/>
      <c r="N377" s="48"/>
      <c r="O377" s="48"/>
    </row>
    <row r="378" spans="3:15" ht="12.75" customHeight="1" x14ac:dyDescent="0.35">
      <c r="C378" s="48"/>
      <c r="K378" s="48"/>
      <c r="L378" s="48"/>
      <c r="M378" s="48"/>
      <c r="N378" s="48"/>
      <c r="O378" s="48"/>
    </row>
    <row r="379" spans="3:15" ht="12.75" customHeight="1" x14ac:dyDescent="0.35">
      <c r="C379" s="48"/>
      <c r="K379" s="48"/>
      <c r="L379" s="48"/>
      <c r="M379" s="48"/>
      <c r="N379" s="48"/>
      <c r="O379" s="48"/>
    </row>
    <row r="380" spans="3:15" ht="12.75" customHeight="1" x14ac:dyDescent="0.35">
      <c r="C380" s="48"/>
      <c r="K380" s="48"/>
      <c r="L380" s="48"/>
      <c r="M380" s="48"/>
      <c r="N380" s="48"/>
      <c r="O380" s="48"/>
    </row>
    <row r="381" spans="3:15" ht="12.75" customHeight="1" x14ac:dyDescent="0.35">
      <c r="C381" s="48"/>
      <c r="K381" s="48"/>
      <c r="L381" s="48"/>
      <c r="M381" s="48"/>
      <c r="N381" s="48"/>
      <c r="O381" s="48"/>
    </row>
    <row r="382" spans="3:15" ht="12.75" customHeight="1" x14ac:dyDescent="0.35">
      <c r="C382" s="48"/>
      <c r="K382" s="48"/>
      <c r="L382" s="48"/>
      <c r="M382" s="48"/>
      <c r="N382" s="48"/>
      <c r="O382" s="48"/>
    </row>
    <row r="383" spans="3:15" ht="12.75" customHeight="1" x14ac:dyDescent="0.35">
      <c r="C383" s="48"/>
      <c r="K383" s="48"/>
      <c r="L383" s="48"/>
      <c r="M383" s="48"/>
      <c r="N383" s="48"/>
      <c r="O383" s="48"/>
    </row>
    <row r="384" spans="3:15" ht="12.75" customHeight="1" x14ac:dyDescent="0.35">
      <c r="C384" s="48"/>
      <c r="K384" s="48"/>
      <c r="L384" s="48"/>
      <c r="M384" s="48"/>
      <c r="N384" s="48"/>
      <c r="O384" s="48"/>
    </row>
    <row r="385" spans="3:15" ht="12.75" customHeight="1" x14ac:dyDescent="0.35">
      <c r="C385" s="48"/>
      <c r="K385" s="48"/>
      <c r="L385" s="48"/>
      <c r="M385" s="48"/>
      <c r="N385" s="48"/>
      <c r="O385" s="48"/>
    </row>
    <row r="386" spans="3:15" ht="12.75" customHeight="1" x14ac:dyDescent="0.35">
      <c r="C386" s="48"/>
      <c r="K386" s="48"/>
      <c r="L386" s="48"/>
      <c r="M386" s="48"/>
      <c r="N386" s="48"/>
      <c r="O386" s="48"/>
    </row>
    <row r="387" spans="3:15" ht="12.75" customHeight="1" x14ac:dyDescent="0.35">
      <c r="C387" s="48"/>
      <c r="K387" s="48"/>
      <c r="L387" s="48"/>
      <c r="M387" s="48"/>
      <c r="N387" s="48"/>
      <c r="O387" s="48"/>
    </row>
    <row r="388" spans="3:15" ht="12.75" customHeight="1" x14ac:dyDescent="0.35">
      <c r="C388" s="48"/>
      <c r="K388" s="48"/>
      <c r="L388" s="48"/>
      <c r="M388" s="48"/>
      <c r="N388" s="48"/>
      <c r="O388" s="48"/>
    </row>
    <row r="389" spans="3:15" ht="12.75" customHeight="1" x14ac:dyDescent="0.35">
      <c r="C389" s="48"/>
      <c r="K389" s="48"/>
      <c r="L389" s="48"/>
      <c r="M389" s="48"/>
      <c r="N389" s="48"/>
      <c r="O389" s="48"/>
    </row>
    <row r="390" spans="3:15" ht="12.75" customHeight="1" x14ac:dyDescent="0.35">
      <c r="C390" s="48"/>
      <c r="K390" s="48"/>
      <c r="L390" s="48"/>
      <c r="M390" s="48"/>
      <c r="N390" s="48"/>
      <c r="O390" s="48"/>
    </row>
    <row r="391" spans="3:15" ht="12.75" customHeight="1" x14ac:dyDescent="0.35">
      <c r="C391" s="48"/>
      <c r="K391" s="48"/>
      <c r="L391" s="48"/>
      <c r="M391" s="48"/>
      <c r="N391" s="48"/>
      <c r="O391" s="48"/>
    </row>
    <row r="392" spans="3:15" ht="12.75" customHeight="1" x14ac:dyDescent="0.35">
      <c r="C392" s="48"/>
      <c r="K392" s="48"/>
      <c r="L392" s="48"/>
      <c r="M392" s="48"/>
      <c r="N392" s="48"/>
      <c r="O392" s="48"/>
    </row>
    <row r="393" spans="3:15" ht="12.75" customHeight="1" x14ac:dyDescent="0.35">
      <c r="C393" s="48"/>
      <c r="K393" s="48"/>
      <c r="L393" s="48"/>
      <c r="M393" s="48"/>
      <c r="N393" s="48"/>
      <c r="O393" s="48"/>
    </row>
    <row r="394" spans="3:15" ht="12.75" customHeight="1" x14ac:dyDescent="0.35">
      <c r="C394" s="48"/>
      <c r="K394" s="48"/>
      <c r="L394" s="48"/>
      <c r="M394" s="48"/>
      <c r="N394" s="48"/>
      <c r="O394" s="48"/>
    </row>
    <row r="395" spans="3:15" ht="12.75" customHeight="1" x14ac:dyDescent="0.35">
      <c r="C395" s="48"/>
      <c r="K395" s="48"/>
      <c r="L395" s="48"/>
      <c r="M395" s="48"/>
      <c r="N395" s="48"/>
      <c r="O395" s="48"/>
    </row>
    <row r="396" spans="3:15" ht="12.75" customHeight="1" x14ac:dyDescent="0.35">
      <c r="C396" s="48"/>
      <c r="K396" s="48"/>
      <c r="L396" s="48"/>
      <c r="M396" s="48"/>
      <c r="N396" s="48"/>
      <c r="O396" s="48"/>
    </row>
    <row r="397" spans="3:15" ht="12.75" customHeight="1" x14ac:dyDescent="0.35">
      <c r="C397" s="48"/>
      <c r="K397" s="48"/>
      <c r="L397" s="48"/>
      <c r="M397" s="48"/>
      <c r="N397" s="48"/>
      <c r="O397" s="48"/>
    </row>
    <row r="398" spans="3:15" ht="12.75" customHeight="1" x14ac:dyDescent="0.35">
      <c r="C398" s="48"/>
      <c r="K398" s="48"/>
      <c r="L398" s="48"/>
      <c r="M398" s="48"/>
      <c r="N398" s="48"/>
      <c r="O398" s="48"/>
    </row>
    <row r="399" spans="3:15" ht="12.75" customHeight="1" x14ac:dyDescent="0.35">
      <c r="C399" s="48"/>
      <c r="K399" s="48"/>
      <c r="L399" s="48"/>
      <c r="M399" s="48"/>
      <c r="N399" s="48"/>
      <c r="O399" s="48"/>
    </row>
    <row r="400" spans="3:15" ht="12.75" customHeight="1" x14ac:dyDescent="0.35">
      <c r="C400" s="48"/>
      <c r="K400" s="48"/>
      <c r="L400" s="48"/>
      <c r="M400" s="48"/>
      <c r="N400" s="48"/>
      <c r="O400" s="48"/>
    </row>
    <row r="401" spans="3:15" ht="12.75" customHeight="1" x14ac:dyDescent="0.35">
      <c r="C401" s="48"/>
      <c r="K401" s="48"/>
      <c r="L401" s="48"/>
      <c r="M401" s="48"/>
      <c r="N401" s="48"/>
      <c r="O401" s="48"/>
    </row>
    <row r="402" spans="3:15" ht="12.75" customHeight="1" x14ac:dyDescent="0.35">
      <c r="C402" s="48"/>
      <c r="K402" s="48"/>
      <c r="L402" s="48"/>
      <c r="M402" s="48"/>
      <c r="N402" s="48"/>
      <c r="O402" s="48"/>
    </row>
    <row r="403" spans="3:15" ht="12.75" customHeight="1" x14ac:dyDescent="0.35">
      <c r="C403" s="48"/>
      <c r="K403" s="48"/>
      <c r="L403" s="48"/>
      <c r="M403" s="48"/>
      <c r="N403" s="48"/>
      <c r="O403" s="48"/>
    </row>
    <row r="404" spans="3:15" ht="12.75" customHeight="1" x14ac:dyDescent="0.35">
      <c r="C404" s="48"/>
      <c r="K404" s="48"/>
      <c r="L404" s="48"/>
      <c r="M404" s="48"/>
      <c r="N404" s="48"/>
      <c r="O404" s="48"/>
    </row>
    <row r="405" spans="3:15" ht="12.75" customHeight="1" x14ac:dyDescent="0.35">
      <c r="C405" s="48"/>
      <c r="K405" s="48"/>
      <c r="L405" s="48"/>
      <c r="M405" s="48"/>
      <c r="N405" s="48"/>
      <c r="O405" s="48"/>
    </row>
    <row r="406" spans="3:15" ht="12.75" customHeight="1" x14ac:dyDescent="0.35">
      <c r="C406" s="48"/>
      <c r="K406" s="48"/>
      <c r="L406" s="48"/>
      <c r="M406" s="48"/>
      <c r="N406" s="48"/>
      <c r="O406" s="48"/>
    </row>
    <row r="407" spans="3:15" ht="12.75" customHeight="1" x14ac:dyDescent="0.35">
      <c r="C407" s="48"/>
      <c r="K407" s="48"/>
      <c r="L407" s="48"/>
      <c r="M407" s="48"/>
      <c r="N407" s="48"/>
      <c r="O407" s="48"/>
    </row>
    <row r="408" spans="3:15" ht="12.75" customHeight="1" x14ac:dyDescent="0.35">
      <c r="C408" s="48"/>
      <c r="K408" s="48"/>
      <c r="L408" s="48"/>
      <c r="M408" s="48"/>
      <c r="N408" s="48"/>
      <c r="O408" s="48"/>
    </row>
    <row r="409" spans="3:15" ht="12.75" customHeight="1" x14ac:dyDescent="0.35">
      <c r="C409" s="48"/>
      <c r="K409" s="48"/>
      <c r="L409" s="48"/>
      <c r="M409" s="48"/>
      <c r="N409" s="48"/>
      <c r="O409" s="48"/>
    </row>
    <row r="410" spans="3:15" ht="12.75" customHeight="1" x14ac:dyDescent="0.35">
      <c r="C410" s="48"/>
      <c r="K410" s="48"/>
      <c r="L410" s="48"/>
      <c r="M410" s="48"/>
      <c r="N410" s="48"/>
      <c r="O410" s="48"/>
    </row>
    <row r="411" spans="3:15" ht="12.75" customHeight="1" x14ac:dyDescent="0.35">
      <c r="C411" s="48"/>
      <c r="K411" s="48"/>
      <c r="L411" s="48"/>
      <c r="M411" s="48"/>
      <c r="N411" s="48"/>
      <c r="O411" s="48"/>
    </row>
    <row r="412" spans="3:15" ht="12.75" customHeight="1" x14ac:dyDescent="0.35">
      <c r="C412" s="48"/>
      <c r="K412" s="48"/>
      <c r="L412" s="48"/>
      <c r="M412" s="48"/>
      <c r="N412" s="48"/>
      <c r="O412" s="48"/>
    </row>
    <row r="413" spans="3:15" ht="12.75" customHeight="1" x14ac:dyDescent="0.35">
      <c r="C413" s="48"/>
      <c r="K413" s="48"/>
      <c r="L413" s="48"/>
      <c r="M413" s="48"/>
      <c r="N413" s="48"/>
      <c r="O413" s="48"/>
    </row>
    <row r="414" spans="3:15" ht="12.75" customHeight="1" x14ac:dyDescent="0.35">
      <c r="C414" s="48"/>
      <c r="K414" s="48"/>
      <c r="L414" s="48"/>
      <c r="M414" s="48"/>
      <c r="N414" s="48"/>
      <c r="O414" s="48"/>
    </row>
    <row r="415" spans="3:15" ht="12.75" customHeight="1" x14ac:dyDescent="0.35">
      <c r="C415" s="48"/>
      <c r="K415" s="48"/>
      <c r="L415" s="48"/>
      <c r="M415" s="48"/>
      <c r="N415" s="48"/>
      <c r="O415" s="48"/>
    </row>
    <row r="416" spans="3:15" ht="12.75" customHeight="1" x14ac:dyDescent="0.35">
      <c r="C416" s="48"/>
      <c r="K416" s="48"/>
      <c r="L416" s="48"/>
      <c r="M416" s="48"/>
      <c r="N416" s="48"/>
      <c r="O416" s="48"/>
    </row>
    <row r="417" spans="3:15" ht="12.75" customHeight="1" x14ac:dyDescent="0.35">
      <c r="C417" s="48"/>
      <c r="K417" s="48"/>
      <c r="L417" s="48"/>
      <c r="M417" s="48"/>
      <c r="N417" s="48"/>
      <c r="O417" s="48"/>
    </row>
    <row r="418" spans="3:15" ht="12.75" customHeight="1" x14ac:dyDescent="0.35">
      <c r="C418" s="48"/>
      <c r="K418" s="48"/>
      <c r="L418" s="48"/>
      <c r="M418" s="48"/>
      <c r="N418" s="48"/>
      <c r="O418" s="48"/>
    </row>
    <row r="419" spans="3:15" ht="12.75" customHeight="1" x14ac:dyDescent="0.35">
      <c r="C419" s="48"/>
      <c r="K419" s="48"/>
      <c r="L419" s="48"/>
      <c r="M419" s="48"/>
      <c r="N419" s="48"/>
      <c r="O419" s="48"/>
    </row>
    <row r="420" spans="3:15" ht="12.75" customHeight="1" x14ac:dyDescent="0.35">
      <c r="C420" s="48"/>
      <c r="K420" s="48"/>
      <c r="L420" s="48"/>
      <c r="M420" s="48"/>
      <c r="N420" s="48"/>
      <c r="O420" s="48"/>
    </row>
    <row r="421" spans="3:15" ht="12.75" customHeight="1" x14ac:dyDescent="0.35">
      <c r="C421" s="48"/>
      <c r="K421" s="48"/>
      <c r="L421" s="48"/>
      <c r="M421" s="48"/>
      <c r="N421" s="48"/>
      <c r="O421" s="48"/>
    </row>
    <row r="422" spans="3:15" ht="12.75" customHeight="1" x14ac:dyDescent="0.35">
      <c r="C422" s="48"/>
      <c r="K422" s="48"/>
      <c r="L422" s="48"/>
      <c r="M422" s="48"/>
      <c r="N422" s="48"/>
      <c r="O422" s="48"/>
    </row>
    <row r="423" spans="3:15" ht="12.75" customHeight="1" x14ac:dyDescent="0.35">
      <c r="C423" s="48"/>
      <c r="K423" s="48"/>
      <c r="L423" s="48"/>
      <c r="M423" s="48"/>
      <c r="N423" s="48"/>
      <c r="O423" s="48"/>
    </row>
    <row r="424" spans="3:15" ht="12.75" customHeight="1" x14ac:dyDescent="0.35">
      <c r="C424" s="48"/>
      <c r="K424" s="48"/>
      <c r="L424" s="48"/>
      <c r="M424" s="48"/>
      <c r="N424" s="48"/>
      <c r="O424" s="48"/>
    </row>
    <row r="425" spans="3:15" ht="12.75" customHeight="1" x14ac:dyDescent="0.35">
      <c r="C425" s="48"/>
      <c r="K425" s="48"/>
      <c r="L425" s="48"/>
      <c r="M425" s="48"/>
      <c r="N425" s="48"/>
      <c r="O425" s="48"/>
    </row>
    <row r="426" spans="3:15" ht="12.75" customHeight="1" x14ac:dyDescent="0.35">
      <c r="C426" s="48"/>
      <c r="K426" s="48"/>
      <c r="L426" s="48"/>
      <c r="M426" s="48"/>
      <c r="N426" s="48"/>
      <c r="O426" s="48"/>
    </row>
    <row r="427" spans="3:15" ht="12.75" customHeight="1" x14ac:dyDescent="0.35">
      <c r="C427" s="48"/>
      <c r="K427" s="48"/>
      <c r="L427" s="48"/>
      <c r="M427" s="48"/>
      <c r="N427" s="48"/>
      <c r="O427" s="48"/>
    </row>
    <row r="428" spans="3:15" ht="12.75" customHeight="1" x14ac:dyDescent="0.35">
      <c r="C428" s="48"/>
      <c r="K428" s="48"/>
      <c r="L428" s="48"/>
      <c r="M428" s="48"/>
      <c r="N428" s="48"/>
      <c r="O428" s="48"/>
    </row>
    <row r="429" spans="3:15" ht="12.75" customHeight="1" x14ac:dyDescent="0.35">
      <c r="C429" s="48"/>
      <c r="K429" s="48"/>
      <c r="L429" s="48"/>
      <c r="M429" s="48"/>
      <c r="N429" s="48"/>
      <c r="O429" s="48"/>
    </row>
    <row r="430" spans="3:15" ht="12.75" customHeight="1" x14ac:dyDescent="0.35">
      <c r="C430" s="48"/>
      <c r="K430" s="48"/>
      <c r="L430" s="48"/>
      <c r="M430" s="48"/>
      <c r="N430" s="48"/>
      <c r="O430" s="48"/>
    </row>
    <row r="431" spans="3:15" ht="12.75" customHeight="1" x14ac:dyDescent="0.35">
      <c r="C431" s="48"/>
      <c r="K431" s="48"/>
      <c r="L431" s="48"/>
      <c r="M431" s="48"/>
      <c r="N431" s="48"/>
      <c r="O431" s="48"/>
    </row>
    <row r="432" spans="3:15" ht="12.75" customHeight="1" x14ac:dyDescent="0.35">
      <c r="C432" s="48"/>
      <c r="K432" s="48"/>
      <c r="L432" s="48"/>
      <c r="M432" s="48"/>
      <c r="N432" s="48"/>
      <c r="O432" s="48"/>
    </row>
    <row r="433" spans="3:15" ht="12.75" customHeight="1" x14ac:dyDescent="0.35">
      <c r="C433" s="48"/>
      <c r="K433" s="48"/>
      <c r="L433" s="48"/>
      <c r="M433" s="48"/>
      <c r="N433" s="48"/>
      <c r="O433" s="48"/>
    </row>
    <row r="434" spans="3:15" ht="12.75" customHeight="1" x14ac:dyDescent="0.35">
      <c r="C434" s="48"/>
      <c r="K434" s="48"/>
      <c r="L434" s="48"/>
      <c r="M434" s="48"/>
      <c r="N434" s="48"/>
      <c r="O434" s="48"/>
    </row>
    <row r="435" spans="3:15" ht="12.75" customHeight="1" x14ac:dyDescent="0.35">
      <c r="C435" s="48"/>
      <c r="K435" s="48"/>
      <c r="L435" s="48"/>
      <c r="M435" s="48"/>
      <c r="N435" s="48"/>
      <c r="O435" s="48"/>
    </row>
    <row r="436" spans="3:15" ht="12.75" customHeight="1" x14ac:dyDescent="0.35">
      <c r="C436" s="48"/>
      <c r="K436" s="48"/>
      <c r="L436" s="48"/>
      <c r="M436" s="48"/>
      <c r="N436" s="48"/>
      <c r="O436" s="48"/>
    </row>
    <row r="437" spans="3:15" ht="12.75" customHeight="1" x14ac:dyDescent="0.35">
      <c r="C437" s="48"/>
      <c r="K437" s="48"/>
      <c r="L437" s="48"/>
      <c r="M437" s="48"/>
      <c r="N437" s="48"/>
      <c r="O437" s="48"/>
    </row>
    <row r="438" spans="3:15" ht="12.75" customHeight="1" x14ac:dyDescent="0.35">
      <c r="C438" s="48"/>
      <c r="K438" s="48"/>
      <c r="L438" s="48"/>
      <c r="M438" s="48"/>
      <c r="N438" s="48"/>
      <c r="O438" s="48"/>
    </row>
    <row r="439" spans="3:15" ht="12.75" customHeight="1" x14ac:dyDescent="0.35">
      <c r="C439" s="48"/>
      <c r="K439" s="48"/>
      <c r="L439" s="48"/>
      <c r="M439" s="48"/>
      <c r="N439" s="48"/>
      <c r="O439" s="48"/>
    </row>
    <row r="440" spans="3:15" ht="12.75" customHeight="1" x14ac:dyDescent="0.35">
      <c r="C440" s="48"/>
      <c r="K440" s="48"/>
      <c r="L440" s="48"/>
      <c r="M440" s="48"/>
      <c r="N440" s="48"/>
      <c r="O440" s="48"/>
    </row>
    <row r="441" spans="3:15" ht="12.75" customHeight="1" x14ac:dyDescent="0.35">
      <c r="C441" s="48"/>
      <c r="K441" s="48"/>
      <c r="L441" s="48"/>
      <c r="M441" s="48"/>
      <c r="N441" s="48"/>
      <c r="O441" s="48"/>
    </row>
    <row r="442" spans="3:15" ht="12.75" customHeight="1" x14ac:dyDescent="0.35">
      <c r="C442" s="48"/>
      <c r="K442" s="48"/>
      <c r="L442" s="48"/>
      <c r="M442" s="48"/>
      <c r="N442" s="48"/>
      <c r="O442" s="48"/>
    </row>
    <row r="443" spans="3:15" ht="12.75" customHeight="1" x14ac:dyDescent="0.35">
      <c r="C443" s="48"/>
      <c r="K443" s="48"/>
      <c r="L443" s="48"/>
      <c r="M443" s="48"/>
      <c r="N443" s="48"/>
      <c r="O443" s="48"/>
    </row>
    <row r="444" spans="3:15" ht="12.75" customHeight="1" x14ac:dyDescent="0.35">
      <c r="C444" s="48"/>
      <c r="K444" s="48"/>
      <c r="L444" s="48"/>
      <c r="M444" s="48"/>
      <c r="N444" s="48"/>
      <c r="O444" s="48"/>
    </row>
    <row r="445" spans="3:15" ht="12.75" customHeight="1" x14ac:dyDescent="0.35">
      <c r="C445" s="48"/>
      <c r="K445" s="48"/>
      <c r="L445" s="48"/>
      <c r="M445" s="48"/>
      <c r="N445" s="48"/>
      <c r="O445" s="48"/>
    </row>
    <row r="446" spans="3:15" ht="12.75" customHeight="1" x14ac:dyDescent="0.35">
      <c r="C446" s="48"/>
      <c r="K446" s="48"/>
      <c r="L446" s="48"/>
      <c r="M446" s="48"/>
      <c r="N446" s="48"/>
      <c r="O446" s="48"/>
    </row>
    <row r="447" spans="3:15" ht="12.75" customHeight="1" x14ac:dyDescent="0.35">
      <c r="C447" s="48"/>
      <c r="K447" s="48"/>
      <c r="L447" s="48"/>
      <c r="M447" s="48"/>
      <c r="N447" s="48"/>
      <c r="O447" s="48"/>
    </row>
    <row r="448" spans="3:15" ht="12.75" customHeight="1" x14ac:dyDescent="0.35">
      <c r="C448" s="48"/>
      <c r="K448" s="48"/>
      <c r="L448" s="48"/>
      <c r="M448" s="48"/>
      <c r="N448" s="48"/>
      <c r="O448" s="48"/>
    </row>
    <row r="449" spans="3:15" ht="12.75" customHeight="1" x14ac:dyDescent="0.35">
      <c r="C449" s="48"/>
      <c r="K449" s="48"/>
      <c r="L449" s="48"/>
      <c r="M449" s="48"/>
      <c r="N449" s="48"/>
      <c r="O449" s="48"/>
    </row>
    <row r="450" spans="3:15" ht="12.75" customHeight="1" x14ac:dyDescent="0.35">
      <c r="C450" s="48"/>
      <c r="K450" s="48"/>
      <c r="L450" s="48"/>
      <c r="M450" s="48"/>
      <c r="N450" s="48"/>
      <c r="O450" s="48"/>
    </row>
    <row r="451" spans="3:15" ht="12.75" customHeight="1" x14ac:dyDescent="0.35">
      <c r="C451" s="48"/>
      <c r="K451" s="48"/>
      <c r="L451" s="48"/>
      <c r="M451" s="48"/>
      <c r="N451" s="48"/>
      <c r="O451" s="48"/>
    </row>
    <row r="452" spans="3:15" ht="12.75" customHeight="1" x14ac:dyDescent="0.35">
      <c r="C452" s="48"/>
      <c r="K452" s="48"/>
      <c r="L452" s="48"/>
      <c r="M452" s="48"/>
      <c r="N452" s="48"/>
      <c r="O452" s="48"/>
    </row>
    <row r="453" spans="3:15" ht="12.75" customHeight="1" x14ac:dyDescent="0.35">
      <c r="C453" s="48"/>
      <c r="K453" s="48"/>
      <c r="L453" s="48"/>
      <c r="M453" s="48"/>
      <c r="N453" s="48"/>
      <c r="O453" s="48"/>
    </row>
    <row r="454" spans="3:15" ht="12.75" customHeight="1" x14ac:dyDescent="0.35">
      <c r="C454" s="48"/>
      <c r="K454" s="48"/>
      <c r="L454" s="48"/>
      <c r="M454" s="48"/>
      <c r="N454" s="48"/>
      <c r="O454" s="48"/>
    </row>
    <row r="455" spans="3:15" ht="12.75" customHeight="1" x14ac:dyDescent="0.35">
      <c r="C455" s="48"/>
      <c r="K455" s="48"/>
      <c r="L455" s="48"/>
      <c r="M455" s="48"/>
      <c r="N455" s="48"/>
      <c r="O455" s="48"/>
    </row>
    <row r="456" spans="3:15" ht="12.75" customHeight="1" x14ac:dyDescent="0.35">
      <c r="C456" s="48"/>
      <c r="K456" s="48"/>
      <c r="L456" s="48"/>
      <c r="M456" s="48"/>
      <c r="N456" s="48"/>
      <c r="O456" s="48"/>
    </row>
    <row r="457" spans="3:15" ht="12.75" customHeight="1" x14ac:dyDescent="0.35">
      <c r="C457" s="48"/>
      <c r="K457" s="48"/>
      <c r="L457" s="48"/>
      <c r="M457" s="48"/>
      <c r="N457" s="48"/>
      <c r="O457" s="48"/>
    </row>
    <row r="458" spans="3:15" ht="12.75" customHeight="1" x14ac:dyDescent="0.35">
      <c r="C458" s="48"/>
      <c r="K458" s="48"/>
      <c r="L458" s="48"/>
      <c r="M458" s="48"/>
      <c r="N458" s="48"/>
      <c r="O458" s="48"/>
    </row>
    <row r="459" spans="3:15" ht="12.75" customHeight="1" x14ac:dyDescent="0.35">
      <c r="C459" s="48"/>
      <c r="K459" s="48"/>
      <c r="L459" s="48"/>
      <c r="M459" s="48"/>
      <c r="N459" s="48"/>
      <c r="O459" s="48"/>
    </row>
    <row r="460" spans="3:15" ht="12.75" customHeight="1" x14ac:dyDescent="0.35">
      <c r="C460" s="48"/>
      <c r="K460" s="48"/>
      <c r="L460" s="48"/>
      <c r="M460" s="48"/>
      <c r="N460" s="48"/>
      <c r="O460" s="48"/>
    </row>
    <row r="461" spans="3:15" ht="12.75" customHeight="1" x14ac:dyDescent="0.35">
      <c r="C461" s="48"/>
      <c r="K461" s="48"/>
      <c r="L461" s="48"/>
      <c r="M461" s="48"/>
      <c r="N461" s="48"/>
      <c r="O461" s="48"/>
    </row>
    <row r="462" spans="3:15" ht="12.75" customHeight="1" x14ac:dyDescent="0.35">
      <c r="C462" s="48"/>
      <c r="K462" s="48"/>
      <c r="L462" s="48"/>
      <c r="M462" s="48"/>
      <c r="N462" s="48"/>
      <c r="O462" s="48"/>
    </row>
    <row r="463" spans="3:15" ht="12.75" customHeight="1" x14ac:dyDescent="0.35">
      <c r="C463" s="48"/>
      <c r="K463" s="48"/>
      <c r="L463" s="48"/>
      <c r="M463" s="48"/>
      <c r="N463" s="48"/>
      <c r="O463" s="48"/>
    </row>
    <row r="464" spans="3:15" ht="12.75" customHeight="1" x14ac:dyDescent="0.35">
      <c r="C464" s="48"/>
      <c r="K464" s="48"/>
      <c r="L464" s="48"/>
      <c r="M464" s="48"/>
      <c r="N464" s="48"/>
      <c r="O464" s="48"/>
    </row>
    <row r="465" spans="3:15" ht="12.75" customHeight="1" x14ac:dyDescent="0.35">
      <c r="C465" s="48"/>
      <c r="K465" s="48"/>
      <c r="L465" s="48"/>
      <c r="M465" s="48"/>
      <c r="N465" s="48"/>
      <c r="O465" s="48"/>
    </row>
    <row r="466" spans="3:15" ht="12.75" customHeight="1" x14ac:dyDescent="0.35">
      <c r="C466" s="48"/>
      <c r="K466" s="48"/>
      <c r="L466" s="48"/>
      <c r="M466" s="48"/>
      <c r="N466" s="48"/>
      <c r="O466" s="48"/>
    </row>
    <row r="467" spans="3:15" ht="12.75" customHeight="1" x14ac:dyDescent="0.35">
      <c r="C467" s="48"/>
      <c r="K467" s="48"/>
      <c r="L467" s="48"/>
      <c r="M467" s="48"/>
      <c r="N467" s="48"/>
      <c r="O467" s="48"/>
    </row>
    <row r="468" spans="3:15" ht="12.75" customHeight="1" x14ac:dyDescent="0.35">
      <c r="C468" s="48"/>
      <c r="K468" s="48"/>
      <c r="L468" s="48"/>
      <c r="M468" s="48"/>
      <c r="N468" s="48"/>
      <c r="O468" s="48"/>
    </row>
    <row r="469" spans="3:15" ht="12.75" customHeight="1" x14ac:dyDescent="0.35">
      <c r="C469" s="48"/>
      <c r="K469" s="48"/>
      <c r="L469" s="48"/>
      <c r="M469" s="48"/>
      <c r="N469" s="48"/>
      <c r="O469" s="48"/>
    </row>
    <row r="470" spans="3:15" ht="12.75" customHeight="1" x14ac:dyDescent="0.35">
      <c r="C470" s="48"/>
      <c r="K470" s="48"/>
      <c r="L470" s="48"/>
      <c r="M470" s="48"/>
      <c r="N470" s="48"/>
      <c r="O470" s="48"/>
    </row>
    <row r="471" spans="3:15" ht="12.75" customHeight="1" x14ac:dyDescent="0.35">
      <c r="C471" s="48"/>
      <c r="K471" s="48"/>
      <c r="L471" s="48"/>
      <c r="M471" s="48"/>
      <c r="N471" s="48"/>
      <c r="O471" s="48"/>
    </row>
    <row r="472" spans="3:15" ht="12.75" customHeight="1" x14ac:dyDescent="0.35">
      <c r="C472" s="48"/>
      <c r="K472" s="48"/>
      <c r="L472" s="48"/>
      <c r="M472" s="48"/>
      <c r="N472" s="48"/>
      <c r="O472" s="48"/>
    </row>
    <row r="473" spans="3:15" ht="12.75" customHeight="1" x14ac:dyDescent="0.35">
      <c r="C473" s="48"/>
      <c r="K473" s="48"/>
      <c r="L473" s="48"/>
      <c r="M473" s="48"/>
      <c r="N473" s="48"/>
      <c r="O473" s="48"/>
    </row>
    <row r="474" spans="3:15" ht="12.75" customHeight="1" x14ac:dyDescent="0.35">
      <c r="C474" s="48"/>
      <c r="K474" s="48"/>
      <c r="L474" s="48"/>
      <c r="M474" s="48"/>
      <c r="N474" s="48"/>
      <c r="O474" s="48"/>
    </row>
    <row r="475" spans="3:15" ht="12.75" customHeight="1" x14ac:dyDescent="0.35">
      <c r="C475" s="48"/>
      <c r="K475" s="48"/>
      <c r="L475" s="48"/>
      <c r="M475" s="48"/>
      <c r="N475" s="48"/>
      <c r="O475" s="48"/>
    </row>
    <row r="476" spans="3:15" ht="12.75" customHeight="1" x14ac:dyDescent="0.35">
      <c r="C476" s="48"/>
      <c r="K476" s="48"/>
      <c r="L476" s="48"/>
      <c r="M476" s="48"/>
      <c r="N476" s="48"/>
      <c r="O476" s="48"/>
    </row>
    <row r="477" spans="3:15" ht="12.75" customHeight="1" x14ac:dyDescent="0.35">
      <c r="C477" s="48"/>
      <c r="K477" s="48"/>
      <c r="L477" s="48"/>
      <c r="M477" s="48"/>
      <c r="N477" s="48"/>
      <c r="O477" s="48"/>
    </row>
    <row r="478" spans="3:15" ht="12.75" customHeight="1" x14ac:dyDescent="0.35">
      <c r="C478" s="48"/>
      <c r="K478" s="48"/>
      <c r="L478" s="48"/>
      <c r="M478" s="48"/>
      <c r="N478" s="48"/>
      <c r="O478" s="48"/>
    </row>
    <row r="479" spans="3:15" ht="12.75" customHeight="1" x14ac:dyDescent="0.35">
      <c r="C479" s="48"/>
      <c r="K479" s="48"/>
      <c r="L479" s="48"/>
      <c r="M479" s="48"/>
      <c r="N479" s="48"/>
      <c r="O479" s="48"/>
    </row>
    <row r="480" spans="3:15" ht="12.75" customHeight="1" x14ac:dyDescent="0.35">
      <c r="C480" s="48"/>
      <c r="K480" s="48"/>
      <c r="L480" s="48"/>
      <c r="M480" s="48"/>
      <c r="N480" s="48"/>
      <c r="O480" s="48"/>
    </row>
    <row r="481" spans="3:15" ht="12.75" customHeight="1" x14ac:dyDescent="0.35">
      <c r="C481" s="48"/>
      <c r="K481" s="48"/>
      <c r="L481" s="48"/>
      <c r="M481" s="48"/>
      <c r="N481" s="48"/>
      <c r="O481" s="48"/>
    </row>
    <row r="482" spans="3:15" ht="12.75" customHeight="1" x14ac:dyDescent="0.35">
      <c r="C482" s="48"/>
      <c r="K482" s="48"/>
      <c r="L482" s="48"/>
      <c r="M482" s="48"/>
      <c r="N482" s="48"/>
      <c r="O482" s="48"/>
    </row>
    <row r="483" spans="3:15" ht="12.75" customHeight="1" x14ac:dyDescent="0.35">
      <c r="C483" s="48"/>
      <c r="K483" s="48"/>
      <c r="L483" s="48"/>
      <c r="M483" s="48"/>
      <c r="N483" s="48"/>
      <c r="O483" s="48"/>
    </row>
    <row r="484" spans="3:15" ht="12.75" customHeight="1" x14ac:dyDescent="0.35">
      <c r="C484" s="48"/>
      <c r="K484" s="48"/>
      <c r="L484" s="48"/>
      <c r="M484" s="48"/>
      <c r="N484" s="48"/>
      <c r="O484" s="48"/>
    </row>
    <row r="485" spans="3:15" ht="12.75" customHeight="1" x14ac:dyDescent="0.35">
      <c r="C485" s="48"/>
      <c r="K485" s="48"/>
      <c r="L485" s="48"/>
      <c r="M485" s="48"/>
      <c r="N485" s="48"/>
      <c r="O485" s="48"/>
    </row>
    <row r="486" spans="3:15" ht="12.75" customHeight="1" x14ac:dyDescent="0.35">
      <c r="C486" s="48"/>
      <c r="K486" s="48"/>
      <c r="L486" s="48"/>
      <c r="M486" s="48"/>
      <c r="N486" s="48"/>
      <c r="O486" s="48"/>
    </row>
    <row r="487" spans="3:15" ht="12.75" customHeight="1" x14ac:dyDescent="0.35">
      <c r="C487" s="48"/>
      <c r="K487" s="48"/>
      <c r="L487" s="48"/>
      <c r="M487" s="48"/>
      <c r="N487" s="48"/>
      <c r="O487" s="48"/>
    </row>
    <row r="488" spans="3:15" ht="12.75" customHeight="1" x14ac:dyDescent="0.35">
      <c r="C488" s="48"/>
      <c r="K488" s="48"/>
      <c r="L488" s="48"/>
      <c r="M488" s="48"/>
      <c r="N488" s="48"/>
      <c r="O488" s="48"/>
    </row>
    <row r="489" spans="3:15" ht="12.75" customHeight="1" x14ac:dyDescent="0.35">
      <c r="C489" s="48"/>
      <c r="K489" s="48"/>
      <c r="L489" s="48"/>
      <c r="M489" s="48"/>
      <c r="N489" s="48"/>
      <c r="O489" s="48"/>
    </row>
    <row r="490" spans="3:15" ht="12.75" customHeight="1" x14ac:dyDescent="0.35">
      <c r="C490" s="48"/>
      <c r="K490" s="48"/>
      <c r="L490" s="48"/>
      <c r="M490" s="48"/>
      <c r="N490" s="48"/>
      <c r="O490" s="48"/>
    </row>
    <row r="491" spans="3:15" ht="12.75" customHeight="1" x14ac:dyDescent="0.35">
      <c r="C491" s="48"/>
      <c r="K491" s="48"/>
      <c r="L491" s="48"/>
      <c r="M491" s="48"/>
      <c r="N491" s="48"/>
      <c r="O491" s="48"/>
    </row>
    <row r="492" spans="3:15" ht="12.75" customHeight="1" x14ac:dyDescent="0.35">
      <c r="C492" s="48"/>
      <c r="K492" s="48"/>
      <c r="L492" s="48"/>
      <c r="M492" s="48"/>
      <c r="N492" s="48"/>
      <c r="O492" s="48"/>
    </row>
    <row r="493" spans="3:15" ht="12.75" customHeight="1" x14ac:dyDescent="0.35">
      <c r="C493" s="48"/>
      <c r="K493" s="48"/>
      <c r="L493" s="48"/>
      <c r="M493" s="48"/>
      <c r="N493" s="48"/>
      <c r="O493" s="48"/>
    </row>
    <row r="494" spans="3:15" ht="12.75" customHeight="1" x14ac:dyDescent="0.35">
      <c r="C494" s="48"/>
      <c r="K494" s="48"/>
      <c r="L494" s="48"/>
      <c r="M494" s="48"/>
      <c r="N494" s="48"/>
      <c r="O494" s="48"/>
    </row>
    <row r="495" spans="3:15" ht="12.75" customHeight="1" x14ac:dyDescent="0.35">
      <c r="C495" s="48"/>
      <c r="K495" s="48"/>
      <c r="L495" s="48"/>
      <c r="M495" s="48"/>
      <c r="N495" s="48"/>
      <c r="O495" s="48"/>
    </row>
    <row r="496" spans="3:15" ht="12.75" customHeight="1" x14ac:dyDescent="0.35">
      <c r="C496" s="48"/>
      <c r="K496" s="48"/>
      <c r="L496" s="48"/>
      <c r="M496" s="48"/>
      <c r="N496" s="48"/>
      <c r="O496" s="48"/>
    </row>
    <row r="497" spans="3:15" ht="12.75" customHeight="1" x14ac:dyDescent="0.35">
      <c r="C497" s="48"/>
      <c r="K497" s="48"/>
      <c r="L497" s="48"/>
      <c r="M497" s="48"/>
      <c r="N497" s="48"/>
      <c r="O497" s="48"/>
    </row>
    <row r="498" spans="3:15" ht="12.75" customHeight="1" x14ac:dyDescent="0.35">
      <c r="C498" s="48"/>
      <c r="K498" s="48"/>
      <c r="L498" s="48"/>
      <c r="M498" s="48"/>
      <c r="N498" s="48"/>
      <c r="O498" s="48"/>
    </row>
    <row r="499" spans="3:15" ht="12.75" customHeight="1" x14ac:dyDescent="0.35">
      <c r="C499" s="48"/>
      <c r="K499" s="48"/>
      <c r="L499" s="48"/>
      <c r="M499" s="48"/>
      <c r="N499" s="48"/>
      <c r="O499" s="48"/>
    </row>
    <row r="500" spans="3:15" ht="12.75" customHeight="1" x14ac:dyDescent="0.35">
      <c r="C500" s="48"/>
      <c r="K500" s="48"/>
      <c r="L500" s="48"/>
      <c r="M500" s="48"/>
      <c r="N500" s="48"/>
      <c r="O500" s="48"/>
    </row>
    <row r="501" spans="3:15" ht="12.75" customHeight="1" x14ac:dyDescent="0.35">
      <c r="C501" s="48"/>
      <c r="K501" s="48"/>
      <c r="L501" s="48"/>
      <c r="M501" s="48"/>
      <c r="N501" s="48"/>
      <c r="O501" s="48"/>
    </row>
    <row r="502" spans="3:15" ht="12.75" customHeight="1" x14ac:dyDescent="0.35">
      <c r="C502" s="48"/>
      <c r="K502" s="48"/>
      <c r="L502" s="48"/>
      <c r="M502" s="48"/>
      <c r="N502" s="48"/>
      <c r="O502" s="48"/>
    </row>
    <row r="503" spans="3:15" ht="12.75" customHeight="1" x14ac:dyDescent="0.35">
      <c r="C503" s="48"/>
      <c r="K503" s="48"/>
      <c r="L503" s="48"/>
      <c r="M503" s="48"/>
      <c r="N503" s="48"/>
      <c r="O503" s="48"/>
    </row>
    <row r="504" spans="3:15" ht="12.75" customHeight="1" x14ac:dyDescent="0.35">
      <c r="C504" s="48"/>
      <c r="K504" s="48"/>
      <c r="L504" s="48"/>
      <c r="M504" s="48"/>
      <c r="N504" s="48"/>
      <c r="O504" s="48"/>
    </row>
    <row r="505" spans="3:15" ht="12.75" customHeight="1" x14ac:dyDescent="0.35">
      <c r="C505" s="48"/>
      <c r="K505" s="48"/>
      <c r="L505" s="48"/>
      <c r="M505" s="48"/>
      <c r="N505" s="48"/>
      <c r="O505" s="48"/>
    </row>
    <row r="506" spans="3:15" ht="12.75" customHeight="1" x14ac:dyDescent="0.35">
      <c r="C506" s="48"/>
      <c r="K506" s="48"/>
      <c r="L506" s="48"/>
      <c r="M506" s="48"/>
      <c r="N506" s="48"/>
      <c r="O506" s="48"/>
    </row>
    <row r="507" spans="3:15" ht="12.75" customHeight="1" x14ac:dyDescent="0.35">
      <c r="C507" s="48"/>
      <c r="K507" s="48"/>
      <c r="L507" s="48"/>
      <c r="M507" s="48"/>
      <c r="N507" s="48"/>
      <c r="O507" s="48"/>
    </row>
    <row r="508" spans="3:15" ht="12.75" customHeight="1" x14ac:dyDescent="0.35">
      <c r="C508" s="48"/>
      <c r="K508" s="48"/>
      <c r="L508" s="48"/>
      <c r="M508" s="48"/>
      <c r="N508" s="48"/>
      <c r="O508" s="48"/>
    </row>
    <row r="509" spans="3:15" ht="12.75" customHeight="1" x14ac:dyDescent="0.35">
      <c r="C509" s="48"/>
      <c r="K509" s="48"/>
      <c r="L509" s="48"/>
      <c r="M509" s="48"/>
      <c r="N509" s="48"/>
      <c r="O509" s="48"/>
    </row>
    <row r="510" spans="3:15" ht="12.75" customHeight="1" x14ac:dyDescent="0.35">
      <c r="C510" s="48"/>
      <c r="K510" s="48"/>
      <c r="L510" s="48"/>
      <c r="M510" s="48"/>
      <c r="N510" s="48"/>
      <c r="O510" s="48"/>
    </row>
    <row r="511" spans="3:15" ht="12.75" customHeight="1" x14ac:dyDescent="0.35">
      <c r="C511" s="48"/>
      <c r="K511" s="48"/>
      <c r="L511" s="48"/>
      <c r="M511" s="48"/>
      <c r="N511" s="48"/>
      <c r="O511" s="48"/>
    </row>
    <row r="512" spans="3:15" ht="12.75" customHeight="1" x14ac:dyDescent="0.35">
      <c r="C512" s="48"/>
      <c r="K512" s="48"/>
      <c r="L512" s="48"/>
      <c r="M512" s="48"/>
      <c r="N512" s="48"/>
      <c r="O512" s="48"/>
    </row>
    <row r="513" spans="3:15" ht="12.75" customHeight="1" x14ac:dyDescent="0.35">
      <c r="C513" s="48"/>
      <c r="K513" s="48"/>
      <c r="L513" s="48"/>
      <c r="M513" s="48"/>
      <c r="N513" s="48"/>
      <c r="O513" s="48"/>
    </row>
    <row r="514" spans="3:15" ht="12.75" customHeight="1" x14ac:dyDescent="0.35">
      <c r="C514" s="48"/>
      <c r="K514" s="48"/>
      <c r="L514" s="48"/>
      <c r="M514" s="48"/>
      <c r="N514" s="48"/>
      <c r="O514" s="48"/>
    </row>
    <row r="515" spans="3:15" ht="12.75" customHeight="1" x14ac:dyDescent="0.35">
      <c r="C515" s="48"/>
      <c r="K515" s="48"/>
      <c r="L515" s="48"/>
      <c r="M515" s="48"/>
      <c r="N515" s="48"/>
      <c r="O515" s="48"/>
    </row>
    <row r="516" spans="3:15" ht="12.75" customHeight="1" x14ac:dyDescent="0.35">
      <c r="C516" s="48"/>
      <c r="K516" s="48"/>
      <c r="L516" s="48"/>
      <c r="M516" s="48"/>
      <c r="N516" s="48"/>
      <c r="O516" s="48"/>
    </row>
    <row r="517" spans="3:15" ht="12.75" customHeight="1" x14ac:dyDescent="0.35">
      <c r="C517" s="48"/>
      <c r="K517" s="48"/>
      <c r="L517" s="48"/>
      <c r="M517" s="48"/>
      <c r="N517" s="48"/>
      <c r="O517" s="48"/>
    </row>
    <row r="518" spans="3:15" ht="12.75" customHeight="1" x14ac:dyDescent="0.35">
      <c r="C518" s="48"/>
      <c r="K518" s="48"/>
      <c r="L518" s="48"/>
      <c r="M518" s="48"/>
      <c r="N518" s="48"/>
      <c r="O518" s="48"/>
    </row>
    <row r="519" spans="3:15" ht="12.75" customHeight="1" x14ac:dyDescent="0.35">
      <c r="C519" s="48"/>
      <c r="K519" s="48"/>
      <c r="L519" s="48"/>
      <c r="M519" s="48"/>
      <c r="N519" s="48"/>
      <c r="O519" s="48"/>
    </row>
    <row r="520" spans="3:15" ht="12.75" customHeight="1" x14ac:dyDescent="0.35">
      <c r="C520" s="48"/>
      <c r="K520" s="48"/>
      <c r="L520" s="48"/>
      <c r="M520" s="48"/>
      <c r="N520" s="48"/>
      <c r="O520" s="48"/>
    </row>
    <row r="521" spans="3:15" ht="12.75" customHeight="1" x14ac:dyDescent="0.35">
      <c r="C521" s="48"/>
      <c r="K521" s="48"/>
      <c r="L521" s="48"/>
      <c r="M521" s="48"/>
      <c r="N521" s="48"/>
      <c r="O521" s="48"/>
    </row>
    <row r="522" spans="3:15" ht="12.75" customHeight="1" x14ac:dyDescent="0.35">
      <c r="C522" s="48"/>
      <c r="K522" s="48"/>
      <c r="L522" s="48"/>
      <c r="M522" s="48"/>
      <c r="N522" s="48"/>
      <c r="O522" s="48"/>
    </row>
    <row r="523" spans="3:15" ht="12.75" customHeight="1" x14ac:dyDescent="0.35">
      <c r="C523" s="48"/>
      <c r="K523" s="48"/>
      <c r="L523" s="48"/>
      <c r="M523" s="48"/>
      <c r="N523" s="48"/>
      <c r="O523" s="48"/>
    </row>
    <row r="524" spans="3:15" ht="12.75" customHeight="1" x14ac:dyDescent="0.35">
      <c r="C524" s="48"/>
      <c r="K524" s="48"/>
      <c r="L524" s="48"/>
      <c r="M524" s="48"/>
      <c r="N524" s="48"/>
      <c r="O524" s="48"/>
    </row>
    <row r="525" spans="3:15" ht="12.75" customHeight="1" x14ac:dyDescent="0.35">
      <c r="C525" s="48"/>
      <c r="K525" s="48"/>
      <c r="L525" s="48"/>
      <c r="M525" s="48"/>
      <c r="N525" s="48"/>
      <c r="O525" s="48"/>
    </row>
    <row r="526" spans="3:15" ht="12.75" customHeight="1" x14ac:dyDescent="0.35">
      <c r="C526" s="48"/>
      <c r="K526" s="48"/>
      <c r="L526" s="48"/>
      <c r="M526" s="48"/>
      <c r="N526" s="48"/>
      <c r="O526" s="48"/>
    </row>
    <row r="527" spans="3:15" ht="12.75" customHeight="1" x14ac:dyDescent="0.35">
      <c r="C527" s="48"/>
      <c r="K527" s="48"/>
      <c r="L527" s="48"/>
      <c r="M527" s="48"/>
      <c r="N527" s="48"/>
      <c r="O527" s="48"/>
    </row>
    <row r="528" spans="3:15" ht="12.75" customHeight="1" x14ac:dyDescent="0.35">
      <c r="C528" s="48"/>
      <c r="K528" s="48"/>
      <c r="L528" s="48"/>
      <c r="M528" s="48"/>
      <c r="N528" s="48"/>
      <c r="O528" s="48"/>
    </row>
    <row r="529" spans="3:15" ht="12.75" customHeight="1" x14ac:dyDescent="0.35">
      <c r="C529" s="48"/>
      <c r="K529" s="48"/>
      <c r="L529" s="48"/>
      <c r="M529" s="48"/>
      <c r="N529" s="48"/>
      <c r="O529" s="48"/>
    </row>
    <row r="530" spans="3:15" ht="12.75" customHeight="1" x14ac:dyDescent="0.35">
      <c r="C530" s="48"/>
      <c r="K530" s="48"/>
      <c r="L530" s="48"/>
      <c r="M530" s="48"/>
      <c r="N530" s="48"/>
      <c r="O530" s="48"/>
    </row>
    <row r="531" spans="3:15" ht="12.75" customHeight="1" x14ac:dyDescent="0.35">
      <c r="C531" s="48"/>
      <c r="K531" s="48"/>
      <c r="L531" s="48"/>
      <c r="M531" s="48"/>
      <c r="N531" s="48"/>
      <c r="O531" s="48"/>
    </row>
    <row r="532" spans="3:15" ht="12.75" customHeight="1" x14ac:dyDescent="0.35">
      <c r="C532" s="48"/>
      <c r="K532" s="48"/>
      <c r="L532" s="48"/>
      <c r="M532" s="48"/>
      <c r="N532" s="48"/>
      <c r="O532" s="48"/>
    </row>
    <row r="533" spans="3:15" ht="12.75" customHeight="1" x14ac:dyDescent="0.35">
      <c r="C533" s="48"/>
      <c r="K533" s="48"/>
      <c r="L533" s="48"/>
      <c r="M533" s="48"/>
      <c r="N533" s="48"/>
      <c r="O533" s="48"/>
    </row>
    <row r="534" spans="3:15" ht="12.75" customHeight="1" x14ac:dyDescent="0.35">
      <c r="C534" s="48"/>
      <c r="K534" s="48"/>
      <c r="L534" s="48"/>
      <c r="M534" s="48"/>
      <c r="N534" s="48"/>
      <c r="O534" s="48"/>
    </row>
    <row r="535" spans="3:15" ht="12.75" customHeight="1" x14ac:dyDescent="0.35">
      <c r="C535" s="48"/>
      <c r="K535" s="48"/>
      <c r="L535" s="48"/>
      <c r="M535" s="48"/>
      <c r="N535" s="48"/>
      <c r="O535" s="48"/>
    </row>
    <row r="536" spans="3:15" ht="12.75" customHeight="1" x14ac:dyDescent="0.35">
      <c r="C536" s="48"/>
      <c r="K536" s="48"/>
      <c r="L536" s="48"/>
      <c r="M536" s="48"/>
      <c r="N536" s="48"/>
      <c r="O536" s="48"/>
    </row>
    <row r="537" spans="3:15" ht="12.75" customHeight="1" x14ac:dyDescent="0.35">
      <c r="C537" s="48"/>
      <c r="K537" s="48"/>
      <c r="L537" s="48"/>
      <c r="M537" s="48"/>
      <c r="N537" s="48"/>
      <c r="O537" s="48"/>
    </row>
    <row r="538" spans="3:15" ht="12.75" customHeight="1" x14ac:dyDescent="0.35">
      <c r="C538" s="48"/>
      <c r="K538" s="48"/>
      <c r="L538" s="48"/>
      <c r="M538" s="48"/>
      <c r="N538" s="48"/>
      <c r="O538" s="48"/>
    </row>
    <row r="539" spans="3:15" ht="12.75" customHeight="1" x14ac:dyDescent="0.35">
      <c r="C539" s="48"/>
      <c r="K539" s="48"/>
      <c r="L539" s="48"/>
      <c r="M539" s="48"/>
      <c r="N539" s="48"/>
      <c r="O539" s="48"/>
    </row>
    <row r="540" spans="3:15" ht="12.75" customHeight="1" x14ac:dyDescent="0.35">
      <c r="C540" s="48"/>
      <c r="K540" s="48"/>
      <c r="L540" s="48"/>
      <c r="M540" s="48"/>
      <c r="N540" s="48"/>
      <c r="O540" s="48"/>
    </row>
    <row r="541" spans="3:15" ht="12.75" customHeight="1" x14ac:dyDescent="0.35">
      <c r="C541" s="48"/>
      <c r="K541" s="48"/>
      <c r="L541" s="48"/>
      <c r="M541" s="48"/>
      <c r="N541" s="48"/>
      <c r="O541" s="48"/>
    </row>
    <row r="542" spans="3:15" ht="12.75" customHeight="1" x14ac:dyDescent="0.35">
      <c r="C542" s="48"/>
      <c r="K542" s="48"/>
      <c r="L542" s="48"/>
      <c r="M542" s="48"/>
      <c r="N542" s="48"/>
      <c r="O542" s="48"/>
    </row>
    <row r="543" spans="3:15" ht="12.75" customHeight="1" x14ac:dyDescent="0.35">
      <c r="C543" s="48"/>
      <c r="K543" s="48"/>
      <c r="L543" s="48"/>
      <c r="M543" s="48"/>
      <c r="N543" s="48"/>
      <c r="O543" s="48"/>
    </row>
    <row r="544" spans="3:15" ht="12.75" customHeight="1" x14ac:dyDescent="0.35">
      <c r="C544" s="48"/>
      <c r="K544" s="48"/>
      <c r="L544" s="48"/>
      <c r="M544" s="48"/>
      <c r="N544" s="48"/>
      <c r="O544" s="48"/>
    </row>
    <row r="545" spans="3:15" ht="12.75" customHeight="1" x14ac:dyDescent="0.35">
      <c r="C545" s="48"/>
      <c r="K545" s="48"/>
      <c r="L545" s="48"/>
      <c r="M545" s="48"/>
      <c r="N545" s="48"/>
      <c r="O545" s="48"/>
    </row>
    <row r="546" spans="3:15" ht="12.75" customHeight="1" x14ac:dyDescent="0.35">
      <c r="C546" s="48"/>
      <c r="K546" s="48"/>
      <c r="L546" s="48"/>
      <c r="M546" s="48"/>
      <c r="N546" s="48"/>
      <c r="O546" s="48"/>
    </row>
    <row r="547" spans="3:15" ht="12.75" customHeight="1" x14ac:dyDescent="0.35">
      <c r="C547" s="48"/>
      <c r="K547" s="48"/>
      <c r="L547" s="48"/>
      <c r="M547" s="48"/>
      <c r="N547" s="48"/>
      <c r="O547" s="48"/>
    </row>
    <row r="548" spans="3:15" ht="12.75" customHeight="1" x14ac:dyDescent="0.35">
      <c r="C548" s="48"/>
      <c r="K548" s="48"/>
      <c r="L548" s="48"/>
      <c r="M548" s="48"/>
      <c r="N548" s="48"/>
      <c r="O548" s="48"/>
    </row>
    <row r="549" spans="3:15" ht="12.75" customHeight="1" x14ac:dyDescent="0.35">
      <c r="C549" s="48"/>
      <c r="K549" s="48"/>
      <c r="L549" s="48"/>
      <c r="M549" s="48"/>
      <c r="N549" s="48"/>
      <c r="O549" s="48"/>
    </row>
    <row r="550" spans="3:15" ht="12.75" customHeight="1" x14ac:dyDescent="0.35">
      <c r="C550" s="48"/>
      <c r="K550" s="48"/>
      <c r="L550" s="48"/>
      <c r="M550" s="48"/>
      <c r="N550" s="48"/>
      <c r="O550" s="48"/>
    </row>
    <row r="551" spans="3:15" ht="12.75" customHeight="1" x14ac:dyDescent="0.35">
      <c r="C551" s="48"/>
      <c r="K551" s="48"/>
      <c r="L551" s="48"/>
      <c r="M551" s="48"/>
      <c r="N551" s="48"/>
      <c r="O551" s="48"/>
    </row>
    <row r="552" spans="3:15" ht="12.75" customHeight="1" x14ac:dyDescent="0.35">
      <c r="C552" s="48"/>
      <c r="K552" s="48"/>
      <c r="L552" s="48"/>
      <c r="M552" s="48"/>
      <c r="N552" s="48"/>
      <c r="O552" s="48"/>
    </row>
    <row r="553" spans="3:15" ht="12.75" customHeight="1" x14ac:dyDescent="0.35">
      <c r="C553" s="48"/>
      <c r="K553" s="48"/>
      <c r="L553" s="48"/>
      <c r="M553" s="48"/>
      <c r="N553" s="48"/>
      <c r="O553" s="48"/>
    </row>
    <row r="554" spans="3:15" ht="12.75" customHeight="1" x14ac:dyDescent="0.35">
      <c r="C554" s="48"/>
      <c r="K554" s="48"/>
      <c r="L554" s="48"/>
      <c r="M554" s="48"/>
      <c r="N554" s="48"/>
      <c r="O554" s="48"/>
    </row>
    <row r="555" spans="3:15" ht="12.75" customHeight="1" x14ac:dyDescent="0.35">
      <c r="C555" s="48"/>
      <c r="K555" s="48"/>
      <c r="L555" s="48"/>
      <c r="M555" s="48"/>
      <c r="N555" s="48"/>
      <c r="O555" s="48"/>
    </row>
    <row r="556" spans="3:15" ht="12.75" customHeight="1" x14ac:dyDescent="0.35">
      <c r="C556" s="48"/>
      <c r="K556" s="48"/>
      <c r="L556" s="48"/>
      <c r="M556" s="48"/>
      <c r="N556" s="48"/>
      <c r="O556" s="48"/>
    </row>
    <row r="557" spans="3:15" ht="12.75" customHeight="1" x14ac:dyDescent="0.35">
      <c r="C557" s="48"/>
      <c r="K557" s="48"/>
      <c r="L557" s="48"/>
      <c r="M557" s="48"/>
      <c r="N557" s="48"/>
      <c r="O557" s="48"/>
    </row>
    <row r="558" spans="3:15" ht="12.75" customHeight="1" x14ac:dyDescent="0.35">
      <c r="C558" s="48"/>
      <c r="K558" s="48"/>
      <c r="L558" s="48"/>
      <c r="M558" s="48"/>
      <c r="N558" s="48"/>
      <c r="O558" s="48"/>
    </row>
    <row r="559" spans="3:15" ht="12.75" customHeight="1" x14ac:dyDescent="0.35">
      <c r="C559" s="48"/>
      <c r="K559" s="48"/>
      <c r="L559" s="48"/>
      <c r="M559" s="48"/>
      <c r="N559" s="48"/>
      <c r="O559" s="48"/>
    </row>
    <row r="560" spans="3:15" ht="12.75" customHeight="1" x14ac:dyDescent="0.35">
      <c r="C560" s="48"/>
      <c r="K560" s="48"/>
      <c r="L560" s="48"/>
      <c r="M560" s="48"/>
      <c r="N560" s="48"/>
      <c r="O560" s="48"/>
    </row>
    <row r="561" spans="3:15" ht="12.75" customHeight="1" x14ac:dyDescent="0.35">
      <c r="C561" s="48"/>
      <c r="K561" s="48"/>
      <c r="L561" s="48"/>
      <c r="M561" s="48"/>
      <c r="N561" s="48"/>
      <c r="O561" s="48"/>
    </row>
    <row r="562" spans="3:15" ht="12.75" customHeight="1" x14ac:dyDescent="0.35">
      <c r="C562" s="48"/>
      <c r="K562" s="48"/>
      <c r="L562" s="48"/>
      <c r="M562" s="48"/>
      <c r="N562" s="48"/>
      <c r="O562" s="48"/>
    </row>
    <row r="563" spans="3:15" ht="12.75" customHeight="1" x14ac:dyDescent="0.35">
      <c r="C563" s="48"/>
      <c r="K563" s="48"/>
      <c r="L563" s="48"/>
      <c r="M563" s="48"/>
      <c r="N563" s="48"/>
      <c r="O563" s="48"/>
    </row>
    <row r="564" spans="3:15" ht="12.75" customHeight="1" x14ac:dyDescent="0.35">
      <c r="C564" s="48"/>
      <c r="K564" s="48"/>
      <c r="L564" s="48"/>
      <c r="M564" s="48"/>
      <c r="N564" s="48"/>
      <c r="O564" s="48"/>
    </row>
    <row r="565" spans="3:15" ht="12.75" customHeight="1" x14ac:dyDescent="0.35">
      <c r="C565" s="48"/>
      <c r="K565" s="48"/>
      <c r="L565" s="48"/>
      <c r="M565" s="48"/>
      <c r="N565" s="48"/>
      <c r="O565" s="48"/>
    </row>
    <row r="566" spans="3:15" ht="12.75" customHeight="1" x14ac:dyDescent="0.35">
      <c r="C566" s="48"/>
      <c r="K566" s="48"/>
      <c r="L566" s="48"/>
      <c r="M566" s="48"/>
      <c r="N566" s="48"/>
      <c r="O566" s="48"/>
    </row>
    <row r="567" spans="3:15" ht="12.75" customHeight="1" x14ac:dyDescent="0.35">
      <c r="C567" s="48"/>
      <c r="K567" s="48"/>
      <c r="L567" s="48"/>
      <c r="M567" s="48"/>
      <c r="N567" s="48"/>
      <c r="O567" s="48"/>
    </row>
    <row r="568" spans="3:15" ht="12.75" customHeight="1" x14ac:dyDescent="0.35">
      <c r="C568" s="48"/>
      <c r="K568" s="48"/>
      <c r="L568" s="48"/>
      <c r="M568" s="48"/>
      <c r="N568" s="48"/>
      <c r="O568" s="48"/>
    </row>
    <row r="569" spans="3:15" ht="12.75" customHeight="1" x14ac:dyDescent="0.35">
      <c r="C569" s="48"/>
      <c r="K569" s="48"/>
      <c r="L569" s="48"/>
      <c r="M569" s="48"/>
      <c r="N569" s="48"/>
      <c r="O569" s="48"/>
    </row>
    <row r="570" spans="3:15" ht="12.75" customHeight="1" x14ac:dyDescent="0.35">
      <c r="C570" s="48"/>
      <c r="K570" s="48"/>
      <c r="L570" s="48"/>
      <c r="M570" s="48"/>
      <c r="N570" s="48"/>
      <c r="O570" s="48"/>
    </row>
    <row r="571" spans="3:15" ht="12.75" customHeight="1" x14ac:dyDescent="0.35">
      <c r="C571" s="48"/>
      <c r="K571" s="48"/>
      <c r="L571" s="48"/>
      <c r="M571" s="48"/>
      <c r="N571" s="48"/>
      <c r="O571" s="48"/>
    </row>
    <row r="572" spans="3:15" ht="12.75" customHeight="1" x14ac:dyDescent="0.35">
      <c r="C572" s="48"/>
      <c r="K572" s="48"/>
      <c r="L572" s="48"/>
      <c r="M572" s="48"/>
      <c r="N572" s="48"/>
      <c r="O572" s="48"/>
    </row>
    <row r="573" spans="3:15" ht="12.75" customHeight="1" x14ac:dyDescent="0.35">
      <c r="C573" s="48"/>
      <c r="K573" s="48"/>
      <c r="L573" s="48"/>
      <c r="M573" s="48"/>
      <c r="N573" s="48"/>
      <c r="O573" s="48"/>
    </row>
    <row r="574" spans="3:15" ht="12.75" customHeight="1" x14ac:dyDescent="0.35">
      <c r="C574" s="48"/>
      <c r="K574" s="48"/>
      <c r="L574" s="48"/>
      <c r="M574" s="48"/>
      <c r="N574" s="48"/>
      <c r="O574" s="48"/>
    </row>
    <row r="575" spans="3:15" ht="12.75" customHeight="1" x14ac:dyDescent="0.35">
      <c r="C575" s="48"/>
      <c r="K575" s="48"/>
      <c r="L575" s="48"/>
      <c r="M575" s="48"/>
      <c r="N575" s="48"/>
      <c r="O575" s="48"/>
    </row>
    <row r="576" spans="3:15" ht="12.75" customHeight="1" x14ac:dyDescent="0.35">
      <c r="C576" s="48"/>
      <c r="K576" s="48"/>
      <c r="L576" s="48"/>
      <c r="M576" s="48"/>
      <c r="N576" s="48"/>
      <c r="O576" s="48"/>
    </row>
    <row r="577" spans="3:15" ht="12.75" customHeight="1" x14ac:dyDescent="0.35">
      <c r="C577" s="48"/>
      <c r="K577" s="48"/>
      <c r="L577" s="48"/>
      <c r="M577" s="48"/>
      <c r="N577" s="48"/>
      <c r="O577" s="48"/>
    </row>
    <row r="578" spans="3:15" ht="12.75" customHeight="1" x14ac:dyDescent="0.35">
      <c r="C578" s="48"/>
      <c r="K578" s="48"/>
      <c r="L578" s="48"/>
      <c r="M578" s="48"/>
      <c r="N578" s="48"/>
      <c r="O578" s="48"/>
    </row>
    <row r="579" spans="3:15" ht="12.75" customHeight="1" x14ac:dyDescent="0.35">
      <c r="C579" s="48"/>
      <c r="K579" s="48"/>
      <c r="L579" s="48"/>
      <c r="M579" s="48"/>
      <c r="N579" s="48"/>
      <c r="O579" s="48"/>
    </row>
    <row r="580" spans="3:15" ht="12.75" customHeight="1" x14ac:dyDescent="0.35">
      <c r="C580" s="48"/>
      <c r="K580" s="48"/>
      <c r="L580" s="48"/>
      <c r="M580" s="48"/>
      <c r="N580" s="48"/>
      <c r="O580" s="48"/>
    </row>
    <row r="581" spans="3:15" ht="12.75" customHeight="1" x14ac:dyDescent="0.35">
      <c r="C581" s="48"/>
      <c r="K581" s="48"/>
      <c r="L581" s="48"/>
      <c r="M581" s="48"/>
      <c r="N581" s="48"/>
      <c r="O581" s="48"/>
    </row>
    <row r="582" spans="3:15" ht="12.75" customHeight="1" x14ac:dyDescent="0.35">
      <c r="C582" s="48"/>
      <c r="K582" s="48"/>
      <c r="L582" s="48"/>
      <c r="M582" s="48"/>
      <c r="N582" s="48"/>
      <c r="O582" s="48"/>
    </row>
    <row r="583" spans="3:15" ht="12.75" customHeight="1" x14ac:dyDescent="0.35">
      <c r="C583" s="48"/>
      <c r="K583" s="48"/>
      <c r="L583" s="48"/>
      <c r="M583" s="48"/>
      <c r="N583" s="48"/>
      <c r="O583" s="48"/>
    </row>
    <row r="584" spans="3:15" ht="12.75" customHeight="1" x14ac:dyDescent="0.35">
      <c r="C584" s="48"/>
      <c r="K584" s="48"/>
      <c r="L584" s="48"/>
      <c r="M584" s="48"/>
      <c r="N584" s="48"/>
      <c r="O584" s="48"/>
    </row>
    <row r="585" spans="3:15" ht="12.75" customHeight="1" x14ac:dyDescent="0.35">
      <c r="C585" s="48"/>
      <c r="K585" s="48"/>
      <c r="L585" s="48"/>
      <c r="M585" s="48"/>
      <c r="N585" s="48"/>
      <c r="O585" s="48"/>
    </row>
    <row r="586" spans="3:15" ht="12.75" customHeight="1" x14ac:dyDescent="0.35">
      <c r="C586" s="48"/>
      <c r="K586" s="48"/>
      <c r="L586" s="48"/>
      <c r="M586" s="48"/>
      <c r="N586" s="48"/>
      <c r="O586" s="48"/>
    </row>
    <row r="587" spans="3:15" ht="12.75" customHeight="1" x14ac:dyDescent="0.35">
      <c r="C587" s="48"/>
      <c r="K587" s="48"/>
      <c r="L587" s="48"/>
      <c r="M587" s="48"/>
      <c r="N587" s="48"/>
      <c r="O587" s="48"/>
    </row>
    <row r="588" spans="3:15" ht="12.75" customHeight="1" x14ac:dyDescent="0.35">
      <c r="C588" s="48"/>
      <c r="K588" s="48"/>
      <c r="L588" s="48"/>
      <c r="M588" s="48"/>
      <c r="N588" s="48"/>
      <c r="O588" s="48"/>
    </row>
    <row r="589" spans="3:15" ht="12.75" customHeight="1" x14ac:dyDescent="0.35">
      <c r="C589" s="48"/>
      <c r="K589" s="48"/>
      <c r="L589" s="48"/>
      <c r="M589" s="48"/>
      <c r="N589" s="48"/>
      <c r="O589" s="48"/>
    </row>
    <row r="590" spans="3:15" ht="12.75" customHeight="1" x14ac:dyDescent="0.35">
      <c r="C590" s="48"/>
      <c r="K590" s="48"/>
      <c r="L590" s="48"/>
      <c r="M590" s="48"/>
      <c r="N590" s="48"/>
      <c r="O590" s="48"/>
    </row>
    <row r="591" spans="3:15" ht="12.75" customHeight="1" x14ac:dyDescent="0.35">
      <c r="C591" s="48"/>
      <c r="K591" s="48"/>
      <c r="L591" s="48"/>
      <c r="M591" s="48"/>
      <c r="N591" s="48"/>
      <c r="O591" s="48"/>
    </row>
    <row r="592" spans="3:15" ht="12.75" customHeight="1" x14ac:dyDescent="0.35">
      <c r="C592" s="48"/>
      <c r="K592" s="48"/>
      <c r="L592" s="48"/>
      <c r="M592" s="48"/>
      <c r="N592" s="48"/>
      <c r="O592" s="48"/>
    </row>
    <row r="593" spans="3:15" ht="12.75" customHeight="1" x14ac:dyDescent="0.35">
      <c r="C593" s="48"/>
      <c r="K593" s="48"/>
      <c r="L593" s="48"/>
      <c r="M593" s="48"/>
      <c r="N593" s="48"/>
      <c r="O593" s="48"/>
    </row>
    <row r="594" spans="3:15" ht="12.75" customHeight="1" x14ac:dyDescent="0.35">
      <c r="C594" s="48"/>
      <c r="K594" s="48"/>
      <c r="L594" s="48"/>
      <c r="M594" s="48"/>
      <c r="N594" s="48"/>
      <c r="O594" s="48"/>
    </row>
    <row r="595" spans="3:15" ht="12.75" customHeight="1" x14ac:dyDescent="0.35">
      <c r="C595" s="48"/>
      <c r="K595" s="48"/>
      <c r="L595" s="48"/>
      <c r="M595" s="48"/>
      <c r="N595" s="48"/>
      <c r="O595" s="48"/>
    </row>
    <row r="596" spans="3:15" ht="12.75" customHeight="1" x14ac:dyDescent="0.35">
      <c r="C596" s="48"/>
      <c r="K596" s="48"/>
      <c r="L596" s="48"/>
      <c r="M596" s="48"/>
      <c r="N596" s="48"/>
      <c r="O596" s="48"/>
    </row>
    <row r="597" spans="3:15" ht="12.75" customHeight="1" x14ac:dyDescent="0.35">
      <c r="C597" s="48"/>
      <c r="K597" s="48"/>
      <c r="L597" s="48"/>
      <c r="M597" s="48"/>
      <c r="N597" s="48"/>
      <c r="O597" s="48"/>
    </row>
    <row r="598" spans="3:15" ht="12.75" customHeight="1" x14ac:dyDescent="0.35">
      <c r="C598" s="48"/>
      <c r="K598" s="48"/>
      <c r="L598" s="48"/>
      <c r="M598" s="48"/>
      <c r="N598" s="48"/>
      <c r="O598" s="48"/>
    </row>
    <row r="599" spans="3:15" ht="12.75" customHeight="1" x14ac:dyDescent="0.35">
      <c r="C599" s="48"/>
      <c r="K599" s="48"/>
      <c r="L599" s="48"/>
      <c r="M599" s="48"/>
      <c r="N599" s="48"/>
      <c r="O599" s="48"/>
    </row>
    <row r="600" spans="3:15" ht="12.75" customHeight="1" x14ac:dyDescent="0.35">
      <c r="C600" s="48"/>
      <c r="K600" s="48"/>
      <c r="L600" s="48"/>
      <c r="M600" s="48"/>
      <c r="N600" s="48"/>
      <c r="O600" s="48"/>
    </row>
    <row r="601" spans="3:15" ht="12.75" customHeight="1" x14ac:dyDescent="0.35">
      <c r="C601" s="48"/>
      <c r="K601" s="48"/>
      <c r="L601" s="48"/>
      <c r="M601" s="48"/>
      <c r="N601" s="48"/>
      <c r="O601" s="48"/>
    </row>
    <row r="602" spans="3:15" ht="12.75" customHeight="1" x14ac:dyDescent="0.35">
      <c r="C602" s="48"/>
      <c r="K602" s="48"/>
      <c r="L602" s="48"/>
      <c r="M602" s="48"/>
      <c r="N602" s="48"/>
      <c r="O602" s="48"/>
    </row>
    <row r="603" spans="3:15" ht="12.75" customHeight="1" x14ac:dyDescent="0.35">
      <c r="C603" s="48"/>
      <c r="K603" s="48"/>
      <c r="L603" s="48"/>
      <c r="M603" s="48"/>
      <c r="N603" s="48"/>
      <c r="O603" s="48"/>
    </row>
    <row r="604" spans="3:15" ht="12.75" customHeight="1" x14ac:dyDescent="0.35">
      <c r="C604" s="48"/>
      <c r="K604" s="48"/>
      <c r="L604" s="48"/>
      <c r="M604" s="48"/>
      <c r="N604" s="48"/>
      <c r="O604" s="48"/>
    </row>
    <row r="605" spans="3:15" ht="12.75" customHeight="1" x14ac:dyDescent="0.35">
      <c r="C605" s="48"/>
      <c r="K605" s="48"/>
      <c r="L605" s="48"/>
      <c r="M605" s="48"/>
      <c r="N605" s="48"/>
      <c r="O605" s="48"/>
    </row>
    <row r="606" spans="3:15" ht="12.75" customHeight="1" x14ac:dyDescent="0.35">
      <c r="C606" s="48"/>
      <c r="K606" s="48"/>
      <c r="L606" s="48"/>
      <c r="M606" s="48"/>
      <c r="N606" s="48"/>
      <c r="O606" s="48"/>
    </row>
    <row r="607" spans="3:15" ht="12.75" customHeight="1" x14ac:dyDescent="0.35">
      <c r="C607" s="48"/>
      <c r="K607" s="48"/>
      <c r="L607" s="48"/>
      <c r="M607" s="48"/>
      <c r="N607" s="48"/>
      <c r="O607" s="48"/>
    </row>
    <row r="608" spans="3:15" ht="12.75" customHeight="1" x14ac:dyDescent="0.35">
      <c r="C608" s="48"/>
      <c r="K608" s="48"/>
      <c r="L608" s="48"/>
      <c r="M608" s="48"/>
      <c r="N608" s="48"/>
      <c r="O608" s="48"/>
    </row>
    <row r="609" spans="3:15" ht="12.75" customHeight="1" x14ac:dyDescent="0.35">
      <c r="C609" s="48"/>
      <c r="K609" s="48"/>
      <c r="L609" s="48"/>
      <c r="M609" s="48"/>
      <c r="N609" s="48"/>
      <c r="O609" s="48"/>
    </row>
    <row r="610" spans="3:15" ht="12.75" customHeight="1" x14ac:dyDescent="0.35">
      <c r="C610" s="48"/>
      <c r="K610" s="48"/>
      <c r="L610" s="48"/>
      <c r="M610" s="48"/>
      <c r="N610" s="48"/>
      <c r="O610" s="48"/>
    </row>
    <row r="611" spans="3:15" ht="12.75" customHeight="1" x14ac:dyDescent="0.35">
      <c r="C611" s="48"/>
      <c r="K611" s="48"/>
      <c r="L611" s="48"/>
      <c r="M611" s="48"/>
      <c r="N611" s="48"/>
      <c r="O611" s="48"/>
    </row>
    <row r="612" spans="3:15" ht="12.75" customHeight="1" x14ac:dyDescent="0.35">
      <c r="C612" s="48"/>
      <c r="K612" s="48"/>
      <c r="L612" s="48"/>
      <c r="M612" s="48"/>
      <c r="N612" s="48"/>
      <c r="O612" s="48"/>
    </row>
    <row r="613" spans="3:15" ht="12.75" customHeight="1" x14ac:dyDescent="0.35">
      <c r="C613" s="48"/>
      <c r="K613" s="48"/>
      <c r="L613" s="48"/>
      <c r="M613" s="48"/>
      <c r="N613" s="48"/>
      <c r="O613" s="48"/>
    </row>
    <row r="614" spans="3:15" ht="12.75" customHeight="1" x14ac:dyDescent="0.35">
      <c r="C614" s="48"/>
      <c r="K614" s="48"/>
      <c r="L614" s="48"/>
      <c r="M614" s="48"/>
      <c r="N614" s="48"/>
      <c r="O614" s="48"/>
    </row>
    <row r="615" spans="3:15" ht="12.75" customHeight="1" x14ac:dyDescent="0.35">
      <c r="C615" s="48"/>
      <c r="K615" s="48"/>
      <c r="L615" s="48"/>
      <c r="M615" s="48"/>
      <c r="N615" s="48"/>
      <c r="O615" s="48"/>
    </row>
    <row r="616" spans="3:15" ht="12.75" customHeight="1" x14ac:dyDescent="0.35">
      <c r="C616" s="48"/>
      <c r="K616" s="48"/>
      <c r="L616" s="48"/>
      <c r="M616" s="48"/>
      <c r="N616" s="48"/>
      <c r="O616" s="48"/>
    </row>
    <row r="617" spans="3:15" ht="12.75" customHeight="1" x14ac:dyDescent="0.35">
      <c r="C617" s="48"/>
      <c r="K617" s="48"/>
      <c r="L617" s="48"/>
      <c r="M617" s="48"/>
      <c r="N617" s="48"/>
      <c r="O617" s="48"/>
    </row>
    <row r="618" spans="3:15" ht="12.75" customHeight="1" x14ac:dyDescent="0.35">
      <c r="C618" s="48"/>
      <c r="K618" s="48"/>
      <c r="L618" s="48"/>
      <c r="M618" s="48"/>
      <c r="N618" s="48"/>
      <c r="O618" s="48"/>
    </row>
    <row r="619" spans="3:15" ht="12.75" customHeight="1" x14ac:dyDescent="0.35">
      <c r="C619" s="48"/>
      <c r="K619" s="48"/>
      <c r="L619" s="48"/>
      <c r="M619" s="48"/>
      <c r="N619" s="48"/>
      <c r="O619" s="48"/>
    </row>
    <row r="620" spans="3:15" ht="12.75" customHeight="1" x14ac:dyDescent="0.35">
      <c r="C620" s="48"/>
      <c r="K620" s="48"/>
      <c r="L620" s="48"/>
      <c r="M620" s="48"/>
      <c r="N620" s="48"/>
      <c r="O620" s="48"/>
    </row>
    <row r="621" spans="3:15" ht="12.75" customHeight="1" x14ac:dyDescent="0.35">
      <c r="C621" s="48"/>
      <c r="K621" s="48"/>
      <c r="L621" s="48"/>
      <c r="M621" s="48"/>
      <c r="N621" s="48"/>
      <c r="O621" s="48"/>
    </row>
    <row r="622" spans="3:15" ht="12.75" customHeight="1" x14ac:dyDescent="0.35">
      <c r="C622" s="48"/>
      <c r="K622" s="48"/>
      <c r="L622" s="48"/>
      <c r="M622" s="48"/>
      <c r="N622" s="48"/>
      <c r="O622" s="48"/>
    </row>
    <row r="623" spans="3:15" ht="12.75" customHeight="1" x14ac:dyDescent="0.35">
      <c r="C623" s="48"/>
      <c r="K623" s="48"/>
      <c r="L623" s="48"/>
      <c r="M623" s="48"/>
      <c r="N623" s="48"/>
      <c r="O623" s="48"/>
    </row>
    <row r="624" spans="3:15" ht="12.75" customHeight="1" x14ac:dyDescent="0.35">
      <c r="C624" s="48"/>
      <c r="K624" s="48"/>
      <c r="L624" s="48"/>
      <c r="M624" s="48"/>
      <c r="N624" s="48"/>
      <c r="O624" s="48"/>
    </row>
    <row r="625" spans="3:15" ht="12.75" customHeight="1" x14ac:dyDescent="0.35">
      <c r="C625" s="48"/>
      <c r="K625" s="48"/>
      <c r="L625" s="48"/>
      <c r="M625" s="48"/>
      <c r="N625" s="48"/>
      <c r="O625" s="48"/>
    </row>
    <row r="626" spans="3:15" ht="12.75" customHeight="1" x14ac:dyDescent="0.35">
      <c r="C626" s="48"/>
      <c r="K626" s="48"/>
      <c r="L626" s="48"/>
      <c r="M626" s="48"/>
      <c r="N626" s="48"/>
      <c r="O626" s="48"/>
    </row>
    <row r="627" spans="3:15" ht="12.75" customHeight="1" x14ac:dyDescent="0.35">
      <c r="C627" s="48"/>
      <c r="K627" s="48"/>
      <c r="L627" s="48"/>
      <c r="M627" s="48"/>
      <c r="N627" s="48"/>
      <c r="O627" s="48"/>
    </row>
    <row r="628" spans="3:15" ht="12.75" customHeight="1" x14ac:dyDescent="0.35">
      <c r="C628" s="48"/>
      <c r="K628" s="48"/>
      <c r="L628" s="48"/>
      <c r="M628" s="48"/>
      <c r="N628" s="48"/>
      <c r="O628" s="48"/>
    </row>
    <row r="629" spans="3:15" ht="12.75" customHeight="1" x14ac:dyDescent="0.35">
      <c r="C629" s="48"/>
      <c r="K629" s="48"/>
      <c r="L629" s="48"/>
      <c r="M629" s="48"/>
      <c r="N629" s="48"/>
      <c r="O629" s="48"/>
    </row>
    <row r="630" spans="3:15" ht="12.75" customHeight="1" x14ac:dyDescent="0.35">
      <c r="C630" s="48"/>
      <c r="K630" s="48"/>
      <c r="L630" s="48"/>
      <c r="M630" s="48"/>
      <c r="N630" s="48"/>
      <c r="O630" s="48"/>
    </row>
    <row r="631" spans="3:15" ht="12.75" customHeight="1" x14ac:dyDescent="0.35">
      <c r="C631" s="48"/>
      <c r="K631" s="48"/>
      <c r="L631" s="48"/>
      <c r="M631" s="48"/>
      <c r="N631" s="48"/>
      <c r="O631" s="48"/>
    </row>
    <row r="632" spans="3:15" ht="12.75" customHeight="1" x14ac:dyDescent="0.35">
      <c r="C632" s="48"/>
      <c r="K632" s="48"/>
      <c r="L632" s="48"/>
      <c r="M632" s="48"/>
      <c r="N632" s="48"/>
      <c r="O632" s="48"/>
    </row>
    <row r="633" spans="3:15" ht="12.75" customHeight="1" x14ac:dyDescent="0.35">
      <c r="C633" s="48"/>
      <c r="K633" s="48"/>
      <c r="L633" s="48"/>
      <c r="M633" s="48"/>
      <c r="N633" s="48"/>
      <c r="O633" s="48"/>
    </row>
    <row r="634" spans="3:15" ht="12.75" customHeight="1" x14ac:dyDescent="0.35">
      <c r="C634" s="48"/>
      <c r="K634" s="48"/>
      <c r="L634" s="48"/>
      <c r="M634" s="48"/>
      <c r="N634" s="48"/>
      <c r="O634" s="48"/>
    </row>
    <row r="635" spans="3:15" ht="12.75" customHeight="1" x14ac:dyDescent="0.35">
      <c r="C635" s="48"/>
      <c r="K635" s="48"/>
      <c r="L635" s="48"/>
      <c r="M635" s="48"/>
      <c r="N635" s="48"/>
      <c r="O635" s="48"/>
    </row>
    <row r="636" spans="3:15" ht="12.75" customHeight="1" x14ac:dyDescent="0.35">
      <c r="C636" s="48"/>
      <c r="K636" s="48"/>
      <c r="L636" s="48"/>
      <c r="M636" s="48"/>
      <c r="N636" s="48"/>
      <c r="O636" s="48"/>
    </row>
    <row r="637" spans="3:15" ht="12.75" customHeight="1" x14ac:dyDescent="0.35">
      <c r="C637" s="48"/>
      <c r="K637" s="48"/>
      <c r="L637" s="48"/>
      <c r="M637" s="48"/>
      <c r="N637" s="48"/>
      <c r="O637" s="48"/>
    </row>
    <row r="638" spans="3:15" ht="12.75" customHeight="1" x14ac:dyDescent="0.35">
      <c r="C638" s="48"/>
      <c r="K638" s="48"/>
      <c r="L638" s="48"/>
      <c r="M638" s="48"/>
      <c r="N638" s="48"/>
      <c r="O638" s="48"/>
    </row>
    <row r="639" spans="3:15" ht="12.75" customHeight="1" x14ac:dyDescent="0.35">
      <c r="C639" s="48"/>
      <c r="K639" s="48"/>
      <c r="L639" s="48"/>
      <c r="M639" s="48"/>
      <c r="N639" s="48"/>
      <c r="O639" s="48"/>
    </row>
    <row r="640" spans="3:15" ht="12.75" customHeight="1" x14ac:dyDescent="0.35">
      <c r="C640" s="48"/>
      <c r="K640" s="48"/>
      <c r="L640" s="48"/>
      <c r="M640" s="48"/>
      <c r="N640" s="48"/>
      <c r="O640" s="48"/>
    </row>
    <row r="641" spans="3:15" ht="12.75" customHeight="1" x14ac:dyDescent="0.35">
      <c r="C641" s="48"/>
      <c r="K641" s="48"/>
      <c r="L641" s="48"/>
      <c r="M641" s="48"/>
      <c r="N641" s="48"/>
      <c r="O641" s="48"/>
    </row>
    <row r="642" spans="3:15" ht="12.75" customHeight="1" x14ac:dyDescent="0.35">
      <c r="C642" s="48"/>
      <c r="K642" s="48"/>
      <c r="L642" s="48"/>
      <c r="M642" s="48"/>
      <c r="N642" s="48"/>
      <c r="O642" s="48"/>
    </row>
    <row r="643" spans="3:15" ht="12.75" customHeight="1" x14ac:dyDescent="0.35">
      <c r="C643" s="48"/>
      <c r="K643" s="48"/>
      <c r="L643" s="48"/>
      <c r="M643" s="48"/>
      <c r="N643" s="48"/>
      <c r="O643" s="48"/>
    </row>
    <row r="644" spans="3:15" ht="12.75" customHeight="1" x14ac:dyDescent="0.35">
      <c r="C644" s="48"/>
      <c r="K644" s="48"/>
      <c r="L644" s="48"/>
      <c r="M644" s="48"/>
      <c r="N644" s="48"/>
      <c r="O644" s="48"/>
    </row>
    <row r="645" spans="3:15" ht="12.75" customHeight="1" x14ac:dyDescent="0.35">
      <c r="C645" s="48"/>
      <c r="K645" s="48"/>
      <c r="L645" s="48"/>
      <c r="M645" s="48"/>
      <c r="N645" s="48"/>
      <c r="O645" s="48"/>
    </row>
    <row r="646" spans="3:15" ht="12.75" customHeight="1" x14ac:dyDescent="0.35">
      <c r="C646" s="48"/>
      <c r="K646" s="48"/>
      <c r="L646" s="48"/>
      <c r="M646" s="48"/>
      <c r="N646" s="48"/>
      <c r="O646" s="48"/>
    </row>
    <row r="647" spans="3:15" ht="12.75" customHeight="1" x14ac:dyDescent="0.35">
      <c r="C647" s="48"/>
      <c r="K647" s="48"/>
      <c r="L647" s="48"/>
      <c r="M647" s="48"/>
      <c r="N647" s="48"/>
      <c r="O647" s="48"/>
    </row>
    <row r="648" spans="3:15" ht="12.75" customHeight="1" x14ac:dyDescent="0.35">
      <c r="C648" s="48"/>
      <c r="K648" s="48"/>
      <c r="L648" s="48"/>
      <c r="M648" s="48"/>
      <c r="N648" s="48"/>
      <c r="O648" s="48"/>
    </row>
    <row r="649" spans="3:15" ht="12.75" customHeight="1" x14ac:dyDescent="0.35">
      <c r="C649" s="48"/>
      <c r="K649" s="48"/>
      <c r="L649" s="48"/>
      <c r="M649" s="48"/>
      <c r="N649" s="48"/>
      <c r="O649" s="48"/>
    </row>
    <row r="650" spans="3:15" ht="12.75" customHeight="1" x14ac:dyDescent="0.35">
      <c r="C650" s="48"/>
      <c r="K650" s="48"/>
      <c r="L650" s="48"/>
      <c r="M650" s="48"/>
      <c r="N650" s="48"/>
      <c r="O650" s="48"/>
    </row>
    <row r="651" spans="3:15" ht="12.75" customHeight="1" x14ac:dyDescent="0.35">
      <c r="C651" s="48"/>
      <c r="K651" s="48"/>
      <c r="L651" s="48"/>
      <c r="M651" s="48"/>
      <c r="N651" s="48"/>
      <c r="O651" s="48"/>
    </row>
    <row r="652" spans="3:15" ht="12.75" customHeight="1" x14ac:dyDescent="0.35">
      <c r="C652" s="48"/>
      <c r="K652" s="48"/>
      <c r="L652" s="48"/>
      <c r="M652" s="48"/>
      <c r="N652" s="48"/>
      <c r="O652" s="48"/>
    </row>
    <row r="653" spans="3:15" ht="12.75" customHeight="1" x14ac:dyDescent="0.35">
      <c r="C653" s="48"/>
      <c r="K653" s="48"/>
      <c r="L653" s="48"/>
      <c r="M653" s="48"/>
      <c r="N653" s="48"/>
      <c r="O653" s="48"/>
    </row>
    <row r="654" spans="3:15" ht="12.75" customHeight="1" x14ac:dyDescent="0.35">
      <c r="C654" s="48"/>
      <c r="K654" s="48"/>
      <c r="L654" s="48"/>
      <c r="M654" s="48"/>
      <c r="N654" s="48"/>
      <c r="O654" s="48"/>
    </row>
    <row r="655" spans="3:15" ht="12.75" customHeight="1" x14ac:dyDescent="0.35">
      <c r="C655" s="48"/>
      <c r="K655" s="48"/>
      <c r="L655" s="48"/>
      <c r="M655" s="48"/>
      <c r="N655" s="48"/>
      <c r="O655" s="48"/>
    </row>
    <row r="656" spans="3:15" ht="12.75" customHeight="1" x14ac:dyDescent="0.35">
      <c r="C656" s="48"/>
      <c r="K656" s="48"/>
      <c r="L656" s="48"/>
      <c r="M656" s="48"/>
      <c r="N656" s="48"/>
      <c r="O656" s="48"/>
    </row>
    <row r="657" spans="3:15" ht="12.75" customHeight="1" x14ac:dyDescent="0.35">
      <c r="C657" s="48"/>
      <c r="K657" s="48"/>
      <c r="L657" s="48"/>
      <c r="M657" s="48"/>
      <c r="N657" s="48"/>
      <c r="O657" s="48"/>
    </row>
    <row r="658" spans="3:15" ht="12.75" customHeight="1" x14ac:dyDescent="0.35">
      <c r="C658" s="48"/>
      <c r="K658" s="48"/>
      <c r="L658" s="48"/>
      <c r="M658" s="48"/>
      <c r="N658" s="48"/>
      <c r="O658" s="48"/>
    </row>
    <row r="659" spans="3:15" ht="12.75" customHeight="1" x14ac:dyDescent="0.35">
      <c r="C659" s="48"/>
      <c r="K659" s="48"/>
      <c r="L659" s="48"/>
      <c r="M659" s="48"/>
      <c r="N659" s="48"/>
      <c r="O659" s="48"/>
    </row>
    <row r="660" spans="3:15" ht="12.75" customHeight="1" x14ac:dyDescent="0.35">
      <c r="C660" s="48"/>
      <c r="K660" s="48"/>
      <c r="L660" s="48"/>
      <c r="M660" s="48"/>
      <c r="N660" s="48"/>
      <c r="O660" s="48"/>
    </row>
    <row r="661" spans="3:15" ht="12.75" customHeight="1" x14ac:dyDescent="0.35">
      <c r="C661" s="48"/>
      <c r="K661" s="48"/>
      <c r="L661" s="48"/>
      <c r="M661" s="48"/>
      <c r="N661" s="48"/>
      <c r="O661" s="48"/>
    </row>
    <row r="662" spans="3:15" ht="12.75" customHeight="1" x14ac:dyDescent="0.35">
      <c r="C662" s="48"/>
      <c r="K662" s="48"/>
      <c r="L662" s="48"/>
      <c r="M662" s="48"/>
      <c r="N662" s="48"/>
      <c r="O662" s="48"/>
    </row>
    <row r="663" spans="3:15" ht="12.75" customHeight="1" x14ac:dyDescent="0.35">
      <c r="C663" s="48"/>
      <c r="K663" s="48"/>
      <c r="L663" s="48"/>
      <c r="M663" s="48"/>
      <c r="N663" s="48"/>
      <c r="O663" s="48"/>
    </row>
    <row r="664" spans="3:15" ht="12.75" customHeight="1" x14ac:dyDescent="0.35">
      <c r="C664" s="48"/>
      <c r="K664" s="48"/>
      <c r="L664" s="48"/>
      <c r="M664" s="48"/>
      <c r="N664" s="48"/>
      <c r="O664" s="48"/>
    </row>
    <row r="665" spans="3:15" ht="12.75" customHeight="1" x14ac:dyDescent="0.35">
      <c r="C665" s="48"/>
      <c r="K665" s="48"/>
      <c r="L665" s="48"/>
      <c r="M665" s="48"/>
      <c r="N665" s="48"/>
      <c r="O665" s="48"/>
    </row>
    <row r="666" spans="3:15" ht="12.75" customHeight="1" x14ac:dyDescent="0.35">
      <c r="C666" s="48"/>
      <c r="K666" s="48"/>
      <c r="L666" s="48"/>
      <c r="M666" s="48"/>
      <c r="N666" s="48"/>
      <c r="O666" s="48"/>
    </row>
    <row r="667" spans="3:15" ht="12.75" customHeight="1" x14ac:dyDescent="0.35">
      <c r="C667" s="48"/>
      <c r="K667" s="48"/>
      <c r="L667" s="48"/>
      <c r="M667" s="48"/>
      <c r="N667" s="48"/>
      <c r="O667" s="48"/>
    </row>
    <row r="668" spans="3:15" ht="12.75" customHeight="1" x14ac:dyDescent="0.35">
      <c r="C668" s="48"/>
      <c r="K668" s="48"/>
      <c r="L668" s="48"/>
      <c r="M668" s="48"/>
      <c r="N668" s="48"/>
      <c r="O668" s="48"/>
    </row>
    <row r="669" spans="3:15" ht="12.75" customHeight="1" x14ac:dyDescent="0.35">
      <c r="C669" s="48"/>
      <c r="K669" s="48"/>
      <c r="L669" s="48"/>
      <c r="M669" s="48"/>
      <c r="N669" s="48"/>
      <c r="O669" s="48"/>
    </row>
    <row r="670" spans="3:15" ht="12.75" customHeight="1" x14ac:dyDescent="0.35">
      <c r="C670" s="48"/>
      <c r="K670" s="48"/>
      <c r="L670" s="48"/>
      <c r="M670" s="48"/>
      <c r="N670" s="48"/>
      <c r="O670" s="48"/>
    </row>
    <row r="671" spans="3:15" ht="12.75" customHeight="1" x14ac:dyDescent="0.35">
      <c r="C671" s="48"/>
      <c r="K671" s="48"/>
      <c r="L671" s="48"/>
      <c r="M671" s="48"/>
      <c r="N671" s="48"/>
      <c r="O671" s="48"/>
    </row>
    <row r="672" spans="3:15" ht="12.75" customHeight="1" x14ac:dyDescent="0.35">
      <c r="C672" s="48"/>
      <c r="K672" s="48"/>
      <c r="L672" s="48"/>
      <c r="M672" s="48"/>
      <c r="N672" s="48"/>
      <c r="O672" s="48"/>
    </row>
    <row r="673" spans="3:15" ht="12.75" customHeight="1" x14ac:dyDescent="0.35">
      <c r="C673" s="48"/>
      <c r="K673" s="48"/>
      <c r="L673" s="48"/>
      <c r="M673" s="48"/>
      <c r="N673" s="48"/>
      <c r="O673" s="48"/>
    </row>
    <row r="674" spans="3:15" ht="12.75" customHeight="1" x14ac:dyDescent="0.35">
      <c r="C674" s="48"/>
      <c r="K674" s="48"/>
      <c r="L674" s="48"/>
      <c r="M674" s="48"/>
      <c r="N674" s="48"/>
      <c r="O674" s="48"/>
    </row>
    <row r="675" spans="3:15" ht="12.75" customHeight="1" x14ac:dyDescent="0.35">
      <c r="C675" s="48"/>
      <c r="K675" s="48"/>
      <c r="L675" s="48"/>
      <c r="M675" s="48"/>
      <c r="N675" s="48"/>
      <c r="O675" s="48"/>
    </row>
    <row r="676" spans="3:15" ht="12.75" customHeight="1" x14ac:dyDescent="0.35">
      <c r="C676" s="48"/>
      <c r="K676" s="48"/>
      <c r="L676" s="48"/>
      <c r="M676" s="48"/>
      <c r="N676" s="48"/>
      <c r="O676" s="48"/>
    </row>
    <row r="677" spans="3:15" ht="12.75" customHeight="1" x14ac:dyDescent="0.35">
      <c r="C677" s="48"/>
      <c r="K677" s="48"/>
      <c r="L677" s="48"/>
      <c r="M677" s="48"/>
      <c r="N677" s="48"/>
      <c r="O677" s="48"/>
    </row>
    <row r="678" spans="3:15" ht="12.75" customHeight="1" x14ac:dyDescent="0.35">
      <c r="C678" s="48"/>
      <c r="K678" s="48"/>
      <c r="L678" s="48"/>
      <c r="M678" s="48"/>
      <c r="N678" s="48"/>
      <c r="O678" s="48"/>
    </row>
    <row r="679" spans="3:15" ht="12.75" customHeight="1" x14ac:dyDescent="0.35">
      <c r="C679" s="48"/>
      <c r="K679" s="48"/>
      <c r="L679" s="48"/>
      <c r="M679" s="48"/>
      <c r="N679" s="48"/>
      <c r="O679" s="48"/>
    </row>
    <row r="680" spans="3:15" ht="12.75" customHeight="1" x14ac:dyDescent="0.35">
      <c r="C680" s="48"/>
      <c r="K680" s="48"/>
      <c r="L680" s="48"/>
      <c r="M680" s="48"/>
      <c r="N680" s="48"/>
      <c r="O680" s="48"/>
    </row>
    <row r="681" spans="3:15" ht="12.75" customHeight="1" x14ac:dyDescent="0.35">
      <c r="C681" s="48"/>
      <c r="K681" s="48"/>
      <c r="L681" s="48"/>
      <c r="M681" s="48"/>
      <c r="N681" s="48"/>
      <c r="O681" s="48"/>
    </row>
    <row r="682" spans="3:15" ht="12.75" customHeight="1" x14ac:dyDescent="0.35">
      <c r="C682" s="48"/>
      <c r="K682" s="48"/>
      <c r="L682" s="48"/>
      <c r="M682" s="48"/>
      <c r="N682" s="48"/>
      <c r="O682" s="48"/>
    </row>
    <row r="683" spans="3:15" ht="12.75" customHeight="1" x14ac:dyDescent="0.35">
      <c r="C683" s="48"/>
      <c r="K683" s="48"/>
      <c r="L683" s="48"/>
      <c r="M683" s="48"/>
      <c r="N683" s="48"/>
      <c r="O683" s="48"/>
    </row>
    <row r="684" spans="3:15" ht="12.75" customHeight="1" x14ac:dyDescent="0.35">
      <c r="C684" s="48"/>
      <c r="K684" s="48"/>
      <c r="L684" s="48"/>
      <c r="M684" s="48"/>
      <c r="N684" s="48"/>
      <c r="O684" s="48"/>
    </row>
    <row r="685" spans="3:15" ht="12.75" customHeight="1" x14ac:dyDescent="0.35">
      <c r="C685" s="48"/>
      <c r="K685" s="48"/>
      <c r="L685" s="48"/>
      <c r="M685" s="48"/>
      <c r="N685" s="48"/>
      <c r="O685" s="48"/>
    </row>
    <row r="686" spans="3:15" ht="12.75" customHeight="1" x14ac:dyDescent="0.35">
      <c r="C686" s="48"/>
      <c r="K686" s="48"/>
      <c r="L686" s="48"/>
      <c r="M686" s="48"/>
      <c r="N686" s="48"/>
      <c r="O686" s="48"/>
    </row>
    <row r="687" spans="3:15" ht="12.75" customHeight="1" x14ac:dyDescent="0.35">
      <c r="C687" s="48"/>
      <c r="K687" s="48"/>
      <c r="L687" s="48"/>
      <c r="M687" s="48"/>
      <c r="N687" s="48"/>
      <c r="O687" s="48"/>
    </row>
    <row r="688" spans="3:15" ht="12.75" customHeight="1" x14ac:dyDescent="0.35">
      <c r="C688" s="48"/>
      <c r="K688" s="48"/>
      <c r="L688" s="48"/>
      <c r="M688" s="48"/>
      <c r="N688" s="48"/>
      <c r="O688" s="48"/>
    </row>
    <row r="689" spans="3:15" ht="12.75" customHeight="1" x14ac:dyDescent="0.35">
      <c r="C689" s="48"/>
      <c r="K689" s="48"/>
      <c r="L689" s="48"/>
      <c r="M689" s="48"/>
      <c r="N689" s="48"/>
      <c r="O689" s="48"/>
    </row>
    <row r="690" spans="3:15" ht="12.75" customHeight="1" x14ac:dyDescent="0.35">
      <c r="C690" s="48"/>
      <c r="K690" s="48"/>
      <c r="L690" s="48"/>
      <c r="M690" s="48"/>
      <c r="N690" s="48"/>
      <c r="O690" s="48"/>
    </row>
    <row r="691" spans="3:15" ht="12.75" customHeight="1" x14ac:dyDescent="0.35">
      <c r="C691" s="48"/>
      <c r="K691" s="48"/>
      <c r="L691" s="48"/>
      <c r="M691" s="48"/>
      <c r="N691" s="48"/>
      <c r="O691" s="48"/>
    </row>
    <row r="692" spans="3:15" ht="12.75" customHeight="1" x14ac:dyDescent="0.35">
      <c r="C692" s="48"/>
      <c r="K692" s="48"/>
      <c r="L692" s="48"/>
      <c r="M692" s="48"/>
      <c r="N692" s="48"/>
      <c r="O692" s="48"/>
    </row>
    <row r="693" spans="3:15" ht="12.75" customHeight="1" x14ac:dyDescent="0.35">
      <c r="C693" s="48"/>
      <c r="K693" s="48"/>
      <c r="L693" s="48"/>
      <c r="M693" s="48"/>
      <c r="N693" s="48"/>
      <c r="O693" s="48"/>
    </row>
    <row r="694" spans="3:15" ht="12.75" customHeight="1" x14ac:dyDescent="0.35">
      <c r="C694" s="48"/>
      <c r="K694" s="48"/>
      <c r="L694" s="48"/>
      <c r="M694" s="48"/>
      <c r="N694" s="48"/>
      <c r="O694" s="48"/>
    </row>
    <row r="695" spans="3:15" ht="12.75" customHeight="1" x14ac:dyDescent="0.35">
      <c r="C695" s="48"/>
      <c r="K695" s="48"/>
      <c r="L695" s="48"/>
      <c r="M695" s="48"/>
      <c r="N695" s="48"/>
      <c r="O695" s="48"/>
    </row>
    <row r="696" spans="3:15" ht="12.75" customHeight="1" x14ac:dyDescent="0.35">
      <c r="C696" s="48"/>
      <c r="K696" s="48"/>
      <c r="L696" s="48"/>
      <c r="M696" s="48"/>
      <c r="N696" s="48"/>
      <c r="O696" s="48"/>
    </row>
    <row r="697" spans="3:15" ht="12.75" customHeight="1" x14ac:dyDescent="0.35">
      <c r="C697" s="48"/>
      <c r="K697" s="48"/>
      <c r="L697" s="48"/>
      <c r="M697" s="48"/>
      <c r="N697" s="48"/>
      <c r="O697" s="48"/>
    </row>
    <row r="698" spans="3:15" ht="12.75" customHeight="1" x14ac:dyDescent="0.35">
      <c r="C698" s="48"/>
      <c r="K698" s="48"/>
      <c r="L698" s="48"/>
      <c r="M698" s="48"/>
      <c r="N698" s="48"/>
      <c r="O698" s="48"/>
    </row>
    <row r="699" spans="3:15" ht="12.75" customHeight="1" x14ac:dyDescent="0.35">
      <c r="C699" s="48"/>
      <c r="K699" s="48"/>
      <c r="L699" s="48"/>
      <c r="M699" s="48"/>
      <c r="N699" s="48"/>
      <c r="O699" s="48"/>
    </row>
    <row r="700" spans="3:15" ht="12.75" customHeight="1" x14ac:dyDescent="0.35">
      <c r="C700" s="48"/>
      <c r="K700" s="48"/>
      <c r="L700" s="48"/>
      <c r="M700" s="48"/>
      <c r="N700" s="48"/>
      <c r="O700" s="48"/>
    </row>
    <row r="701" spans="3:15" ht="12.75" customHeight="1" x14ac:dyDescent="0.35">
      <c r="C701" s="48"/>
      <c r="K701" s="48"/>
      <c r="L701" s="48"/>
      <c r="M701" s="48"/>
      <c r="N701" s="48"/>
      <c r="O701" s="48"/>
    </row>
    <row r="702" spans="3:15" ht="12.75" customHeight="1" x14ac:dyDescent="0.35">
      <c r="C702" s="48"/>
      <c r="K702" s="48"/>
      <c r="L702" s="48"/>
      <c r="M702" s="48"/>
      <c r="N702" s="48"/>
      <c r="O702" s="48"/>
    </row>
    <row r="703" spans="3:15" ht="12.75" customHeight="1" x14ac:dyDescent="0.35">
      <c r="C703" s="48"/>
      <c r="K703" s="48"/>
      <c r="L703" s="48"/>
      <c r="M703" s="48"/>
      <c r="N703" s="48"/>
      <c r="O703" s="48"/>
    </row>
    <row r="704" spans="3:15" ht="12.75" customHeight="1" x14ac:dyDescent="0.35">
      <c r="C704" s="48"/>
      <c r="K704" s="48"/>
      <c r="L704" s="48"/>
      <c r="M704" s="48"/>
      <c r="N704" s="48"/>
      <c r="O704" s="48"/>
    </row>
    <row r="705" spans="3:15" ht="12.75" customHeight="1" x14ac:dyDescent="0.35">
      <c r="C705" s="48"/>
      <c r="K705" s="48"/>
      <c r="L705" s="48"/>
      <c r="M705" s="48"/>
      <c r="N705" s="48"/>
      <c r="O705" s="48"/>
    </row>
    <row r="706" spans="3:15" ht="12.75" customHeight="1" x14ac:dyDescent="0.35">
      <c r="C706" s="48"/>
      <c r="K706" s="48"/>
      <c r="L706" s="48"/>
      <c r="M706" s="48"/>
      <c r="N706" s="48"/>
      <c r="O706" s="48"/>
    </row>
    <row r="707" spans="3:15" ht="12.75" customHeight="1" x14ac:dyDescent="0.35">
      <c r="C707" s="48"/>
      <c r="K707" s="48"/>
      <c r="L707" s="48"/>
      <c r="M707" s="48"/>
      <c r="N707" s="48"/>
      <c r="O707" s="48"/>
    </row>
    <row r="708" spans="3:15" ht="12.75" customHeight="1" x14ac:dyDescent="0.35">
      <c r="C708" s="48"/>
      <c r="K708" s="48"/>
      <c r="L708" s="48"/>
      <c r="M708" s="48"/>
      <c r="N708" s="48"/>
      <c r="O708" s="48"/>
    </row>
    <row r="709" spans="3:15" ht="12.75" customHeight="1" x14ac:dyDescent="0.35">
      <c r="C709" s="48"/>
      <c r="K709" s="48"/>
      <c r="L709" s="48"/>
      <c r="M709" s="48"/>
      <c r="N709" s="48"/>
      <c r="O709" s="48"/>
    </row>
    <row r="710" spans="3:15" ht="12.75" customHeight="1" x14ac:dyDescent="0.35">
      <c r="C710" s="48"/>
      <c r="K710" s="48"/>
      <c r="L710" s="48"/>
      <c r="M710" s="48"/>
      <c r="N710" s="48"/>
      <c r="O710" s="48"/>
    </row>
    <row r="711" spans="3:15" ht="12.75" customHeight="1" x14ac:dyDescent="0.35">
      <c r="C711" s="48"/>
      <c r="K711" s="48"/>
      <c r="L711" s="48"/>
      <c r="M711" s="48"/>
      <c r="N711" s="48"/>
      <c r="O711" s="48"/>
    </row>
    <row r="712" spans="3:15" ht="12.75" customHeight="1" x14ac:dyDescent="0.35">
      <c r="C712" s="48"/>
      <c r="K712" s="48"/>
      <c r="L712" s="48"/>
      <c r="M712" s="48"/>
      <c r="N712" s="48"/>
      <c r="O712" s="48"/>
    </row>
    <row r="713" spans="3:15" ht="12.75" customHeight="1" x14ac:dyDescent="0.35">
      <c r="C713" s="48"/>
      <c r="K713" s="48"/>
      <c r="L713" s="48"/>
      <c r="M713" s="48"/>
      <c r="N713" s="48"/>
      <c r="O713" s="48"/>
    </row>
    <row r="714" spans="3:15" ht="12.75" customHeight="1" x14ac:dyDescent="0.35">
      <c r="C714" s="48"/>
      <c r="K714" s="48"/>
      <c r="L714" s="48"/>
      <c r="M714" s="48"/>
      <c r="N714" s="48"/>
      <c r="O714" s="48"/>
    </row>
    <row r="715" spans="3:15" ht="12.75" customHeight="1" x14ac:dyDescent="0.35">
      <c r="C715" s="48"/>
      <c r="K715" s="48"/>
      <c r="L715" s="48"/>
      <c r="M715" s="48"/>
      <c r="N715" s="48"/>
      <c r="O715" s="48"/>
    </row>
    <row r="716" spans="3:15" ht="12.75" customHeight="1" x14ac:dyDescent="0.35">
      <c r="C716" s="48"/>
      <c r="K716" s="48"/>
      <c r="L716" s="48"/>
      <c r="M716" s="48"/>
      <c r="N716" s="48"/>
      <c r="O716" s="48"/>
    </row>
    <row r="717" spans="3:15" ht="12.75" customHeight="1" x14ac:dyDescent="0.35">
      <c r="C717" s="48"/>
      <c r="K717" s="48"/>
      <c r="L717" s="48"/>
      <c r="M717" s="48"/>
      <c r="N717" s="48"/>
      <c r="O717" s="48"/>
    </row>
    <row r="718" spans="3:15" ht="12.75" customHeight="1" x14ac:dyDescent="0.35">
      <c r="C718" s="48"/>
      <c r="K718" s="48"/>
      <c r="L718" s="48"/>
      <c r="M718" s="48"/>
      <c r="N718" s="48"/>
      <c r="O718" s="48"/>
    </row>
    <row r="719" spans="3:15" ht="12.75" customHeight="1" x14ac:dyDescent="0.35">
      <c r="C719" s="48"/>
      <c r="K719" s="48"/>
      <c r="L719" s="48"/>
      <c r="M719" s="48"/>
      <c r="N719" s="48"/>
      <c r="O719" s="48"/>
    </row>
    <row r="720" spans="3:15" ht="12.75" customHeight="1" x14ac:dyDescent="0.35">
      <c r="C720" s="48"/>
      <c r="K720" s="48"/>
      <c r="L720" s="48"/>
      <c r="M720" s="48"/>
      <c r="N720" s="48"/>
      <c r="O720" s="48"/>
    </row>
    <row r="721" spans="3:15" ht="12.75" customHeight="1" x14ac:dyDescent="0.35">
      <c r="C721" s="48"/>
      <c r="K721" s="48"/>
      <c r="L721" s="48"/>
      <c r="M721" s="48"/>
      <c r="N721" s="48"/>
      <c r="O721" s="48"/>
    </row>
    <row r="722" spans="3:15" ht="12.75" customHeight="1" x14ac:dyDescent="0.35">
      <c r="C722" s="48"/>
      <c r="K722" s="48"/>
      <c r="L722" s="48"/>
      <c r="M722" s="48"/>
      <c r="N722" s="48"/>
      <c r="O722" s="48"/>
    </row>
    <row r="723" spans="3:15" ht="12.75" customHeight="1" x14ac:dyDescent="0.35">
      <c r="C723" s="48"/>
      <c r="K723" s="48"/>
      <c r="L723" s="48"/>
      <c r="M723" s="48"/>
      <c r="N723" s="48"/>
      <c r="O723" s="48"/>
    </row>
    <row r="724" spans="3:15" ht="12.75" customHeight="1" x14ac:dyDescent="0.35">
      <c r="C724" s="48"/>
      <c r="K724" s="48"/>
      <c r="L724" s="48"/>
      <c r="M724" s="48"/>
      <c r="N724" s="48"/>
      <c r="O724" s="48"/>
    </row>
    <row r="725" spans="3:15" ht="12.75" customHeight="1" x14ac:dyDescent="0.35">
      <c r="C725" s="48"/>
      <c r="K725" s="48"/>
      <c r="L725" s="48"/>
      <c r="M725" s="48"/>
      <c r="N725" s="48"/>
      <c r="O725" s="48"/>
    </row>
    <row r="726" spans="3:15" ht="12.75" customHeight="1" x14ac:dyDescent="0.35">
      <c r="C726" s="48"/>
      <c r="K726" s="48"/>
      <c r="L726" s="48"/>
      <c r="M726" s="48"/>
      <c r="N726" s="48"/>
      <c r="O726" s="48"/>
    </row>
    <row r="727" spans="3:15" ht="12.75" customHeight="1" x14ac:dyDescent="0.35">
      <c r="C727" s="48"/>
      <c r="K727" s="48"/>
      <c r="L727" s="48"/>
      <c r="M727" s="48"/>
      <c r="N727" s="48"/>
      <c r="O727" s="48"/>
    </row>
    <row r="728" spans="3:15" ht="12.75" customHeight="1" x14ac:dyDescent="0.35">
      <c r="C728" s="48"/>
      <c r="K728" s="48"/>
      <c r="L728" s="48"/>
      <c r="M728" s="48"/>
      <c r="N728" s="48"/>
      <c r="O728" s="48"/>
    </row>
    <row r="729" spans="3:15" ht="12.75" customHeight="1" x14ac:dyDescent="0.35">
      <c r="C729" s="48"/>
      <c r="K729" s="48"/>
      <c r="L729" s="48"/>
      <c r="M729" s="48"/>
      <c r="N729" s="48"/>
      <c r="O729" s="48"/>
    </row>
    <row r="730" spans="3:15" ht="12.75" customHeight="1" x14ac:dyDescent="0.35">
      <c r="C730" s="48"/>
      <c r="K730" s="48"/>
      <c r="L730" s="48"/>
      <c r="M730" s="48"/>
      <c r="N730" s="48"/>
      <c r="O730" s="48"/>
    </row>
    <row r="731" spans="3:15" ht="12.75" customHeight="1" x14ac:dyDescent="0.35">
      <c r="C731" s="48"/>
      <c r="K731" s="48"/>
      <c r="L731" s="48"/>
      <c r="M731" s="48"/>
      <c r="N731" s="48"/>
      <c r="O731" s="48"/>
    </row>
    <row r="732" spans="3:15" ht="12.75" customHeight="1" x14ac:dyDescent="0.35">
      <c r="C732" s="48"/>
      <c r="K732" s="48"/>
      <c r="L732" s="48"/>
      <c r="M732" s="48"/>
      <c r="N732" s="48"/>
      <c r="O732" s="48"/>
    </row>
    <row r="733" spans="3:15" ht="12.75" customHeight="1" x14ac:dyDescent="0.35">
      <c r="C733" s="48"/>
      <c r="K733" s="48"/>
      <c r="L733" s="48"/>
      <c r="M733" s="48"/>
      <c r="N733" s="48"/>
      <c r="O733" s="48"/>
    </row>
    <row r="734" spans="3:15" ht="12.75" customHeight="1" x14ac:dyDescent="0.35">
      <c r="C734" s="48"/>
      <c r="K734" s="48"/>
      <c r="L734" s="48"/>
      <c r="M734" s="48"/>
      <c r="N734" s="48"/>
      <c r="O734" s="48"/>
    </row>
    <row r="735" spans="3:15" ht="12.75" customHeight="1" x14ac:dyDescent="0.35">
      <c r="C735" s="48"/>
      <c r="K735" s="48"/>
      <c r="L735" s="48"/>
      <c r="M735" s="48"/>
      <c r="N735" s="48"/>
      <c r="O735" s="48"/>
    </row>
    <row r="736" spans="3:15" ht="12.75" customHeight="1" x14ac:dyDescent="0.35">
      <c r="C736" s="48"/>
      <c r="K736" s="48"/>
      <c r="L736" s="48"/>
      <c r="M736" s="48"/>
      <c r="N736" s="48"/>
      <c r="O736" s="48"/>
    </row>
    <row r="737" spans="3:15" ht="12.75" customHeight="1" x14ac:dyDescent="0.35">
      <c r="C737" s="48"/>
      <c r="K737" s="48"/>
      <c r="L737" s="48"/>
      <c r="M737" s="48"/>
      <c r="N737" s="48"/>
      <c r="O737" s="48"/>
    </row>
    <row r="738" spans="3:15" ht="12.75" customHeight="1" x14ac:dyDescent="0.35">
      <c r="C738" s="48"/>
      <c r="K738" s="48"/>
      <c r="L738" s="48"/>
      <c r="M738" s="48"/>
      <c r="N738" s="48"/>
      <c r="O738" s="48"/>
    </row>
    <row r="739" spans="3:15" ht="12.75" customHeight="1" x14ac:dyDescent="0.35">
      <c r="C739" s="48"/>
      <c r="K739" s="48"/>
      <c r="L739" s="48"/>
      <c r="M739" s="48"/>
      <c r="N739" s="48"/>
      <c r="O739" s="48"/>
    </row>
    <row r="740" spans="3:15" ht="12.75" customHeight="1" x14ac:dyDescent="0.35">
      <c r="C740" s="48"/>
      <c r="K740" s="48"/>
      <c r="L740" s="48"/>
      <c r="M740" s="48"/>
      <c r="N740" s="48"/>
      <c r="O740" s="48"/>
    </row>
    <row r="741" spans="3:15" ht="12.75" customHeight="1" x14ac:dyDescent="0.35">
      <c r="C741" s="48"/>
      <c r="K741" s="48"/>
      <c r="L741" s="48"/>
      <c r="M741" s="48"/>
      <c r="N741" s="48"/>
      <c r="O741" s="48"/>
    </row>
    <row r="742" spans="3:15" ht="12.75" customHeight="1" x14ac:dyDescent="0.35">
      <c r="C742" s="48"/>
      <c r="K742" s="48"/>
      <c r="L742" s="48"/>
      <c r="M742" s="48"/>
      <c r="N742" s="48"/>
      <c r="O742" s="48"/>
    </row>
    <row r="743" spans="3:15" ht="12.75" customHeight="1" x14ac:dyDescent="0.35">
      <c r="C743" s="48"/>
      <c r="K743" s="48"/>
      <c r="L743" s="48"/>
      <c r="M743" s="48"/>
      <c r="N743" s="48"/>
      <c r="O743" s="48"/>
    </row>
    <row r="744" spans="3:15" ht="12.75" customHeight="1" x14ac:dyDescent="0.35">
      <c r="C744" s="48"/>
      <c r="K744" s="48"/>
      <c r="L744" s="48"/>
      <c r="M744" s="48"/>
      <c r="N744" s="48"/>
      <c r="O744" s="48"/>
    </row>
    <row r="745" spans="3:15" ht="12.75" customHeight="1" x14ac:dyDescent="0.35">
      <c r="C745" s="48"/>
      <c r="K745" s="48"/>
      <c r="L745" s="48"/>
      <c r="M745" s="48"/>
      <c r="N745" s="48"/>
      <c r="O745" s="48"/>
    </row>
    <row r="746" spans="3:15" ht="12.75" customHeight="1" x14ac:dyDescent="0.35">
      <c r="C746" s="48"/>
      <c r="K746" s="48"/>
      <c r="L746" s="48"/>
      <c r="M746" s="48"/>
      <c r="N746" s="48"/>
      <c r="O746" s="48"/>
    </row>
    <row r="747" spans="3:15" ht="12.75" customHeight="1" x14ac:dyDescent="0.35">
      <c r="C747" s="48"/>
      <c r="K747" s="48"/>
      <c r="L747" s="48"/>
      <c r="M747" s="48"/>
      <c r="N747" s="48"/>
      <c r="O747" s="48"/>
    </row>
    <row r="748" spans="3:15" ht="12.75" customHeight="1" x14ac:dyDescent="0.35">
      <c r="C748" s="48"/>
      <c r="K748" s="48"/>
      <c r="L748" s="48"/>
      <c r="M748" s="48"/>
      <c r="N748" s="48"/>
      <c r="O748" s="48"/>
    </row>
    <row r="749" spans="3:15" ht="12.75" customHeight="1" x14ac:dyDescent="0.35">
      <c r="C749" s="48"/>
      <c r="K749" s="48"/>
      <c r="L749" s="48"/>
      <c r="M749" s="48"/>
      <c r="N749" s="48"/>
      <c r="O749" s="48"/>
    </row>
    <row r="750" spans="3:15" ht="12.75" customHeight="1" x14ac:dyDescent="0.35">
      <c r="C750" s="48"/>
      <c r="K750" s="48"/>
      <c r="L750" s="48"/>
      <c r="M750" s="48"/>
      <c r="N750" s="48"/>
      <c r="O750" s="48"/>
    </row>
    <row r="751" spans="3:15" ht="12.75" customHeight="1" x14ac:dyDescent="0.35">
      <c r="C751" s="48"/>
      <c r="K751" s="48"/>
      <c r="L751" s="48"/>
      <c r="M751" s="48"/>
      <c r="N751" s="48"/>
      <c r="O751" s="48"/>
    </row>
    <row r="752" spans="3:15" ht="12.75" customHeight="1" x14ac:dyDescent="0.35">
      <c r="C752" s="48"/>
      <c r="K752" s="48"/>
      <c r="L752" s="48"/>
      <c r="M752" s="48"/>
      <c r="N752" s="48"/>
      <c r="O752" s="48"/>
    </row>
    <row r="753" spans="3:15" ht="12.75" customHeight="1" x14ac:dyDescent="0.35">
      <c r="C753" s="48"/>
      <c r="K753" s="48"/>
      <c r="L753" s="48"/>
      <c r="M753" s="48"/>
      <c r="N753" s="48"/>
      <c r="O753" s="48"/>
    </row>
    <row r="754" spans="3:15" ht="12.75" customHeight="1" x14ac:dyDescent="0.35">
      <c r="C754" s="48"/>
      <c r="K754" s="48"/>
      <c r="L754" s="48"/>
      <c r="M754" s="48"/>
      <c r="N754" s="48"/>
      <c r="O754" s="48"/>
    </row>
    <row r="755" spans="3:15" ht="12.75" customHeight="1" x14ac:dyDescent="0.35">
      <c r="C755" s="48"/>
      <c r="K755" s="48"/>
      <c r="L755" s="48"/>
      <c r="M755" s="48"/>
      <c r="N755" s="48"/>
      <c r="O755" s="48"/>
    </row>
    <row r="756" spans="3:15" ht="12.75" customHeight="1" x14ac:dyDescent="0.35">
      <c r="C756" s="48"/>
      <c r="K756" s="48"/>
      <c r="L756" s="48"/>
      <c r="M756" s="48"/>
      <c r="N756" s="48"/>
      <c r="O756" s="48"/>
    </row>
    <row r="757" spans="3:15" ht="12.75" customHeight="1" x14ac:dyDescent="0.35">
      <c r="C757" s="48"/>
      <c r="K757" s="48"/>
      <c r="L757" s="48"/>
      <c r="M757" s="48"/>
      <c r="N757" s="48"/>
      <c r="O757" s="48"/>
    </row>
    <row r="758" spans="3:15" ht="12.75" customHeight="1" x14ac:dyDescent="0.35">
      <c r="C758" s="48"/>
      <c r="K758" s="48"/>
      <c r="L758" s="48"/>
      <c r="M758" s="48"/>
      <c r="N758" s="48"/>
      <c r="O758" s="48"/>
    </row>
    <row r="759" spans="3:15" ht="12.75" customHeight="1" x14ac:dyDescent="0.35">
      <c r="C759" s="48"/>
      <c r="K759" s="48"/>
      <c r="L759" s="48"/>
      <c r="M759" s="48"/>
      <c r="N759" s="48"/>
      <c r="O759" s="48"/>
    </row>
    <row r="760" spans="3:15" ht="12.75" customHeight="1" x14ac:dyDescent="0.35">
      <c r="C760" s="48"/>
      <c r="K760" s="48"/>
      <c r="L760" s="48"/>
      <c r="M760" s="48"/>
      <c r="N760" s="48"/>
      <c r="O760" s="48"/>
    </row>
    <row r="761" spans="3:15" ht="12.75" customHeight="1" x14ac:dyDescent="0.35">
      <c r="C761" s="48"/>
      <c r="K761" s="48"/>
      <c r="L761" s="48"/>
      <c r="M761" s="48"/>
      <c r="N761" s="48"/>
      <c r="O761" s="48"/>
    </row>
    <row r="762" spans="3:15" ht="12.75" customHeight="1" x14ac:dyDescent="0.35">
      <c r="C762" s="48"/>
      <c r="K762" s="48"/>
      <c r="L762" s="48"/>
      <c r="M762" s="48"/>
      <c r="N762" s="48"/>
      <c r="O762" s="48"/>
    </row>
    <row r="763" spans="3:15" ht="12.75" customHeight="1" x14ac:dyDescent="0.35">
      <c r="C763" s="48"/>
      <c r="K763" s="48"/>
      <c r="L763" s="48"/>
      <c r="M763" s="48"/>
      <c r="N763" s="48"/>
      <c r="O763" s="48"/>
    </row>
    <row r="764" spans="3:15" ht="12.75" customHeight="1" x14ac:dyDescent="0.35">
      <c r="C764" s="48"/>
      <c r="K764" s="48"/>
      <c r="L764" s="48"/>
      <c r="M764" s="48"/>
      <c r="N764" s="48"/>
      <c r="O764" s="48"/>
    </row>
    <row r="765" spans="3:15" ht="12.75" customHeight="1" x14ac:dyDescent="0.35">
      <c r="C765" s="48"/>
      <c r="K765" s="48"/>
      <c r="L765" s="48"/>
      <c r="M765" s="48"/>
      <c r="N765" s="48"/>
      <c r="O765" s="48"/>
    </row>
    <row r="766" spans="3:15" ht="12.75" customHeight="1" x14ac:dyDescent="0.35">
      <c r="C766" s="48"/>
      <c r="K766" s="48"/>
      <c r="L766" s="48"/>
      <c r="M766" s="48"/>
      <c r="N766" s="48"/>
      <c r="O766" s="48"/>
    </row>
    <row r="767" spans="3:15" ht="12.75" customHeight="1" x14ac:dyDescent="0.35">
      <c r="C767" s="48"/>
      <c r="K767" s="48"/>
      <c r="L767" s="48"/>
      <c r="M767" s="48"/>
      <c r="N767" s="48"/>
      <c r="O767" s="48"/>
    </row>
    <row r="768" spans="3:15" ht="12.75" customHeight="1" x14ac:dyDescent="0.35">
      <c r="C768" s="48"/>
      <c r="K768" s="48"/>
      <c r="L768" s="48"/>
      <c r="M768" s="48"/>
      <c r="N768" s="48"/>
      <c r="O768" s="48"/>
    </row>
    <row r="769" spans="3:15" ht="12.75" customHeight="1" x14ac:dyDescent="0.35">
      <c r="C769" s="48"/>
      <c r="K769" s="48"/>
      <c r="L769" s="48"/>
      <c r="M769" s="48"/>
      <c r="N769" s="48"/>
      <c r="O769" s="48"/>
    </row>
    <row r="770" spans="3:15" ht="12.75" customHeight="1" x14ac:dyDescent="0.35">
      <c r="C770" s="48"/>
      <c r="K770" s="48"/>
      <c r="L770" s="48"/>
      <c r="M770" s="48"/>
      <c r="N770" s="48"/>
      <c r="O770" s="48"/>
    </row>
    <row r="771" spans="3:15" ht="12.75" customHeight="1" x14ac:dyDescent="0.35">
      <c r="C771" s="48"/>
      <c r="K771" s="48"/>
      <c r="L771" s="48"/>
      <c r="M771" s="48"/>
      <c r="N771" s="48"/>
      <c r="O771" s="48"/>
    </row>
    <row r="772" spans="3:15" ht="12.75" customHeight="1" x14ac:dyDescent="0.35">
      <c r="C772" s="48"/>
      <c r="K772" s="48"/>
      <c r="L772" s="48"/>
      <c r="M772" s="48"/>
      <c r="N772" s="48"/>
      <c r="O772" s="48"/>
    </row>
    <row r="773" spans="3:15" ht="12.75" customHeight="1" x14ac:dyDescent="0.35">
      <c r="C773" s="48"/>
      <c r="K773" s="48"/>
      <c r="L773" s="48"/>
      <c r="M773" s="48"/>
      <c r="N773" s="48"/>
      <c r="O773" s="48"/>
    </row>
    <row r="774" spans="3:15" ht="12.75" customHeight="1" x14ac:dyDescent="0.35">
      <c r="C774" s="48"/>
      <c r="K774" s="48"/>
      <c r="L774" s="48"/>
      <c r="M774" s="48"/>
      <c r="N774" s="48"/>
      <c r="O774" s="48"/>
    </row>
    <row r="775" spans="3:15" ht="12.75" customHeight="1" x14ac:dyDescent="0.35">
      <c r="C775" s="48"/>
      <c r="K775" s="48"/>
      <c r="L775" s="48"/>
      <c r="M775" s="48"/>
      <c r="N775" s="48"/>
      <c r="O775" s="48"/>
    </row>
    <row r="776" spans="3:15" ht="12.75" customHeight="1" x14ac:dyDescent="0.35">
      <c r="C776" s="48"/>
      <c r="K776" s="48"/>
      <c r="L776" s="48"/>
      <c r="M776" s="48"/>
      <c r="N776" s="48"/>
      <c r="O776" s="48"/>
    </row>
    <row r="777" spans="3:15" ht="12.75" customHeight="1" x14ac:dyDescent="0.35">
      <c r="C777" s="48"/>
      <c r="K777" s="48"/>
      <c r="L777" s="48"/>
      <c r="M777" s="48"/>
      <c r="N777" s="48"/>
      <c r="O777" s="48"/>
    </row>
    <row r="778" spans="3:15" ht="12.75" customHeight="1" x14ac:dyDescent="0.35">
      <c r="C778" s="48"/>
      <c r="K778" s="48"/>
      <c r="L778" s="48"/>
      <c r="M778" s="48"/>
      <c r="N778" s="48"/>
      <c r="O778" s="48"/>
    </row>
    <row r="779" spans="3:15" ht="12.75" customHeight="1" x14ac:dyDescent="0.35">
      <c r="C779" s="48"/>
      <c r="K779" s="48"/>
      <c r="L779" s="48"/>
      <c r="M779" s="48"/>
      <c r="N779" s="48"/>
      <c r="O779" s="48"/>
    </row>
    <row r="780" spans="3:15" ht="12.75" customHeight="1" x14ac:dyDescent="0.35">
      <c r="C780" s="48"/>
      <c r="K780" s="48"/>
      <c r="L780" s="48"/>
      <c r="M780" s="48"/>
      <c r="N780" s="48"/>
      <c r="O780" s="48"/>
    </row>
    <row r="781" spans="3:15" ht="12.75" customHeight="1" x14ac:dyDescent="0.35">
      <c r="C781" s="48"/>
      <c r="K781" s="48"/>
      <c r="L781" s="48"/>
      <c r="M781" s="48"/>
      <c r="N781" s="48"/>
      <c r="O781" s="48"/>
    </row>
    <row r="782" spans="3:15" ht="12.75" customHeight="1" x14ac:dyDescent="0.35">
      <c r="C782" s="48"/>
      <c r="K782" s="48"/>
      <c r="L782" s="48"/>
      <c r="M782" s="48"/>
      <c r="N782" s="48"/>
      <c r="O782" s="48"/>
    </row>
    <row r="783" spans="3:15" ht="12.75" customHeight="1" x14ac:dyDescent="0.35">
      <c r="C783" s="48"/>
      <c r="K783" s="48"/>
      <c r="L783" s="48"/>
      <c r="M783" s="48"/>
      <c r="N783" s="48"/>
      <c r="O783" s="48"/>
    </row>
    <row r="784" spans="3:15" ht="12.75" customHeight="1" x14ac:dyDescent="0.35">
      <c r="C784" s="48"/>
      <c r="K784" s="48"/>
      <c r="L784" s="48"/>
      <c r="M784" s="48"/>
      <c r="N784" s="48"/>
      <c r="O784" s="48"/>
    </row>
    <row r="785" spans="3:15" ht="12.75" customHeight="1" x14ac:dyDescent="0.35">
      <c r="C785" s="48"/>
      <c r="K785" s="48"/>
      <c r="L785" s="48"/>
      <c r="M785" s="48"/>
      <c r="N785" s="48"/>
      <c r="O785" s="48"/>
    </row>
    <row r="786" spans="3:15" ht="12.75" customHeight="1" x14ac:dyDescent="0.35">
      <c r="C786" s="48"/>
      <c r="K786" s="48"/>
      <c r="L786" s="48"/>
      <c r="M786" s="48"/>
      <c r="N786" s="48"/>
      <c r="O786" s="48"/>
    </row>
    <row r="787" spans="3:15" ht="12.75" customHeight="1" x14ac:dyDescent="0.35">
      <c r="C787" s="48"/>
      <c r="K787" s="48"/>
      <c r="L787" s="48"/>
      <c r="M787" s="48"/>
      <c r="N787" s="48"/>
      <c r="O787" s="48"/>
    </row>
    <row r="788" spans="3:15" ht="12.75" customHeight="1" x14ac:dyDescent="0.35">
      <c r="C788" s="48"/>
      <c r="K788" s="48"/>
      <c r="L788" s="48"/>
      <c r="M788" s="48"/>
      <c r="N788" s="48"/>
      <c r="O788" s="48"/>
    </row>
    <row r="789" spans="3:15" ht="12.75" customHeight="1" x14ac:dyDescent="0.35">
      <c r="C789" s="48"/>
      <c r="K789" s="48"/>
      <c r="L789" s="48"/>
      <c r="M789" s="48"/>
      <c r="N789" s="48"/>
      <c r="O789" s="48"/>
    </row>
    <row r="790" spans="3:15" ht="12.75" customHeight="1" x14ac:dyDescent="0.35">
      <c r="C790" s="48"/>
      <c r="K790" s="48"/>
      <c r="L790" s="48"/>
      <c r="M790" s="48"/>
      <c r="N790" s="48"/>
      <c r="O790" s="48"/>
    </row>
    <row r="791" spans="3:15" ht="12.75" customHeight="1" x14ac:dyDescent="0.35">
      <c r="C791" s="48"/>
      <c r="K791" s="48"/>
      <c r="L791" s="48"/>
      <c r="M791" s="48"/>
      <c r="N791" s="48"/>
      <c r="O791" s="48"/>
    </row>
    <row r="792" spans="3:15" ht="12.75" customHeight="1" x14ac:dyDescent="0.35">
      <c r="C792" s="48"/>
      <c r="K792" s="48"/>
      <c r="L792" s="48"/>
      <c r="M792" s="48"/>
      <c r="N792" s="48"/>
      <c r="O792" s="48"/>
    </row>
    <row r="793" spans="3:15" ht="12.75" customHeight="1" x14ac:dyDescent="0.35">
      <c r="C793" s="48"/>
      <c r="K793" s="48"/>
      <c r="L793" s="48"/>
      <c r="M793" s="48"/>
      <c r="N793" s="48"/>
      <c r="O793" s="48"/>
    </row>
    <row r="794" spans="3:15" ht="12.75" customHeight="1" x14ac:dyDescent="0.35">
      <c r="C794" s="48"/>
      <c r="K794" s="48"/>
      <c r="L794" s="48"/>
      <c r="M794" s="48"/>
      <c r="N794" s="48"/>
      <c r="O794" s="48"/>
    </row>
    <row r="795" spans="3:15" ht="12.75" customHeight="1" x14ac:dyDescent="0.35">
      <c r="C795" s="48"/>
      <c r="K795" s="48"/>
      <c r="L795" s="48"/>
      <c r="M795" s="48"/>
      <c r="N795" s="48"/>
      <c r="O795" s="48"/>
    </row>
    <row r="796" spans="3:15" ht="12.75" customHeight="1" x14ac:dyDescent="0.35">
      <c r="C796" s="48"/>
      <c r="K796" s="48"/>
      <c r="L796" s="48"/>
      <c r="M796" s="48"/>
      <c r="N796" s="48"/>
      <c r="O796" s="48"/>
    </row>
    <row r="797" spans="3:15" ht="12.75" customHeight="1" x14ac:dyDescent="0.35">
      <c r="C797" s="48"/>
      <c r="K797" s="48"/>
      <c r="L797" s="48"/>
      <c r="M797" s="48"/>
      <c r="N797" s="48"/>
      <c r="O797" s="48"/>
    </row>
    <row r="798" spans="3:15" ht="12.75" customHeight="1" x14ac:dyDescent="0.35">
      <c r="C798" s="48"/>
      <c r="K798" s="48"/>
      <c r="L798" s="48"/>
      <c r="M798" s="48"/>
      <c r="N798" s="48"/>
      <c r="O798" s="48"/>
    </row>
    <row r="799" spans="3:15" ht="12.75" customHeight="1" x14ac:dyDescent="0.35">
      <c r="C799" s="48"/>
      <c r="K799" s="48"/>
      <c r="L799" s="48"/>
      <c r="M799" s="48"/>
      <c r="N799" s="48"/>
      <c r="O799" s="48"/>
    </row>
    <row r="800" spans="3:15" ht="12.75" customHeight="1" x14ac:dyDescent="0.35">
      <c r="C800" s="48"/>
      <c r="K800" s="48"/>
      <c r="L800" s="48"/>
      <c r="M800" s="48"/>
      <c r="N800" s="48"/>
      <c r="O800" s="48"/>
    </row>
    <row r="801" spans="3:15" ht="12.75" customHeight="1" x14ac:dyDescent="0.35">
      <c r="C801" s="48"/>
      <c r="K801" s="48"/>
      <c r="L801" s="48"/>
      <c r="M801" s="48"/>
      <c r="N801" s="48"/>
      <c r="O801" s="48"/>
    </row>
    <row r="802" spans="3:15" ht="12.75" customHeight="1" x14ac:dyDescent="0.35">
      <c r="C802" s="48"/>
      <c r="K802" s="48"/>
      <c r="L802" s="48"/>
      <c r="M802" s="48"/>
      <c r="N802" s="48"/>
      <c r="O802" s="48"/>
    </row>
    <row r="803" spans="3:15" ht="12.75" customHeight="1" x14ac:dyDescent="0.35">
      <c r="C803" s="48"/>
      <c r="K803" s="48"/>
      <c r="L803" s="48"/>
      <c r="M803" s="48"/>
      <c r="N803" s="48"/>
      <c r="O803" s="48"/>
    </row>
    <row r="804" spans="3:15" ht="12.75" customHeight="1" x14ac:dyDescent="0.35">
      <c r="C804" s="48"/>
      <c r="K804" s="48"/>
      <c r="L804" s="48"/>
      <c r="M804" s="48"/>
      <c r="N804" s="48"/>
      <c r="O804" s="48"/>
    </row>
    <row r="805" spans="3:15" ht="12.75" customHeight="1" x14ac:dyDescent="0.35">
      <c r="C805" s="48"/>
      <c r="K805" s="48"/>
      <c r="L805" s="48"/>
      <c r="M805" s="48"/>
      <c r="N805" s="48"/>
      <c r="O805" s="48"/>
    </row>
    <row r="806" spans="3:15" ht="12.75" customHeight="1" x14ac:dyDescent="0.35">
      <c r="C806" s="48"/>
      <c r="K806" s="48"/>
      <c r="L806" s="48"/>
      <c r="M806" s="48"/>
      <c r="N806" s="48"/>
      <c r="O806" s="48"/>
    </row>
    <row r="807" spans="3:15" ht="12.75" customHeight="1" x14ac:dyDescent="0.35">
      <c r="C807" s="48"/>
      <c r="K807" s="48"/>
      <c r="L807" s="48"/>
      <c r="M807" s="48"/>
      <c r="N807" s="48"/>
      <c r="O807" s="48"/>
    </row>
    <row r="808" spans="3:15" ht="12.75" customHeight="1" x14ac:dyDescent="0.35">
      <c r="C808" s="48"/>
      <c r="K808" s="48"/>
      <c r="L808" s="48"/>
      <c r="M808" s="48"/>
      <c r="N808" s="48"/>
      <c r="O808" s="48"/>
    </row>
    <row r="809" spans="3:15" ht="12.75" customHeight="1" x14ac:dyDescent="0.35">
      <c r="C809" s="48"/>
      <c r="K809" s="48"/>
      <c r="L809" s="48"/>
      <c r="M809" s="48"/>
      <c r="N809" s="48"/>
      <c r="O809" s="48"/>
    </row>
    <row r="810" spans="3:15" ht="12.75" customHeight="1" x14ac:dyDescent="0.35">
      <c r="C810" s="48"/>
      <c r="K810" s="48"/>
      <c r="L810" s="48"/>
      <c r="M810" s="48"/>
      <c r="N810" s="48"/>
      <c r="O810" s="48"/>
    </row>
    <row r="811" spans="3:15" ht="12.75" customHeight="1" x14ac:dyDescent="0.35">
      <c r="C811" s="48"/>
      <c r="K811" s="48"/>
      <c r="L811" s="48"/>
      <c r="M811" s="48"/>
      <c r="N811" s="48"/>
      <c r="O811" s="48"/>
    </row>
    <row r="812" spans="3:15" ht="12.75" customHeight="1" x14ac:dyDescent="0.35">
      <c r="C812" s="48"/>
      <c r="K812" s="48"/>
      <c r="L812" s="48"/>
      <c r="M812" s="48"/>
      <c r="N812" s="48"/>
      <c r="O812" s="48"/>
    </row>
    <row r="813" spans="3:15" ht="12.75" customHeight="1" x14ac:dyDescent="0.35">
      <c r="C813" s="48"/>
      <c r="K813" s="48"/>
      <c r="L813" s="48"/>
      <c r="M813" s="48"/>
      <c r="N813" s="48"/>
      <c r="O813" s="48"/>
    </row>
    <row r="814" spans="3:15" ht="12.75" customHeight="1" x14ac:dyDescent="0.35">
      <c r="C814" s="48"/>
      <c r="K814" s="48"/>
      <c r="L814" s="48"/>
      <c r="M814" s="48"/>
      <c r="N814" s="48"/>
      <c r="O814" s="48"/>
    </row>
    <row r="815" spans="3:15" ht="12.75" customHeight="1" x14ac:dyDescent="0.35">
      <c r="C815" s="48"/>
      <c r="K815" s="48"/>
      <c r="L815" s="48"/>
      <c r="M815" s="48"/>
      <c r="N815" s="48"/>
      <c r="O815" s="48"/>
    </row>
    <row r="816" spans="3:15" ht="12.75" customHeight="1" x14ac:dyDescent="0.35">
      <c r="C816" s="48"/>
      <c r="K816" s="48"/>
      <c r="L816" s="48"/>
      <c r="M816" s="48"/>
      <c r="N816" s="48"/>
      <c r="O816" s="48"/>
    </row>
    <row r="817" spans="3:15" ht="12.75" customHeight="1" x14ac:dyDescent="0.35">
      <c r="C817" s="48"/>
      <c r="K817" s="48"/>
      <c r="L817" s="48"/>
      <c r="M817" s="48"/>
      <c r="N817" s="48"/>
      <c r="O817" s="48"/>
    </row>
    <row r="818" spans="3:15" ht="12.75" customHeight="1" x14ac:dyDescent="0.35">
      <c r="C818" s="48"/>
      <c r="K818" s="48"/>
      <c r="L818" s="48"/>
      <c r="M818" s="48"/>
      <c r="N818" s="48"/>
      <c r="O818" s="48"/>
    </row>
    <row r="819" spans="3:15" ht="12.75" customHeight="1" x14ac:dyDescent="0.35">
      <c r="C819" s="48"/>
      <c r="K819" s="48"/>
      <c r="L819" s="48"/>
      <c r="M819" s="48"/>
      <c r="N819" s="48"/>
      <c r="O819" s="48"/>
    </row>
    <row r="820" spans="3:15" ht="12.75" customHeight="1" x14ac:dyDescent="0.35">
      <c r="C820" s="48"/>
      <c r="K820" s="48"/>
      <c r="L820" s="48"/>
      <c r="M820" s="48"/>
      <c r="N820" s="48"/>
      <c r="O820" s="48"/>
    </row>
    <row r="821" spans="3:15" ht="12.75" customHeight="1" x14ac:dyDescent="0.35">
      <c r="C821" s="48"/>
      <c r="K821" s="48"/>
      <c r="L821" s="48"/>
      <c r="M821" s="48"/>
      <c r="N821" s="48"/>
      <c r="O821" s="48"/>
    </row>
    <row r="822" spans="3:15" ht="12.75" customHeight="1" x14ac:dyDescent="0.35">
      <c r="C822" s="48"/>
      <c r="K822" s="48"/>
      <c r="L822" s="48"/>
      <c r="M822" s="48"/>
      <c r="N822" s="48"/>
      <c r="O822" s="48"/>
    </row>
    <row r="823" spans="3:15" ht="12.75" customHeight="1" x14ac:dyDescent="0.35">
      <c r="C823" s="48"/>
      <c r="K823" s="48"/>
      <c r="L823" s="48"/>
      <c r="M823" s="48"/>
      <c r="N823" s="48"/>
      <c r="O823" s="48"/>
    </row>
    <row r="824" spans="3:15" ht="12.75" customHeight="1" x14ac:dyDescent="0.35">
      <c r="C824" s="48"/>
      <c r="K824" s="48"/>
      <c r="L824" s="48"/>
      <c r="M824" s="48"/>
      <c r="N824" s="48"/>
      <c r="O824" s="48"/>
    </row>
    <row r="825" spans="3:15" ht="12.75" customHeight="1" x14ac:dyDescent="0.35">
      <c r="C825" s="48"/>
      <c r="K825" s="48"/>
      <c r="L825" s="48"/>
      <c r="M825" s="48"/>
      <c r="N825" s="48"/>
      <c r="O825" s="48"/>
    </row>
    <row r="826" spans="3:15" ht="12.75" customHeight="1" x14ac:dyDescent="0.35">
      <c r="C826" s="48"/>
      <c r="K826" s="48"/>
      <c r="L826" s="48"/>
      <c r="M826" s="48"/>
      <c r="N826" s="48"/>
      <c r="O826" s="48"/>
    </row>
    <row r="827" spans="3:15" ht="12.75" customHeight="1" x14ac:dyDescent="0.35">
      <c r="C827" s="48"/>
      <c r="K827" s="48"/>
      <c r="L827" s="48"/>
      <c r="M827" s="48"/>
      <c r="N827" s="48"/>
      <c r="O827" s="48"/>
    </row>
    <row r="828" spans="3:15" ht="12.75" customHeight="1" x14ac:dyDescent="0.35">
      <c r="C828" s="48"/>
      <c r="K828" s="48"/>
      <c r="L828" s="48"/>
      <c r="M828" s="48"/>
      <c r="N828" s="48"/>
      <c r="O828" s="48"/>
    </row>
    <row r="829" spans="3:15" ht="12.75" customHeight="1" x14ac:dyDescent="0.35">
      <c r="C829" s="48"/>
      <c r="K829" s="48"/>
      <c r="L829" s="48"/>
      <c r="M829" s="48"/>
      <c r="N829" s="48"/>
      <c r="O829" s="48"/>
    </row>
    <row r="830" spans="3:15" ht="12.75" customHeight="1" x14ac:dyDescent="0.35">
      <c r="C830" s="48"/>
      <c r="K830" s="48"/>
      <c r="L830" s="48"/>
      <c r="M830" s="48"/>
      <c r="N830" s="48"/>
      <c r="O830" s="48"/>
    </row>
    <row r="831" spans="3:15" ht="12.75" customHeight="1" x14ac:dyDescent="0.35">
      <c r="C831" s="48"/>
      <c r="K831" s="48"/>
      <c r="L831" s="48"/>
      <c r="M831" s="48"/>
      <c r="N831" s="48"/>
      <c r="O831" s="48"/>
    </row>
    <row r="832" spans="3:15" ht="12.75" customHeight="1" x14ac:dyDescent="0.35">
      <c r="C832" s="48"/>
      <c r="K832" s="48"/>
      <c r="L832" s="48"/>
      <c r="M832" s="48"/>
      <c r="N832" s="48"/>
      <c r="O832" s="48"/>
    </row>
    <row r="833" spans="3:15" ht="12.75" customHeight="1" x14ac:dyDescent="0.35">
      <c r="C833" s="48"/>
      <c r="K833" s="48"/>
      <c r="L833" s="48"/>
      <c r="M833" s="48"/>
      <c r="N833" s="48"/>
      <c r="O833" s="48"/>
    </row>
    <row r="834" spans="3:15" ht="12.75" customHeight="1" x14ac:dyDescent="0.35">
      <c r="C834" s="48"/>
      <c r="K834" s="48"/>
      <c r="L834" s="48"/>
      <c r="M834" s="48"/>
      <c r="N834" s="48"/>
      <c r="O834" s="48"/>
    </row>
    <row r="835" spans="3:15" ht="12.75" customHeight="1" x14ac:dyDescent="0.35">
      <c r="C835" s="48"/>
      <c r="K835" s="48"/>
      <c r="L835" s="48"/>
      <c r="M835" s="48"/>
      <c r="N835" s="48"/>
      <c r="O835" s="48"/>
    </row>
    <row r="836" spans="3:15" ht="12.75" customHeight="1" x14ac:dyDescent="0.35">
      <c r="C836" s="48"/>
      <c r="K836" s="48"/>
      <c r="L836" s="48"/>
      <c r="M836" s="48"/>
      <c r="N836" s="48"/>
      <c r="O836" s="48"/>
    </row>
    <row r="837" spans="3:15" ht="12.75" customHeight="1" x14ac:dyDescent="0.35">
      <c r="C837" s="48"/>
      <c r="K837" s="48"/>
      <c r="L837" s="48"/>
      <c r="M837" s="48"/>
      <c r="N837" s="48"/>
      <c r="O837" s="48"/>
    </row>
    <row r="838" spans="3:15" ht="12.75" customHeight="1" x14ac:dyDescent="0.35">
      <c r="C838" s="48"/>
      <c r="K838" s="48"/>
      <c r="L838" s="48"/>
      <c r="M838" s="48"/>
      <c r="N838" s="48"/>
      <c r="O838" s="48"/>
    </row>
    <row r="839" spans="3:15" ht="12.75" customHeight="1" x14ac:dyDescent="0.35">
      <c r="C839" s="48"/>
      <c r="K839" s="48"/>
      <c r="L839" s="48"/>
      <c r="M839" s="48"/>
      <c r="N839" s="48"/>
      <c r="O839" s="48"/>
    </row>
    <row r="840" spans="3:15" ht="12.75" customHeight="1" x14ac:dyDescent="0.35">
      <c r="C840" s="48"/>
      <c r="K840" s="48"/>
      <c r="L840" s="48"/>
      <c r="M840" s="48"/>
      <c r="N840" s="48"/>
      <c r="O840" s="48"/>
    </row>
    <row r="841" spans="3:15" ht="12.75" customHeight="1" x14ac:dyDescent="0.35">
      <c r="C841" s="48"/>
      <c r="K841" s="48"/>
      <c r="L841" s="48"/>
      <c r="M841" s="48"/>
      <c r="N841" s="48"/>
      <c r="O841" s="48"/>
    </row>
    <row r="842" spans="3:15" ht="12.75" customHeight="1" x14ac:dyDescent="0.35">
      <c r="C842" s="48"/>
      <c r="K842" s="48"/>
      <c r="L842" s="48"/>
      <c r="M842" s="48"/>
      <c r="N842" s="48"/>
      <c r="O842" s="48"/>
    </row>
    <row r="843" spans="3:15" ht="12.75" customHeight="1" x14ac:dyDescent="0.35">
      <c r="C843" s="48"/>
      <c r="K843" s="48"/>
      <c r="L843" s="48"/>
      <c r="M843" s="48"/>
      <c r="N843" s="48"/>
      <c r="O843" s="48"/>
    </row>
    <row r="844" spans="3:15" ht="12.75" customHeight="1" x14ac:dyDescent="0.35">
      <c r="C844" s="48"/>
      <c r="K844" s="48"/>
      <c r="L844" s="48"/>
      <c r="M844" s="48"/>
      <c r="N844" s="48"/>
      <c r="O844" s="48"/>
    </row>
    <row r="845" spans="3:15" ht="12.75" customHeight="1" x14ac:dyDescent="0.35">
      <c r="C845" s="48"/>
      <c r="K845" s="48"/>
      <c r="L845" s="48"/>
      <c r="M845" s="48"/>
      <c r="N845" s="48"/>
      <c r="O845" s="48"/>
    </row>
    <row r="846" spans="3:15" ht="12.75" customHeight="1" x14ac:dyDescent="0.35">
      <c r="C846" s="48"/>
      <c r="K846" s="48"/>
      <c r="L846" s="48"/>
      <c r="M846" s="48"/>
      <c r="N846" s="48"/>
      <c r="O846" s="48"/>
    </row>
    <row r="847" spans="3:15" ht="12.75" customHeight="1" x14ac:dyDescent="0.35">
      <c r="C847" s="48"/>
      <c r="K847" s="48"/>
      <c r="L847" s="48"/>
      <c r="M847" s="48"/>
      <c r="N847" s="48"/>
      <c r="O847" s="48"/>
    </row>
    <row r="848" spans="3:15" ht="12.75" customHeight="1" x14ac:dyDescent="0.35">
      <c r="C848" s="48"/>
      <c r="K848" s="48"/>
      <c r="L848" s="48"/>
      <c r="M848" s="48"/>
      <c r="N848" s="48"/>
      <c r="O848" s="48"/>
    </row>
    <row r="849" spans="3:15" ht="12.75" customHeight="1" x14ac:dyDescent="0.35">
      <c r="C849" s="48"/>
      <c r="K849" s="48"/>
      <c r="L849" s="48"/>
      <c r="M849" s="48"/>
      <c r="N849" s="48"/>
      <c r="O849" s="48"/>
    </row>
    <row r="850" spans="3:15" ht="12.75" customHeight="1" x14ac:dyDescent="0.35">
      <c r="C850" s="48"/>
      <c r="K850" s="48"/>
      <c r="L850" s="48"/>
      <c r="M850" s="48"/>
      <c r="N850" s="48"/>
      <c r="O850" s="48"/>
    </row>
    <row r="851" spans="3:15" ht="12.75" customHeight="1" x14ac:dyDescent="0.35">
      <c r="C851" s="48"/>
      <c r="K851" s="48"/>
      <c r="L851" s="48"/>
      <c r="M851" s="48"/>
      <c r="N851" s="48"/>
      <c r="O851" s="48"/>
    </row>
    <row r="852" spans="3:15" ht="12.75" customHeight="1" x14ac:dyDescent="0.35">
      <c r="C852" s="48"/>
      <c r="K852" s="48"/>
      <c r="L852" s="48"/>
      <c r="M852" s="48"/>
      <c r="N852" s="48"/>
      <c r="O852" s="48"/>
    </row>
    <row r="853" spans="3:15" ht="12.75" customHeight="1" x14ac:dyDescent="0.35">
      <c r="C853" s="48"/>
      <c r="K853" s="48"/>
      <c r="L853" s="48"/>
      <c r="M853" s="48"/>
      <c r="N853" s="48"/>
      <c r="O853" s="48"/>
    </row>
    <row r="854" spans="3:15" ht="12.75" customHeight="1" x14ac:dyDescent="0.35">
      <c r="C854" s="48"/>
      <c r="K854" s="48"/>
      <c r="L854" s="48"/>
      <c r="M854" s="48"/>
      <c r="N854" s="48"/>
      <c r="O854" s="48"/>
    </row>
    <row r="855" spans="3:15" ht="12.75" customHeight="1" x14ac:dyDescent="0.35">
      <c r="C855" s="48"/>
      <c r="K855" s="48"/>
      <c r="L855" s="48"/>
      <c r="M855" s="48"/>
      <c r="N855" s="48"/>
      <c r="O855" s="48"/>
    </row>
    <row r="856" spans="3:15" ht="12.75" customHeight="1" x14ac:dyDescent="0.35">
      <c r="C856" s="48"/>
      <c r="K856" s="48"/>
      <c r="L856" s="48"/>
      <c r="M856" s="48"/>
      <c r="N856" s="48"/>
      <c r="O856" s="48"/>
    </row>
    <row r="857" spans="3:15" ht="12.75" customHeight="1" x14ac:dyDescent="0.35">
      <c r="C857" s="48"/>
      <c r="K857" s="48"/>
      <c r="L857" s="48"/>
      <c r="M857" s="48"/>
      <c r="N857" s="48"/>
      <c r="O857" s="48"/>
    </row>
    <row r="858" spans="3:15" ht="12.75" customHeight="1" x14ac:dyDescent="0.35">
      <c r="C858" s="48"/>
      <c r="K858" s="48"/>
      <c r="L858" s="48"/>
      <c r="M858" s="48"/>
      <c r="N858" s="48"/>
      <c r="O858" s="48"/>
    </row>
    <row r="859" spans="3:15" ht="12.75" customHeight="1" x14ac:dyDescent="0.35">
      <c r="C859" s="48"/>
      <c r="K859" s="48"/>
      <c r="L859" s="48"/>
      <c r="M859" s="48"/>
      <c r="N859" s="48"/>
      <c r="O859" s="48"/>
    </row>
    <row r="860" spans="3:15" ht="12.75" customHeight="1" x14ac:dyDescent="0.35">
      <c r="C860" s="48"/>
      <c r="K860" s="48"/>
      <c r="L860" s="48"/>
      <c r="M860" s="48"/>
      <c r="N860" s="48"/>
      <c r="O860" s="48"/>
    </row>
    <row r="861" spans="3:15" ht="12.75" customHeight="1" x14ac:dyDescent="0.35">
      <c r="C861" s="48"/>
      <c r="K861" s="48"/>
      <c r="L861" s="48"/>
      <c r="M861" s="48"/>
      <c r="N861" s="48"/>
      <c r="O861" s="48"/>
    </row>
    <row r="862" spans="3:15" ht="12.75" customHeight="1" x14ac:dyDescent="0.35">
      <c r="C862" s="48"/>
      <c r="K862" s="48"/>
      <c r="L862" s="48"/>
      <c r="M862" s="48"/>
      <c r="N862" s="48"/>
      <c r="O862" s="48"/>
    </row>
    <row r="863" spans="3:15" ht="12.75" customHeight="1" x14ac:dyDescent="0.35">
      <c r="C863" s="48"/>
      <c r="K863" s="48"/>
      <c r="L863" s="48"/>
      <c r="M863" s="48"/>
      <c r="N863" s="48"/>
      <c r="O863" s="48"/>
    </row>
    <row r="864" spans="3:15" ht="12.75" customHeight="1" x14ac:dyDescent="0.35">
      <c r="C864" s="48"/>
      <c r="K864" s="48"/>
      <c r="L864" s="48"/>
      <c r="M864" s="48"/>
      <c r="N864" s="48"/>
      <c r="O864" s="48"/>
    </row>
    <row r="865" spans="3:15" ht="12.75" customHeight="1" x14ac:dyDescent="0.35">
      <c r="C865" s="48"/>
      <c r="K865" s="48"/>
      <c r="L865" s="48"/>
      <c r="M865" s="48"/>
      <c r="N865" s="48"/>
      <c r="O865" s="48"/>
    </row>
    <row r="866" spans="3:15" ht="12.75" customHeight="1" x14ac:dyDescent="0.35">
      <c r="C866" s="48"/>
      <c r="K866" s="48"/>
      <c r="L866" s="48"/>
      <c r="M866" s="48"/>
      <c r="N866" s="48"/>
      <c r="O866" s="48"/>
    </row>
    <row r="867" spans="3:15" ht="12.75" customHeight="1" x14ac:dyDescent="0.35">
      <c r="C867" s="48"/>
      <c r="K867" s="48"/>
      <c r="L867" s="48"/>
      <c r="M867" s="48"/>
      <c r="N867" s="48"/>
      <c r="O867" s="48"/>
    </row>
    <row r="868" spans="3:15" ht="12.75" customHeight="1" x14ac:dyDescent="0.35">
      <c r="C868" s="48"/>
      <c r="K868" s="48"/>
      <c r="L868" s="48"/>
      <c r="M868" s="48"/>
      <c r="N868" s="48"/>
      <c r="O868" s="48"/>
    </row>
    <row r="869" spans="3:15" ht="12.75" customHeight="1" x14ac:dyDescent="0.35">
      <c r="C869" s="48"/>
      <c r="K869" s="48"/>
      <c r="L869" s="48"/>
      <c r="M869" s="48"/>
      <c r="N869" s="48"/>
      <c r="O869" s="48"/>
    </row>
    <row r="870" spans="3:15" ht="12.75" customHeight="1" x14ac:dyDescent="0.35">
      <c r="C870" s="48"/>
      <c r="K870" s="48"/>
      <c r="L870" s="48"/>
      <c r="M870" s="48"/>
      <c r="N870" s="48"/>
      <c r="O870" s="48"/>
    </row>
    <row r="871" spans="3:15" ht="12.75" customHeight="1" x14ac:dyDescent="0.35">
      <c r="C871" s="48"/>
      <c r="K871" s="48"/>
      <c r="L871" s="48"/>
      <c r="M871" s="48"/>
      <c r="N871" s="48"/>
      <c r="O871" s="48"/>
    </row>
    <row r="872" spans="3:15" ht="12.75" customHeight="1" x14ac:dyDescent="0.35">
      <c r="C872" s="48"/>
      <c r="K872" s="48"/>
      <c r="L872" s="48"/>
      <c r="M872" s="48"/>
      <c r="N872" s="48"/>
      <c r="O872" s="48"/>
    </row>
    <row r="873" spans="3:15" ht="12.75" customHeight="1" x14ac:dyDescent="0.35">
      <c r="C873" s="48"/>
      <c r="K873" s="48"/>
      <c r="L873" s="48"/>
      <c r="M873" s="48"/>
      <c r="N873" s="48"/>
      <c r="O873" s="48"/>
    </row>
    <row r="874" spans="3:15" ht="12.75" customHeight="1" x14ac:dyDescent="0.35">
      <c r="C874" s="48"/>
      <c r="K874" s="48"/>
      <c r="L874" s="48"/>
      <c r="M874" s="48"/>
      <c r="N874" s="48"/>
      <c r="O874" s="48"/>
    </row>
    <row r="875" spans="3:15" ht="12.75" customHeight="1" x14ac:dyDescent="0.35">
      <c r="C875" s="48"/>
      <c r="K875" s="48"/>
      <c r="L875" s="48"/>
      <c r="M875" s="48"/>
      <c r="N875" s="48"/>
      <c r="O875" s="48"/>
    </row>
    <row r="876" spans="3:15" ht="12.75" customHeight="1" x14ac:dyDescent="0.35">
      <c r="C876" s="48"/>
      <c r="K876" s="48"/>
      <c r="L876" s="48"/>
      <c r="M876" s="48"/>
      <c r="N876" s="48"/>
      <c r="O876" s="48"/>
    </row>
    <row r="877" spans="3:15" ht="12.75" customHeight="1" x14ac:dyDescent="0.35">
      <c r="C877" s="48"/>
      <c r="K877" s="48"/>
      <c r="L877" s="48"/>
      <c r="M877" s="48"/>
      <c r="N877" s="48"/>
      <c r="O877" s="48"/>
    </row>
    <row r="878" spans="3:15" ht="12.75" customHeight="1" x14ac:dyDescent="0.35">
      <c r="C878" s="48"/>
      <c r="K878" s="48"/>
      <c r="L878" s="48"/>
      <c r="M878" s="48"/>
      <c r="N878" s="48"/>
      <c r="O878" s="48"/>
    </row>
    <row r="879" spans="3:15" ht="12.75" customHeight="1" x14ac:dyDescent="0.35">
      <c r="C879" s="48"/>
      <c r="K879" s="48"/>
      <c r="L879" s="48"/>
      <c r="M879" s="48"/>
      <c r="N879" s="48"/>
      <c r="O879" s="48"/>
    </row>
    <row r="880" spans="3:15" ht="12.75" customHeight="1" x14ac:dyDescent="0.35">
      <c r="C880" s="48"/>
      <c r="K880" s="48"/>
      <c r="L880" s="48"/>
      <c r="M880" s="48"/>
      <c r="N880" s="48"/>
      <c r="O880" s="48"/>
    </row>
    <row r="881" spans="3:15" ht="12.75" customHeight="1" x14ac:dyDescent="0.35">
      <c r="C881" s="48"/>
      <c r="K881" s="48"/>
      <c r="L881" s="48"/>
      <c r="M881" s="48"/>
      <c r="N881" s="48"/>
      <c r="O881" s="48"/>
    </row>
    <row r="882" spans="3:15" ht="12.75" customHeight="1" x14ac:dyDescent="0.35">
      <c r="C882" s="48"/>
      <c r="K882" s="48"/>
      <c r="L882" s="48"/>
      <c r="M882" s="48"/>
      <c r="N882" s="48"/>
      <c r="O882" s="48"/>
    </row>
    <row r="883" spans="3:15" ht="12.75" customHeight="1" x14ac:dyDescent="0.35">
      <c r="C883" s="48"/>
      <c r="K883" s="48"/>
      <c r="L883" s="48"/>
      <c r="M883" s="48"/>
      <c r="N883" s="48"/>
      <c r="O883" s="48"/>
    </row>
    <row r="884" spans="3:15" ht="12.75" customHeight="1" x14ac:dyDescent="0.35">
      <c r="C884" s="48"/>
      <c r="K884" s="48"/>
      <c r="L884" s="48"/>
      <c r="M884" s="48"/>
      <c r="N884" s="48"/>
      <c r="O884" s="48"/>
    </row>
    <row r="885" spans="3:15" ht="12.75" customHeight="1" x14ac:dyDescent="0.35">
      <c r="C885" s="48"/>
      <c r="K885" s="48"/>
      <c r="L885" s="48"/>
      <c r="M885" s="48"/>
      <c r="N885" s="48"/>
      <c r="O885" s="48"/>
    </row>
    <row r="886" spans="3:15" ht="12.75" customHeight="1" x14ac:dyDescent="0.35">
      <c r="C886" s="48"/>
      <c r="K886" s="48"/>
      <c r="L886" s="48"/>
      <c r="M886" s="48"/>
      <c r="N886" s="48"/>
      <c r="O886" s="48"/>
    </row>
    <row r="887" spans="3:15" ht="12.75" customHeight="1" x14ac:dyDescent="0.35">
      <c r="C887" s="48"/>
      <c r="K887" s="48"/>
      <c r="L887" s="48"/>
      <c r="M887" s="48"/>
      <c r="N887" s="48"/>
      <c r="O887" s="48"/>
    </row>
    <row r="888" spans="3:15" ht="12.75" customHeight="1" x14ac:dyDescent="0.35">
      <c r="C888" s="48"/>
      <c r="K888" s="48"/>
      <c r="L888" s="48"/>
      <c r="M888" s="48"/>
      <c r="N888" s="48"/>
      <c r="O888" s="48"/>
    </row>
    <row r="889" spans="3:15" ht="12.75" customHeight="1" x14ac:dyDescent="0.35">
      <c r="C889" s="48"/>
      <c r="K889" s="48"/>
      <c r="L889" s="48"/>
      <c r="M889" s="48"/>
      <c r="N889" s="48"/>
      <c r="O889" s="48"/>
    </row>
    <row r="890" spans="3:15" ht="12.75" customHeight="1" x14ac:dyDescent="0.35">
      <c r="C890" s="48"/>
      <c r="K890" s="48"/>
      <c r="L890" s="48"/>
      <c r="M890" s="48"/>
      <c r="N890" s="48"/>
      <c r="O890" s="48"/>
    </row>
    <row r="891" spans="3:15" ht="12.75" customHeight="1" x14ac:dyDescent="0.35">
      <c r="C891" s="48"/>
      <c r="K891" s="48"/>
      <c r="L891" s="48"/>
      <c r="M891" s="48"/>
      <c r="N891" s="48"/>
      <c r="O891" s="48"/>
    </row>
    <row r="892" spans="3:15" ht="12.75" customHeight="1" x14ac:dyDescent="0.35">
      <c r="C892" s="48"/>
      <c r="K892" s="48"/>
      <c r="L892" s="48"/>
      <c r="M892" s="48"/>
      <c r="N892" s="48"/>
      <c r="O892" s="48"/>
    </row>
    <row r="893" spans="3:15" ht="12.75" customHeight="1" x14ac:dyDescent="0.35">
      <c r="C893" s="48"/>
      <c r="K893" s="48"/>
      <c r="L893" s="48"/>
      <c r="M893" s="48"/>
      <c r="N893" s="48"/>
      <c r="O893" s="48"/>
    </row>
    <row r="894" spans="3:15" ht="12.75" customHeight="1" x14ac:dyDescent="0.35">
      <c r="C894" s="48"/>
      <c r="K894" s="48"/>
      <c r="L894" s="48"/>
      <c r="M894" s="48"/>
      <c r="N894" s="48"/>
      <c r="O894" s="48"/>
    </row>
    <row r="895" spans="3:15" ht="12.75" customHeight="1" x14ac:dyDescent="0.35">
      <c r="C895" s="48"/>
      <c r="K895" s="48"/>
      <c r="L895" s="48"/>
      <c r="M895" s="48"/>
      <c r="N895" s="48"/>
      <c r="O895" s="48"/>
    </row>
    <row r="896" spans="3:15" ht="12.75" customHeight="1" x14ac:dyDescent="0.35">
      <c r="C896" s="48"/>
      <c r="K896" s="48"/>
      <c r="L896" s="48"/>
      <c r="M896" s="48"/>
      <c r="N896" s="48"/>
      <c r="O896" s="48"/>
    </row>
    <row r="897" spans="3:15" ht="12.75" customHeight="1" x14ac:dyDescent="0.35">
      <c r="C897" s="48"/>
      <c r="K897" s="48"/>
      <c r="L897" s="48"/>
      <c r="M897" s="48"/>
      <c r="N897" s="48"/>
      <c r="O897" s="48"/>
    </row>
    <row r="898" spans="3:15" ht="12.75" customHeight="1" x14ac:dyDescent="0.35">
      <c r="C898" s="48"/>
      <c r="K898" s="48"/>
      <c r="L898" s="48"/>
      <c r="M898" s="48"/>
      <c r="N898" s="48"/>
      <c r="O898" s="48"/>
    </row>
    <row r="899" spans="3:15" ht="12.75" customHeight="1" x14ac:dyDescent="0.35">
      <c r="C899" s="48"/>
      <c r="K899" s="48"/>
      <c r="L899" s="48"/>
      <c r="M899" s="48"/>
      <c r="N899" s="48"/>
      <c r="O899" s="48"/>
    </row>
    <row r="900" spans="3:15" ht="12.75" customHeight="1" x14ac:dyDescent="0.35">
      <c r="C900" s="48"/>
      <c r="K900" s="48"/>
      <c r="L900" s="48"/>
      <c r="M900" s="48"/>
      <c r="N900" s="48"/>
      <c r="O900" s="48"/>
    </row>
    <row r="901" spans="3:15" ht="12.75" customHeight="1" x14ac:dyDescent="0.35">
      <c r="C901" s="48"/>
      <c r="K901" s="48"/>
      <c r="L901" s="48"/>
      <c r="M901" s="48"/>
      <c r="N901" s="48"/>
      <c r="O901" s="48"/>
    </row>
    <row r="902" spans="3:15" ht="12.75" customHeight="1" x14ac:dyDescent="0.35">
      <c r="C902" s="48"/>
      <c r="K902" s="48"/>
      <c r="L902" s="48"/>
      <c r="M902" s="48"/>
      <c r="N902" s="48"/>
      <c r="O902" s="48"/>
    </row>
    <row r="903" spans="3:15" ht="12.75" customHeight="1" x14ac:dyDescent="0.35">
      <c r="C903" s="48"/>
      <c r="K903" s="48"/>
      <c r="L903" s="48"/>
      <c r="M903" s="48"/>
      <c r="N903" s="48"/>
      <c r="O903" s="48"/>
    </row>
    <row r="904" spans="3:15" ht="12.75" customHeight="1" x14ac:dyDescent="0.35">
      <c r="C904" s="48"/>
      <c r="K904" s="48"/>
      <c r="L904" s="48"/>
      <c r="M904" s="48"/>
      <c r="N904" s="48"/>
      <c r="O904" s="48"/>
    </row>
    <row r="905" spans="3:15" ht="12.75" customHeight="1" x14ac:dyDescent="0.35">
      <c r="C905" s="48"/>
      <c r="K905" s="48"/>
      <c r="L905" s="48"/>
      <c r="M905" s="48"/>
      <c r="N905" s="48"/>
      <c r="O905" s="48"/>
    </row>
    <row r="906" spans="3:15" ht="12.75" customHeight="1" x14ac:dyDescent="0.35">
      <c r="C906" s="48"/>
      <c r="K906" s="48"/>
      <c r="L906" s="48"/>
      <c r="M906" s="48"/>
      <c r="N906" s="48"/>
      <c r="O906" s="48"/>
    </row>
    <row r="907" spans="3:15" ht="12.75" customHeight="1" x14ac:dyDescent="0.35">
      <c r="C907" s="48"/>
      <c r="K907" s="48"/>
      <c r="L907" s="48"/>
      <c r="M907" s="48"/>
      <c r="N907" s="48"/>
      <c r="O907" s="48"/>
    </row>
    <row r="908" spans="3:15" ht="12.75" customHeight="1" x14ac:dyDescent="0.35">
      <c r="C908" s="48"/>
      <c r="K908" s="48"/>
      <c r="L908" s="48"/>
      <c r="M908" s="48"/>
      <c r="N908" s="48"/>
      <c r="O908" s="48"/>
    </row>
    <row r="909" spans="3:15" ht="12.75" customHeight="1" x14ac:dyDescent="0.35">
      <c r="C909" s="48"/>
      <c r="K909" s="48"/>
      <c r="L909" s="48"/>
      <c r="M909" s="48"/>
      <c r="N909" s="48"/>
      <c r="O909" s="48"/>
    </row>
    <row r="910" spans="3:15" ht="12.75" customHeight="1" x14ac:dyDescent="0.35">
      <c r="C910" s="48"/>
      <c r="K910" s="48"/>
      <c r="L910" s="48"/>
      <c r="M910" s="48"/>
      <c r="N910" s="48"/>
      <c r="O910" s="48"/>
    </row>
    <row r="911" spans="3:15" ht="12.75" customHeight="1" x14ac:dyDescent="0.35">
      <c r="C911" s="48"/>
      <c r="K911" s="48"/>
      <c r="L911" s="48"/>
      <c r="M911" s="48"/>
      <c r="N911" s="48"/>
      <c r="O911" s="48"/>
    </row>
    <row r="912" spans="3:15" ht="12.75" customHeight="1" x14ac:dyDescent="0.35">
      <c r="C912" s="48"/>
      <c r="K912" s="48"/>
      <c r="L912" s="48"/>
      <c r="M912" s="48"/>
      <c r="N912" s="48"/>
      <c r="O912" s="48"/>
    </row>
    <row r="913" spans="3:15" ht="12.75" customHeight="1" x14ac:dyDescent="0.35">
      <c r="C913" s="48"/>
      <c r="K913" s="48"/>
      <c r="L913" s="48"/>
      <c r="M913" s="48"/>
      <c r="N913" s="48"/>
      <c r="O913" s="48"/>
    </row>
    <row r="914" spans="3:15" ht="12.75" customHeight="1" x14ac:dyDescent="0.35">
      <c r="C914" s="48"/>
      <c r="K914" s="48"/>
      <c r="L914" s="48"/>
      <c r="M914" s="48"/>
      <c r="N914" s="48"/>
      <c r="O914" s="48"/>
    </row>
    <row r="915" spans="3:15" ht="12.75" customHeight="1" x14ac:dyDescent="0.35">
      <c r="C915" s="48"/>
      <c r="K915" s="48"/>
      <c r="L915" s="48"/>
      <c r="M915" s="48"/>
      <c r="N915" s="48"/>
      <c r="O915" s="48"/>
    </row>
    <row r="916" spans="3:15" ht="12.75" customHeight="1" x14ac:dyDescent="0.35">
      <c r="C916" s="48"/>
      <c r="K916" s="48"/>
      <c r="L916" s="48"/>
      <c r="M916" s="48"/>
      <c r="N916" s="48"/>
      <c r="O916" s="48"/>
    </row>
    <row r="917" spans="3:15" ht="12.75" customHeight="1" x14ac:dyDescent="0.35">
      <c r="C917" s="48"/>
      <c r="K917" s="48"/>
      <c r="L917" s="48"/>
      <c r="M917" s="48"/>
      <c r="N917" s="48"/>
      <c r="O917" s="48"/>
    </row>
    <row r="918" spans="3:15" ht="12.75" customHeight="1" x14ac:dyDescent="0.35">
      <c r="C918" s="48"/>
      <c r="K918" s="48"/>
      <c r="L918" s="48"/>
      <c r="M918" s="48"/>
      <c r="N918" s="48"/>
      <c r="O918" s="48"/>
    </row>
    <row r="919" spans="3:15" ht="12.75" customHeight="1" x14ac:dyDescent="0.35">
      <c r="C919" s="48"/>
      <c r="K919" s="48"/>
      <c r="L919" s="48"/>
      <c r="M919" s="48"/>
      <c r="N919" s="48"/>
      <c r="O919" s="48"/>
    </row>
    <row r="920" spans="3:15" ht="12.75" customHeight="1" x14ac:dyDescent="0.35">
      <c r="C920" s="48"/>
      <c r="K920" s="48"/>
      <c r="L920" s="48"/>
      <c r="M920" s="48"/>
      <c r="N920" s="48"/>
      <c r="O920" s="48"/>
    </row>
    <row r="921" spans="3:15" ht="12.75" customHeight="1" x14ac:dyDescent="0.35">
      <c r="C921" s="48"/>
      <c r="K921" s="48"/>
      <c r="L921" s="48"/>
      <c r="M921" s="48"/>
      <c r="N921" s="48"/>
      <c r="O921" s="48"/>
    </row>
    <row r="922" spans="3:15" ht="12.75" customHeight="1" x14ac:dyDescent="0.35">
      <c r="C922" s="48"/>
      <c r="K922" s="48"/>
      <c r="L922" s="48"/>
      <c r="M922" s="48"/>
      <c r="N922" s="48"/>
      <c r="O922" s="48"/>
    </row>
    <row r="923" spans="3:15" ht="12.75" customHeight="1" x14ac:dyDescent="0.35">
      <c r="C923" s="48"/>
      <c r="K923" s="48"/>
      <c r="L923" s="48"/>
      <c r="M923" s="48"/>
      <c r="N923" s="48"/>
      <c r="O923" s="48"/>
    </row>
    <row r="924" spans="3:15" ht="12.75" customHeight="1" x14ac:dyDescent="0.35">
      <c r="C924" s="48"/>
      <c r="K924" s="48"/>
      <c r="L924" s="48"/>
      <c r="M924" s="48"/>
      <c r="N924" s="48"/>
      <c r="O924" s="48"/>
    </row>
    <row r="925" spans="3:15" ht="12.75" customHeight="1" x14ac:dyDescent="0.35">
      <c r="C925" s="48"/>
      <c r="K925" s="48"/>
      <c r="L925" s="48"/>
      <c r="M925" s="48"/>
      <c r="N925" s="48"/>
      <c r="O925" s="48"/>
    </row>
    <row r="926" spans="3:15" ht="12.75" customHeight="1" x14ac:dyDescent="0.35">
      <c r="C926" s="48"/>
      <c r="K926" s="48"/>
      <c r="L926" s="48"/>
      <c r="M926" s="48"/>
      <c r="N926" s="48"/>
      <c r="O926" s="48"/>
    </row>
    <row r="927" spans="3:15" ht="12.75" customHeight="1" x14ac:dyDescent="0.35">
      <c r="C927" s="48"/>
      <c r="K927" s="48"/>
      <c r="L927" s="48"/>
      <c r="M927" s="48"/>
      <c r="N927" s="48"/>
      <c r="O927" s="48"/>
    </row>
    <row r="928" spans="3:15" ht="12.75" customHeight="1" x14ac:dyDescent="0.35">
      <c r="C928" s="48"/>
      <c r="K928" s="48"/>
      <c r="L928" s="48"/>
      <c r="M928" s="48"/>
      <c r="N928" s="48"/>
      <c r="O928" s="48"/>
    </row>
    <row r="929" spans="3:15" ht="12.75" customHeight="1" x14ac:dyDescent="0.35">
      <c r="C929" s="48"/>
      <c r="K929" s="48"/>
      <c r="L929" s="48"/>
      <c r="M929" s="48"/>
      <c r="N929" s="48"/>
      <c r="O929" s="48"/>
    </row>
    <row r="930" spans="3:15" ht="12.75" customHeight="1" x14ac:dyDescent="0.35">
      <c r="C930" s="48"/>
      <c r="K930" s="48"/>
      <c r="L930" s="48"/>
      <c r="M930" s="48"/>
      <c r="N930" s="48"/>
      <c r="O930" s="48"/>
    </row>
    <row r="931" spans="3:15" ht="12.75" customHeight="1" x14ac:dyDescent="0.35">
      <c r="C931" s="48"/>
      <c r="K931" s="48"/>
      <c r="L931" s="48"/>
      <c r="M931" s="48"/>
      <c r="N931" s="48"/>
      <c r="O931" s="48"/>
    </row>
    <row r="932" spans="3:15" ht="12.75" customHeight="1" x14ac:dyDescent="0.35">
      <c r="C932" s="48"/>
      <c r="K932" s="48"/>
      <c r="L932" s="48"/>
      <c r="M932" s="48"/>
      <c r="N932" s="48"/>
      <c r="O932" s="48"/>
    </row>
    <row r="933" spans="3:15" ht="12.75" customHeight="1" x14ac:dyDescent="0.35">
      <c r="C933" s="48"/>
      <c r="K933" s="48"/>
      <c r="L933" s="48"/>
      <c r="M933" s="48"/>
      <c r="N933" s="48"/>
      <c r="O933" s="48"/>
    </row>
    <row r="934" spans="3:15" ht="12.75" customHeight="1" x14ac:dyDescent="0.35">
      <c r="C934" s="48"/>
      <c r="K934" s="48"/>
      <c r="L934" s="48"/>
      <c r="M934" s="48"/>
      <c r="N934" s="48"/>
      <c r="O934" s="48"/>
    </row>
    <row r="935" spans="3:15" ht="12.75" customHeight="1" x14ac:dyDescent="0.35">
      <c r="C935" s="48"/>
      <c r="K935" s="48"/>
      <c r="L935" s="48"/>
      <c r="M935" s="48"/>
      <c r="N935" s="48"/>
      <c r="O935" s="48"/>
    </row>
    <row r="936" spans="3:15" ht="12.75" customHeight="1" x14ac:dyDescent="0.35">
      <c r="C936" s="48"/>
      <c r="K936" s="48"/>
      <c r="L936" s="48"/>
      <c r="M936" s="48"/>
      <c r="N936" s="48"/>
      <c r="O936" s="48"/>
    </row>
    <row r="937" spans="3:15" ht="12.75" customHeight="1" x14ac:dyDescent="0.35">
      <c r="C937" s="48"/>
      <c r="K937" s="48"/>
      <c r="L937" s="48"/>
      <c r="M937" s="48"/>
      <c r="N937" s="48"/>
      <c r="O937" s="48"/>
    </row>
    <row r="938" spans="3:15" ht="12.75" customHeight="1" x14ac:dyDescent="0.35">
      <c r="C938" s="48"/>
      <c r="K938" s="48"/>
      <c r="L938" s="48"/>
      <c r="M938" s="48"/>
      <c r="N938" s="48"/>
      <c r="O938" s="48"/>
    </row>
    <row r="939" spans="3:15" ht="12.75" customHeight="1" x14ac:dyDescent="0.35">
      <c r="C939" s="48"/>
      <c r="K939" s="48"/>
      <c r="L939" s="48"/>
      <c r="M939" s="48"/>
      <c r="N939" s="48"/>
      <c r="O939" s="48"/>
    </row>
    <row r="940" spans="3:15" ht="12.75" customHeight="1" x14ac:dyDescent="0.35">
      <c r="C940" s="48"/>
      <c r="K940" s="48"/>
      <c r="L940" s="48"/>
      <c r="M940" s="48"/>
      <c r="N940" s="48"/>
      <c r="O940" s="48"/>
    </row>
    <row r="941" spans="3:15" ht="12.75" customHeight="1" x14ac:dyDescent="0.35">
      <c r="C941" s="48"/>
      <c r="K941" s="48"/>
      <c r="L941" s="48"/>
      <c r="M941" s="48"/>
      <c r="N941" s="48"/>
      <c r="O941" s="48"/>
    </row>
    <row r="942" spans="3:15" ht="12.75" customHeight="1" x14ac:dyDescent="0.35">
      <c r="C942" s="48"/>
      <c r="K942" s="48"/>
      <c r="L942" s="48"/>
      <c r="M942" s="48"/>
      <c r="N942" s="48"/>
      <c r="O942" s="48"/>
    </row>
    <row r="943" spans="3:15" ht="12.75" customHeight="1" x14ac:dyDescent="0.35">
      <c r="C943" s="48"/>
      <c r="K943" s="48"/>
      <c r="L943" s="48"/>
      <c r="M943" s="48"/>
      <c r="N943" s="48"/>
      <c r="O943" s="48"/>
    </row>
    <row r="944" spans="3:15" ht="12.75" customHeight="1" x14ac:dyDescent="0.35">
      <c r="C944" s="48"/>
      <c r="K944" s="48"/>
      <c r="L944" s="48"/>
      <c r="M944" s="48"/>
      <c r="N944" s="48"/>
      <c r="O944" s="48"/>
    </row>
    <row r="945" spans="3:15" ht="12.75" customHeight="1" x14ac:dyDescent="0.35">
      <c r="C945" s="48"/>
      <c r="K945" s="48"/>
      <c r="L945" s="48"/>
      <c r="M945" s="48"/>
      <c r="N945" s="48"/>
      <c r="O945" s="48"/>
    </row>
    <row r="946" spans="3:15" ht="12.75" customHeight="1" x14ac:dyDescent="0.35">
      <c r="C946" s="48"/>
      <c r="K946" s="48"/>
      <c r="L946" s="48"/>
      <c r="M946" s="48"/>
      <c r="N946" s="48"/>
      <c r="O946" s="48"/>
    </row>
    <row r="947" spans="3:15" ht="12.75" customHeight="1" x14ac:dyDescent="0.35">
      <c r="C947" s="48"/>
      <c r="K947" s="48"/>
      <c r="L947" s="48"/>
      <c r="M947" s="48"/>
      <c r="N947" s="48"/>
      <c r="O947" s="48"/>
    </row>
    <row r="948" spans="3:15" ht="12.75" customHeight="1" x14ac:dyDescent="0.35">
      <c r="C948" s="48"/>
      <c r="K948" s="48"/>
      <c r="L948" s="48"/>
      <c r="M948" s="48"/>
      <c r="N948" s="48"/>
      <c r="O948" s="48"/>
    </row>
    <row r="949" spans="3:15" ht="12.75" customHeight="1" x14ac:dyDescent="0.35">
      <c r="C949" s="48"/>
      <c r="K949" s="48"/>
      <c r="L949" s="48"/>
      <c r="M949" s="48"/>
      <c r="N949" s="48"/>
      <c r="O949" s="48"/>
    </row>
    <row r="950" spans="3:15" ht="12.75" customHeight="1" x14ac:dyDescent="0.35">
      <c r="C950" s="48"/>
      <c r="K950" s="48"/>
      <c r="L950" s="48"/>
      <c r="M950" s="48"/>
      <c r="N950" s="48"/>
      <c r="O950" s="48"/>
    </row>
    <row r="951" spans="3:15" ht="12.75" customHeight="1" x14ac:dyDescent="0.35">
      <c r="C951" s="48"/>
      <c r="K951" s="48"/>
      <c r="L951" s="48"/>
      <c r="M951" s="48"/>
      <c r="N951" s="48"/>
      <c r="O951" s="48"/>
    </row>
    <row r="952" spans="3:15" ht="12.75" customHeight="1" x14ac:dyDescent="0.35">
      <c r="C952" s="48"/>
      <c r="K952" s="48"/>
      <c r="L952" s="48"/>
      <c r="M952" s="48"/>
      <c r="N952" s="48"/>
      <c r="O952" s="48"/>
    </row>
    <row r="953" spans="3:15" ht="12.75" customHeight="1" x14ac:dyDescent="0.35">
      <c r="C953" s="48"/>
      <c r="K953" s="48"/>
      <c r="L953" s="48"/>
      <c r="M953" s="48"/>
      <c r="N953" s="48"/>
      <c r="O953" s="48"/>
    </row>
    <row r="954" spans="3:15" ht="12.75" customHeight="1" x14ac:dyDescent="0.35">
      <c r="C954" s="48"/>
      <c r="K954" s="48"/>
      <c r="L954" s="48"/>
      <c r="M954" s="48"/>
      <c r="N954" s="48"/>
      <c r="O954" s="48"/>
    </row>
    <row r="955" spans="3:15" ht="12.75" customHeight="1" x14ac:dyDescent="0.35">
      <c r="C955" s="48"/>
      <c r="K955" s="48"/>
      <c r="L955" s="48"/>
      <c r="M955" s="48"/>
      <c r="N955" s="48"/>
      <c r="O955" s="48"/>
    </row>
    <row r="956" spans="3:15" ht="12.75" customHeight="1" x14ac:dyDescent="0.35">
      <c r="C956" s="48"/>
      <c r="K956" s="48"/>
      <c r="L956" s="48"/>
      <c r="M956" s="48"/>
      <c r="N956" s="48"/>
      <c r="O956" s="48"/>
    </row>
    <row r="957" spans="3:15" ht="12.75" customHeight="1" x14ac:dyDescent="0.35">
      <c r="C957" s="48"/>
      <c r="K957" s="48"/>
      <c r="L957" s="48"/>
      <c r="M957" s="48"/>
      <c r="N957" s="48"/>
      <c r="O957" s="48"/>
    </row>
    <row r="958" spans="3:15" ht="12.75" customHeight="1" x14ac:dyDescent="0.35">
      <c r="C958" s="48"/>
      <c r="K958" s="48"/>
      <c r="L958" s="48"/>
      <c r="M958" s="48"/>
      <c r="N958" s="48"/>
      <c r="O958" s="48"/>
    </row>
    <row r="959" spans="3:15" ht="12.75" customHeight="1" x14ac:dyDescent="0.35">
      <c r="C959" s="48"/>
      <c r="K959" s="48"/>
      <c r="L959" s="48"/>
      <c r="M959" s="48"/>
      <c r="N959" s="48"/>
      <c r="O959" s="48"/>
    </row>
    <row r="960" spans="3:15" ht="12.75" customHeight="1" x14ac:dyDescent="0.35">
      <c r="C960" s="48"/>
      <c r="K960" s="48"/>
      <c r="L960" s="48"/>
      <c r="M960" s="48"/>
      <c r="N960" s="48"/>
      <c r="O960" s="48"/>
    </row>
    <row r="961" spans="3:15" ht="12.75" customHeight="1" x14ac:dyDescent="0.35">
      <c r="C961" s="48"/>
      <c r="K961" s="48"/>
      <c r="L961" s="48"/>
      <c r="M961" s="48"/>
      <c r="N961" s="48"/>
      <c r="O961" s="48"/>
    </row>
    <row r="962" spans="3:15" ht="12.75" customHeight="1" x14ac:dyDescent="0.35">
      <c r="C962" s="48"/>
      <c r="K962" s="48"/>
      <c r="L962" s="48"/>
      <c r="M962" s="48"/>
      <c r="N962" s="48"/>
      <c r="O962" s="48"/>
    </row>
    <row r="963" spans="3:15" ht="12.75" customHeight="1" x14ac:dyDescent="0.35">
      <c r="C963" s="48"/>
      <c r="K963" s="48"/>
      <c r="L963" s="48"/>
      <c r="M963" s="48"/>
      <c r="N963" s="48"/>
      <c r="O963" s="48"/>
    </row>
    <row r="964" spans="3:15" ht="12.75" customHeight="1" x14ac:dyDescent="0.35">
      <c r="C964" s="48"/>
      <c r="K964" s="48"/>
      <c r="L964" s="48"/>
      <c r="M964" s="48"/>
      <c r="N964" s="48"/>
      <c r="O964" s="48"/>
    </row>
    <row r="965" spans="3:15" ht="12.75" customHeight="1" x14ac:dyDescent="0.35">
      <c r="C965" s="48"/>
      <c r="K965" s="48"/>
      <c r="L965" s="48"/>
      <c r="M965" s="48"/>
      <c r="N965" s="48"/>
      <c r="O965" s="48"/>
    </row>
    <row r="966" spans="3:15" ht="12.75" customHeight="1" x14ac:dyDescent="0.35">
      <c r="C966" s="48"/>
      <c r="K966" s="48"/>
      <c r="L966" s="48"/>
      <c r="M966" s="48"/>
      <c r="N966" s="48"/>
      <c r="O966" s="48"/>
    </row>
    <row r="967" spans="3:15" ht="12.75" customHeight="1" x14ac:dyDescent="0.35">
      <c r="C967" s="48"/>
      <c r="K967" s="48"/>
      <c r="L967" s="48"/>
      <c r="M967" s="48"/>
      <c r="N967" s="48"/>
      <c r="O967" s="48"/>
    </row>
    <row r="968" spans="3:15" ht="12.75" customHeight="1" x14ac:dyDescent="0.35">
      <c r="C968" s="48"/>
      <c r="K968" s="48"/>
      <c r="L968" s="48"/>
      <c r="M968" s="48"/>
      <c r="N968" s="48"/>
      <c r="O968" s="48"/>
    </row>
    <row r="969" spans="3:15" ht="12.75" customHeight="1" x14ac:dyDescent="0.35">
      <c r="C969" s="48"/>
      <c r="K969" s="48"/>
      <c r="L969" s="48"/>
      <c r="M969" s="48"/>
      <c r="N969" s="48"/>
      <c r="O969" s="48"/>
    </row>
    <row r="970" spans="3:15" ht="12.75" customHeight="1" x14ac:dyDescent="0.35">
      <c r="C970" s="48"/>
      <c r="K970" s="48"/>
      <c r="L970" s="48"/>
      <c r="M970" s="48"/>
      <c r="N970" s="48"/>
      <c r="O970" s="48"/>
    </row>
    <row r="971" spans="3:15" ht="12.75" customHeight="1" x14ac:dyDescent="0.35">
      <c r="C971" s="48"/>
      <c r="K971" s="48"/>
      <c r="L971" s="48"/>
      <c r="M971" s="48"/>
      <c r="N971" s="48"/>
      <c r="O971" s="48"/>
    </row>
    <row r="972" spans="3:15" ht="12.75" customHeight="1" x14ac:dyDescent="0.35">
      <c r="C972" s="48"/>
      <c r="K972" s="48"/>
      <c r="L972" s="48"/>
      <c r="M972" s="48"/>
      <c r="N972" s="48"/>
      <c r="O972" s="48"/>
    </row>
    <row r="973" spans="3:15" ht="12.75" customHeight="1" x14ac:dyDescent="0.35">
      <c r="C973" s="48"/>
      <c r="K973" s="48"/>
      <c r="L973" s="48"/>
      <c r="M973" s="48"/>
      <c r="N973" s="48"/>
      <c r="O973" s="48"/>
    </row>
    <row r="974" spans="3:15" ht="12.75" customHeight="1" x14ac:dyDescent="0.35">
      <c r="C974" s="48"/>
      <c r="K974" s="48"/>
      <c r="L974" s="48"/>
      <c r="M974" s="48"/>
      <c r="N974" s="48"/>
      <c r="O974" s="48"/>
    </row>
    <row r="975" spans="3:15" ht="12.75" customHeight="1" x14ac:dyDescent="0.35">
      <c r="C975" s="48"/>
      <c r="K975" s="48"/>
      <c r="L975" s="48"/>
      <c r="M975" s="48"/>
      <c r="N975" s="48"/>
      <c r="O975" s="48"/>
    </row>
    <row r="976" spans="3:15" ht="12.75" customHeight="1" x14ac:dyDescent="0.35">
      <c r="C976" s="48"/>
      <c r="K976" s="48"/>
      <c r="L976" s="48"/>
      <c r="M976" s="48"/>
      <c r="N976" s="48"/>
      <c r="O976" s="48"/>
    </row>
    <row r="977" spans="3:15" ht="12.75" customHeight="1" x14ac:dyDescent="0.35">
      <c r="C977" s="48"/>
      <c r="K977" s="48"/>
      <c r="L977" s="48"/>
      <c r="M977" s="48"/>
      <c r="N977" s="48"/>
      <c r="O977" s="48"/>
    </row>
    <row r="978" spans="3:15" ht="12.75" customHeight="1" x14ac:dyDescent="0.35">
      <c r="C978" s="48"/>
      <c r="K978" s="48"/>
      <c r="L978" s="48"/>
      <c r="M978" s="48"/>
      <c r="N978" s="48"/>
      <c r="O978" s="48"/>
    </row>
    <row r="979" spans="3:15" ht="12.75" customHeight="1" x14ac:dyDescent="0.35">
      <c r="C979" s="48"/>
      <c r="K979" s="48"/>
      <c r="L979" s="48"/>
      <c r="M979" s="48"/>
      <c r="N979" s="48"/>
      <c r="O979" s="48"/>
    </row>
    <row r="980" spans="3:15" ht="12.75" customHeight="1" x14ac:dyDescent="0.35">
      <c r="C980" s="48"/>
      <c r="K980" s="48"/>
      <c r="L980" s="48"/>
      <c r="M980" s="48"/>
      <c r="N980" s="48"/>
      <c r="O980" s="48"/>
    </row>
    <row r="981" spans="3:15" ht="12.75" customHeight="1" x14ac:dyDescent="0.35">
      <c r="C981" s="48"/>
      <c r="K981" s="48"/>
      <c r="L981" s="48"/>
      <c r="M981" s="48"/>
      <c r="N981" s="48"/>
      <c r="O981" s="48"/>
    </row>
    <row r="982" spans="3:15" ht="12.75" customHeight="1" x14ac:dyDescent="0.35">
      <c r="C982" s="48"/>
      <c r="K982" s="48"/>
      <c r="L982" s="48"/>
      <c r="M982" s="48"/>
      <c r="N982" s="48"/>
      <c r="O982" s="48"/>
    </row>
    <row r="983" spans="3:15" ht="12.75" customHeight="1" x14ac:dyDescent="0.35">
      <c r="C983" s="48"/>
      <c r="K983" s="48"/>
      <c r="L983" s="48"/>
      <c r="M983" s="48"/>
      <c r="N983" s="48"/>
      <c r="O983" s="48"/>
    </row>
    <row r="984" spans="3:15" ht="12.75" customHeight="1" x14ac:dyDescent="0.35">
      <c r="C984" s="48"/>
      <c r="K984" s="48"/>
      <c r="L984" s="48"/>
      <c r="M984" s="48"/>
      <c r="N984" s="48"/>
      <c r="O984" s="48"/>
    </row>
    <row r="985" spans="3:15" ht="12.75" customHeight="1" x14ac:dyDescent="0.35">
      <c r="C985" s="48"/>
      <c r="K985" s="48"/>
      <c r="L985" s="48"/>
      <c r="M985" s="48"/>
      <c r="N985" s="48"/>
      <c r="O985" s="48"/>
    </row>
    <row r="986" spans="3:15" ht="12.75" customHeight="1" x14ac:dyDescent="0.35">
      <c r="C986" s="48"/>
      <c r="K986" s="48"/>
      <c r="L986" s="48"/>
      <c r="M986" s="48"/>
      <c r="N986" s="48"/>
      <c r="O986" s="48"/>
    </row>
    <row r="987" spans="3:15" ht="12.75" customHeight="1" x14ac:dyDescent="0.35">
      <c r="C987" s="48"/>
      <c r="K987" s="48"/>
      <c r="L987" s="48"/>
      <c r="M987" s="48"/>
      <c r="N987" s="48"/>
      <c r="O987" s="48"/>
    </row>
    <row r="988" spans="3:15" ht="12.75" customHeight="1" x14ac:dyDescent="0.35">
      <c r="C988" s="48"/>
      <c r="K988" s="48"/>
      <c r="L988" s="48"/>
      <c r="M988" s="48"/>
      <c r="N988" s="48"/>
      <c r="O988" s="48"/>
    </row>
    <row r="989" spans="3:15" ht="12.75" customHeight="1" x14ac:dyDescent="0.35">
      <c r="C989" s="48"/>
      <c r="K989" s="48"/>
      <c r="L989" s="48"/>
      <c r="M989" s="48"/>
      <c r="N989" s="48"/>
      <c r="O989" s="48"/>
    </row>
    <row r="990" spans="3:15" ht="12.75" customHeight="1" x14ac:dyDescent="0.35">
      <c r="C990" s="48"/>
      <c r="K990" s="48"/>
      <c r="L990" s="48"/>
      <c r="M990" s="48"/>
      <c r="N990" s="48"/>
      <c r="O990" s="48"/>
    </row>
    <row r="991" spans="3:15" ht="12.75" customHeight="1" x14ac:dyDescent="0.35">
      <c r="C991" s="48"/>
      <c r="K991" s="48"/>
      <c r="L991" s="48"/>
      <c r="M991" s="48"/>
      <c r="N991" s="48"/>
      <c r="O991" s="48"/>
    </row>
    <row r="992" spans="3:15" ht="12.75" customHeight="1" x14ac:dyDescent="0.35">
      <c r="C992" s="48"/>
      <c r="K992" s="48"/>
      <c r="L992" s="48"/>
      <c r="M992" s="48"/>
      <c r="N992" s="48"/>
      <c r="O992" s="48"/>
    </row>
    <row r="993" spans="3:15" ht="12.75" customHeight="1" x14ac:dyDescent="0.35">
      <c r="C993" s="48"/>
      <c r="K993" s="48"/>
      <c r="L993" s="48"/>
      <c r="M993" s="48"/>
      <c r="N993" s="48"/>
      <c r="O993" s="48"/>
    </row>
    <row r="994" spans="3:15" ht="12.75" customHeight="1" x14ac:dyDescent="0.35">
      <c r="C994" s="48"/>
      <c r="K994" s="48"/>
      <c r="L994" s="48"/>
      <c r="M994" s="48"/>
      <c r="N994" s="48"/>
      <c r="O994" s="48"/>
    </row>
    <row r="995" spans="3:15" ht="12.75" customHeight="1" x14ac:dyDescent="0.35">
      <c r="C995" s="48"/>
      <c r="K995" s="48"/>
      <c r="L995" s="48"/>
      <c r="M995" s="48"/>
      <c r="N995" s="48"/>
      <c r="O995" s="48"/>
    </row>
    <row r="996" spans="3:15" ht="12.75" customHeight="1" x14ac:dyDescent="0.35">
      <c r="C996" s="48"/>
      <c r="K996" s="48"/>
      <c r="L996" s="48"/>
      <c r="M996" s="48"/>
      <c r="N996" s="48"/>
      <c r="O996" s="48"/>
    </row>
    <row r="997" spans="3:15" ht="12.75" customHeight="1" x14ac:dyDescent="0.35">
      <c r="C997" s="48"/>
      <c r="K997" s="48"/>
      <c r="L997" s="48"/>
      <c r="M997" s="48"/>
      <c r="N997" s="48"/>
      <c r="O997" s="48"/>
    </row>
    <row r="998" spans="3:15" ht="12.75" customHeight="1" x14ac:dyDescent="0.35">
      <c r="C998" s="48"/>
      <c r="K998" s="48"/>
      <c r="L998" s="48"/>
      <c r="M998" s="48"/>
      <c r="N998" s="48"/>
      <c r="O998" s="48"/>
    </row>
    <row r="999" spans="3:15" ht="12.75" customHeight="1" x14ac:dyDescent="0.35">
      <c r="C999" s="48"/>
      <c r="K999" s="48"/>
      <c r="L999" s="48"/>
      <c r="M999" s="48"/>
      <c r="N999" s="48"/>
      <c r="O999" s="48"/>
    </row>
    <row r="1000" spans="3:15" ht="12.75" customHeight="1" x14ac:dyDescent="0.35">
      <c r="C1000" s="48"/>
      <c r="K1000" s="48"/>
      <c r="L1000" s="48"/>
      <c r="M1000" s="48"/>
      <c r="N1000" s="48"/>
      <c r="O1000" s="48"/>
    </row>
    <row r="1001" spans="3:15" ht="12.75" customHeight="1" x14ac:dyDescent="0.35">
      <c r="C1001" s="48"/>
      <c r="K1001" s="48"/>
      <c r="L1001" s="48"/>
      <c r="M1001" s="48"/>
      <c r="N1001" s="48"/>
      <c r="O1001" s="48"/>
    </row>
    <row r="1002" spans="3:15" ht="12.75" customHeight="1" x14ac:dyDescent="0.35">
      <c r="C1002" s="48"/>
      <c r="K1002" s="48"/>
      <c r="L1002" s="48"/>
      <c r="M1002" s="48"/>
      <c r="N1002" s="48"/>
      <c r="O1002" s="48"/>
    </row>
    <row r="1003" spans="3:15" ht="12.75" customHeight="1" x14ac:dyDescent="0.35">
      <c r="C1003" s="48"/>
      <c r="K1003" s="48"/>
      <c r="L1003" s="48"/>
      <c r="M1003" s="48"/>
      <c r="N1003" s="48"/>
      <c r="O1003" s="48"/>
    </row>
    <row r="1004" spans="3:15" ht="12.75" customHeight="1" x14ac:dyDescent="0.35">
      <c r="C1004" s="48"/>
      <c r="K1004" s="48"/>
      <c r="L1004" s="48"/>
      <c r="M1004" s="48"/>
      <c r="N1004" s="48"/>
      <c r="O1004" s="48"/>
    </row>
    <row r="1005" spans="3:15" ht="12.75" customHeight="1" x14ac:dyDescent="0.35">
      <c r="C1005" s="48"/>
      <c r="K1005" s="48"/>
      <c r="L1005" s="48"/>
      <c r="M1005" s="48"/>
      <c r="N1005" s="48"/>
      <c r="O1005" s="48"/>
    </row>
    <row r="1006" spans="3:15" ht="12.75" customHeight="1" x14ac:dyDescent="0.35">
      <c r="C1006" s="48"/>
      <c r="K1006" s="48"/>
      <c r="L1006" s="48"/>
      <c r="M1006" s="48"/>
      <c r="N1006" s="48"/>
      <c r="O1006" s="48"/>
    </row>
    <row r="1007" spans="3:15" ht="12.75" customHeight="1" x14ac:dyDescent="0.35">
      <c r="C1007" s="48"/>
      <c r="K1007" s="48"/>
      <c r="L1007" s="48"/>
      <c r="M1007" s="48"/>
      <c r="N1007" s="48"/>
      <c r="O1007" s="48"/>
    </row>
    <row r="1008" spans="3:15" ht="12.75" customHeight="1" x14ac:dyDescent="0.35">
      <c r="C1008" s="48"/>
      <c r="K1008" s="48"/>
      <c r="L1008" s="48"/>
      <c r="M1008" s="48"/>
      <c r="N1008" s="48"/>
      <c r="O1008" s="48"/>
    </row>
    <row r="1009" spans="3:15" ht="12.75" customHeight="1" x14ac:dyDescent="0.35">
      <c r="C1009" s="48"/>
      <c r="K1009" s="48"/>
      <c r="L1009" s="48"/>
      <c r="M1009" s="48"/>
      <c r="N1009" s="48"/>
      <c r="O1009" s="48"/>
    </row>
    <row r="1010" spans="3:15" ht="12.75" customHeight="1" x14ac:dyDescent="0.35">
      <c r="C1010" s="48"/>
      <c r="K1010" s="48"/>
      <c r="L1010" s="48"/>
      <c r="M1010" s="48"/>
      <c r="N1010" s="48"/>
      <c r="O1010" s="48"/>
    </row>
    <row r="1011" spans="3:15" ht="12.75" customHeight="1" x14ac:dyDescent="0.35">
      <c r="C1011" s="48"/>
      <c r="K1011" s="48"/>
      <c r="L1011" s="48"/>
      <c r="M1011" s="48"/>
      <c r="N1011" s="48"/>
      <c r="O1011" s="48"/>
    </row>
    <row r="1012" spans="3:15" ht="12.75" customHeight="1" x14ac:dyDescent="0.35">
      <c r="C1012" s="48"/>
      <c r="K1012" s="48"/>
      <c r="L1012" s="48"/>
      <c r="M1012" s="48"/>
      <c r="N1012" s="48"/>
      <c r="O1012" s="48"/>
    </row>
    <row r="1013" spans="3:15" ht="12.75" customHeight="1" x14ac:dyDescent="0.35">
      <c r="C1013" s="48"/>
      <c r="K1013" s="48"/>
      <c r="L1013" s="48"/>
      <c r="M1013" s="48"/>
      <c r="N1013" s="48"/>
      <c r="O1013" s="48"/>
    </row>
    <row r="1014" spans="3:15" ht="12.75" customHeight="1" x14ac:dyDescent="0.35">
      <c r="C1014" s="48"/>
      <c r="K1014" s="48"/>
      <c r="L1014" s="48"/>
      <c r="M1014" s="48"/>
      <c r="N1014" s="48"/>
      <c r="O1014" s="48"/>
    </row>
    <row r="1015" spans="3:15" ht="12.75" customHeight="1" x14ac:dyDescent="0.35">
      <c r="C1015" s="48"/>
      <c r="K1015" s="48"/>
      <c r="L1015" s="48"/>
      <c r="M1015" s="48"/>
      <c r="N1015" s="48"/>
      <c r="O1015" s="48"/>
    </row>
    <row r="1016" spans="3:15" ht="12.75" customHeight="1" x14ac:dyDescent="0.35">
      <c r="C1016" s="48"/>
      <c r="K1016" s="48"/>
      <c r="L1016" s="48"/>
      <c r="M1016" s="48"/>
      <c r="N1016" s="48"/>
      <c r="O1016" s="48"/>
    </row>
    <row r="1017" spans="3:15" ht="12.75" customHeight="1" x14ac:dyDescent="0.35">
      <c r="C1017" s="48"/>
      <c r="K1017" s="48"/>
      <c r="L1017" s="48"/>
      <c r="M1017" s="48"/>
      <c r="N1017" s="48"/>
      <c r="O1017" s="48"/>
    </row>
    <row r="1018" spans="3:15" ht="12.75" customHeight="1" x14ac:dyDescent="0.35">
      <c r="C1018" s="48"/>
      <c r="K1018" s="48"/>
      <c r="L1018" s="48"/>
      <c r="M1018" s="48"/>
      <c r="N1018" s="48"/>
      <c r="O1018" s="48"/>
    </row>
    <row r="1019" spans="3:15" ht="12.75" customHeight="1" x14ac:dyDescent="0.35">
      <c r="C1019" s="48"/>
      <c r="K1019" s="48"/>
      <c r="L1019" s="48"/>
      <c r="M1019" s="48"/>
      <c r="N1019" s="48"/>
      <c r="O1019" s="48"/>
    </row>
    <row r="1020" spans="3:15" ht="12.75" customHeight="1" x14ac:dyDescent="0.35">
      <c r="C1020" s="48"/>
      <c r="K1020" s="48"/>
      <c r="L1020" s="48"/>
      <c r="M1020" s="48"/>
      <c r="N1020" s="48"/>
      <c r="O1020" s="48"/>
    </row>
    <row r="1021" spans="3:15" ht="12.75" customHeight="1" x14ac:dyDescent="0.35">
      <c r="C1021" s="48"/>
      <c r="K1021" s="48"/>
      <c r="L1021" s="48"/>
      <c r="M1021" s="48"/>
      <c r="N1021" s="48"/>
      <c r="O1021" s="48"/>
    </row>
    <row r="1022" spans="3:15" ht="12.75" customHeight="1" x14ac:dyDescent="0.35">
      <c r="C1022" s="48"/>
      <c r="K1022" s="48"/>
      <c r="L1022" s="48"/>
      <c r="M1022" s="48"/>
      <c r="N1022" s="48"/>
      <c r="O1022" s="48"/>
    </row>
    <row r="1023" spans="3:15" ht="12.75" customHeight="1" x14ac:dyDescent="0.35">
      <c r="C1023" s="48"/>
      <c r="K1023" s="48"/>
      <c r="L1023" s="48"/>
      <c r="M1023" s="48"/>
      <c r="N1023" s="48"/>
      <c r="O1023" s="48"/>
    </row>
    <row r="1024" spans="3:15" ht="12.75" customHeight="1" x14ac:dyDescent="0.35">
      <c r="C1024" s="48"/>
      <c r="K1024" s="48"/>
      <c r="L1024" s="48"/>
      <c r="M1024" s="48"/>
      <c r="N1024" s="48"/>
      <c r="O1024" s="48"/>
    </row>
    <row r="1025" spans="3:15" ht="12.75" customHeight="1" x14ac:dyDescent="0.35">
      <c r="C1025" s="48"/>
      <c r="K1025" s="48"/>
      <c r="L1025" s="48"/>
      <c r="M1025" s="48"/>
      <c r="N1025" s="48"/>
      <c r="O1025" s="48"/>
    </row>
    <row r="1026" spans="3:15" ht="12.75" customHeight="1" x14ac:dyDescent="0.35">
      <c r="C1026" s="48"/>
      <c r="K1026" s="48"/>
      <c r="L1026" s="48"/>
      <c r="M1026" s="48"/>
      <c r="N1026" s="48"/>
      <c r="O1026" s="48"/>
    </row>
    <row r="1027" spans="3:15" ht="12.75" customHeight="1" x14ac:dyDescent="0.35">
      <c r="C1027" s="48"/>
      <c r="K1027" s="48"/>
      <c r="L1027" s="48"/>
      <c r="M1027" s="48"/>
      <c r="N1027" s="48"/>
      <c r="O1027" s="48"/>
    </row>
    <row r="1028" spans="3:15" ht="12.75" customHeight="1" x14ac:dyDescent="0.35">
      <c r="C1028" s="48"/>
      <c r="K1028" s="48"/>
      <c r="L1028" s="48"/>
      <c r="M1028" s="48"/>
      <c r="N1028" s="48"/>
      <c r="O1028" s="48"/>
    </row>
    <row r="1029" spans="3:15" ht="12.75" customHeight="1" x14ac:dyDescent="0.35">
      <c r="C1029" s="48"/>
      <c r="K1029" s="48"/>
      <c r="L1029" s="48"/>
      <c r="M1029" s="48"/>
      <c r="N1029" s="48"/>
      <c r="O1029" s="48"/>
    </row>
    <row r="1030" spans="3:15" ht="12.75" customHeight="1" x14ac:dyDescent="0.35">
      <c r="C1030" s="48"/>
      <c r="K1030" s="48"/>
      <c r="L1030" s="48"/>
      <c r="M1030" s="48"/>
      <c r="N1030" s="48"/>
      <c r="O1030" s="48"/>
    </row>
    <row r="1031" spans="3:15" ht="12.75" customHeight="1" x14ac:dyDescent="0.35">
      <c r="C1031" s="48"/>
      <c r="K1031" s="48"/>
      <c r="L1031" s="48"/>
      <c r="M1031" s="48"/>
      <c r="N1031" s="48"/>
      <c r="O1031" s="48"/>
    </row>
    <row r="1032" spans="3:15" ht="12.75" customHeight="1" x14ac:dyDescent="0.35">
      <c r="C1032" s="48"/>
      <c r="K1032" s="48"/>
      <c r="L1032" s="48"/>
      <c r="M1032" s="48"/>
      <c r="N1032" s="48"/>
      <c r="O1032" s="48"/>
    </row>
    <row r="1033" spans="3:15" ht="12.75" customHeight="1" x14ac:dyDescent="0.35">
      <c r="C1033" s="48"/>
      <c r="K1033" s="48"/>
      <c r="L1033" s="48"/>
      <c r="M1033" s="48"/>
      <c r="N1033" s="48"/>
      <c r="O1033" s="48"/>
    </row>
    <row r="1034" spans="3:15" ht="12.75" customHeight="1" x14ac:dyDescent="0.35">
      <c r="C1034" s="48"/>
      <c r="K1034" s="48"/>
      <c r="L1034" s="48"/>
      <c r="M1034" s="48"/>
      <c r="N1034" s="48"/>
      <c r="O1034" s="48"/>
    </row>
    <row r="1035" spans="3:15" ht="12.75" customHeight="1" x14ac:dyDescent="0.35">
      <c r="C1035" s="48"/>
      <c r="K1035" s="48"/>
      <c r="L1035" s="48"/>
      <c r="M1035" s="48"/>
      <c r="N1035" s="48"/>
      <c r="O1035" s="48"/>
    </row>
    <row r="1036" spans="3:15" ht="12.75" customHeight="1" x14ac:dyDescent="0.35">
      <c r="C1036" s="48"/>
      <c r="K1036" s="48"/>
      <c r="L1036" s="48"/>
      <c r="M1036" s="48"/>
      <c r="N1036" s="48"/>
      <c r="O1036" s="48"/>
    </row>
    <row r="1037" spans="3:15" ht="12.75" customHeight="1" x14ac:dyDescent="0.35">
      <c r="C1037" s="48"/>
      <c r="K1037" s="48"/>
      <c r="L1037" s="48"/>
      <c r="M1037" s="48"/>
      <c r="N1037" s="48"/>
      <c r="O1037" s="48"/>
    </row>
    <row r="1038" spans="3:15" ht="12.75" customHeight="1" x14ac:dyDescent="0.35">
      <c r="C1038" s="48"/>
      <c r="K1038" s="48"/>
      <c r="L1038" s="48"/>
      <c r="M1038" s="48"/>
      <c r="N1038" s="48"/>
      <c r="O1038" s="48"/>
    </row>
    <row r="1039" spans="3:15" ht="12.75" customHeight="1" x14ac:dyDescent="0.35">
      <c r="C1039" s="48"/>
      <c r="K1039" s="48"/>
      <c r="L1039" s="48"/>
      <c r="M1039" s="48"/>
      <c r="N1039" s="48"/>
      <c r="O1039" s="48"/>
    </row>
    <row r="1040" spans="3:15" ht="12.75" customHeight="1" x14ac:dyDescent="0.35">
      <c r="C1040" s="48"/>
      <c r="K1040" s="48"/>
      <c r="L1040" s="48"/>
      <c r="M1040" s="48"/>
      <c r="N1040" s="48"/>
      <c r="O1040" s="48"/>
    </row>
    <row r="1041" spans="3:15" ht="12.75" customHeight="1" x14ac:dyDescent="0.35">
      <c r="C1041" s="48"/>
      <c r="K1041" s="48"/>
      <c r="L1041" s="48"/>
      <c r="M1041" s="48"/>
      <c r="N1041" s="48"/>
      <c r="O1041" s="48"/>
    </row>
    <row r="1042" spans="3:15" ht="12.75" customHeight="1" x14ac:dyDescent="0.35">
      <c r="C1042" s="48"/>
      <c r="K1042" s="48"/>
      <c r="L1042" s="48"/>
      <c r="M1042" s="48"/>
      <c r="N1042" s="48"/>
      <c r="O1042" s="48"/>
    </row>
    <row r="1043" spans="3:15" ht="12.75" customHeight="1" x14ac:dyDescent="0.35">
      <c r="C1043" s="48"/>
      <c r="K1043" s="48"/>
      <c r="L1043" s="48"/>
      <c r="M1043" s="48"/>
      <c r="N1043" s="48"/>
      <c r="O1043" s="48"/>
    </row>
    <row r="1044" spans="3:15" ht="12.75" customHeight="1" x14ac:dyDescent="0.35">
      <c r="C1044" s="48"/>
      <c r="K1044" s="48"/>
      <c r="L1044" s="48"/>
      <c r="M1044" s="48"/>
      <c r="N1044" s="48"/>
      <c r="O1044" s="48"/>
    </row>
    <row r="1045" spans="3:15" ht="12.75" customHeight="1" x14ac:dyDescent="0.35">
      <c r="C1045" s="48"/>
      <c r="K1045" s="48"/>
      <c r="L1045" s="48"/>
      <c r="M1045" s="48"/>
      <c r="N1045" s="48"/>
      <c r="O1045" s="48"/>
    </row>
    <row r="1046" spans="3:15" ht="12.75" customHeight="1" x14ac:dyDescent="0.35">
      <c r="C1046" s="48"/>
      <c r="K1046" s="48"/>
      <c r="L1046" s="48"/>
      <c r="M1046" s="48"/>
      <c r="N1046" s="48"/>
      <c r="O1046" s="48"/>
    </row>
    <row r="1047" spans="3:15" ht="12.75" customHeight="1" x14ac:dyDescent="0.35">
      <c r="C1047" s="48"/>
      <c r="K1047" s="48"/>
      <c r="L1047" s="48"/>
      <c r="M1047" s="48"/>
      <c r="N1047" s="48"/>
      <c r="O1047" s="48"/>
    </row>
    <row r="1048" spans="3:15" ht="12.75" customHeight="1" x14ac:dyDescent="0.35">
      <c r="C1048" s="48"/>
      <c r="K1048" s="48"/>
      <c r="L1048" s="48"/>
      <c r="M1048" s="48"/>
      <c r="N1048" s="48"/>
      <c r="O1048" s="48"/>
    </row>
    <row r="1049" spans="3:15" ht="12.75" customHeight="1" x14ac:dyDescent="0.35">
      <c r="C1049" s="48"/>
      <c r="K1049" s="48"/>
      <c r="L1049" s="48"/>
      <c r="M1049" s="48"/>
      <c r="N1049" s="48"/>
      <c r="O1049" s="48"/>
    </row>
    <row r="1050" spans="3:15" ht="12.75" customHeight="1" x14ac:dyDescent="0.35">
      <c r="C1050" s="48"/>
      <c r="K1050" s="48"/>
      <c r="L1050" s="48"/>
      <c r="M1050" s="48"/>
      <c r="N1050" s="48"/>
      <c r="O1050" s="48"/>
    </row>
    <row r="1051" spans="3:15" ht="12.75" customHeight="1" x14ac:dyDescent="0.35">
      <c r="C1051" s="48"/>
      <c r="K1051" s="48"/>
      <c r="L1051" s="48"/>
      <c r="M1051" s="48"/>
      <c r="N1051" s="48"/>
      <c r="O1051" s="48"/>
    </row>
    <row r="1052" spans="3:15" ht="12.75" customHeight="1" x14ac:dyDescent="0.35">
      <c r="C1052" s="48"/>
      <c r="K1052" s="48"/>
      <c r="L1052" s="48"/>
      <c r="M1052" s="48"/>
      <c r="N1052" s="48"/>
      <c r="O1052" s="48"/>
    </row>
    <row r="1053" spans="3:15" ht="12.75" customHeight="1" x14ac:dyDescent="0.35">
      <c r="C1053" s="48"/>
      <c r="K1053" s="48"/>
      <c r="L1053" s="48"/>
      <c r="M1053" s="48"/>
      <c r="N1053" s="48"/>
      <c r="O1053" s="48"/>
    </row>
    <row r="1054" spans="3:15" ht="12.75" customHeight="1" x14ac:dyDescent="0.35">
      <c r="C1054" s="48"/>
      <c r="K1054" s="48"/>
      <c r="L1054" s="48"/>
      <c r="M1054" s="48"/>
      <c r="N1054" s="48"/>
      <c r="O1054" s="48"/>
    </row>
    <row r="1055" spans="3:15" ht="12.75" customHeight="1" x14ac:dyDescent="0.35">
      <c r="C1055" s="48"/>
      <c r="K1055" s="48"/>
      <c r="L1055" s="48"/>
      <c r="M1055" s="48"/>
      <c r="N1055" s="48"/>
      <c r="O1055" s="48"/>
    </row>
    <row r="1056" spans="3:15" ht="12.75" customHeight="1" x14ac:dyDescent="0.35">
      <c r="C1056" s="48"/>
      <c r="K1056" s="48"/>
      <c r="L1056" s="48"/>
      <c r="M1056" s="48"/>
      <c r="N1056" s="48"/>
      <c r="O1056" s="48"/>
    </row>
    <row r="1057" spans="3:15" ht="12.75" customHeight="1" x14ac:dyDescent="0.35">
      <c r="C1057" s="48"/>
      <c r="K1057" s="48"/>
      <c r="L1057" s="48"/>
      <c r="M1057" s="48"/>
      <c r="N1057" s="48"/>
      <c r="O1057" s="48"/>
    </row>
    <row r="1058" spans="3:15" ht="12.75" customHeight="1" x14ac:dyDescent="0.35">
      <c r="C1058" s="48"/>
      <c r="K1058" s="48"/>
      <c r="L1058" s="48"/>
      <c r="M1058" s="48"/>
      <c r="N1058" s="48"/>
      <c r="O1058" s="48"/>
    </row>
    <row r="1059" spans="3:15" ht="12.75" customHeight="1" x14ac:dyDescent="0.35">
      <c r="C1059" s="48"/>
      <c r="K1059" s="48"/>
      <c r="L1059" s="48"/>
      <c r="M1059" s="48"/>
      <c r="N1059" s="48"/>
      <c r="O1059" s="48"/>
    </row>
    <row r="1060" spans="3:15" ht="12.75" customHeight="1" x14ac:dyDescent="0.35">
      <c r="C1060" s="48"/>
      <c r="K1060" s="48"/>
      <c r="L1060" s="48"/>
      <c r="M1060" s="48"/>
      <c r="N1060" s="48"/>
      <c r="O1060" s="48"/>
    </row>
    <row r="1061" spans="3:15" ht="12.75" customHeight="1" x14ac:dyDescent="0.35">
      <c r="C1061" s="48"/>
      <c r="K1061" s="48"/>
      <c r="L1061" s="48"/>
      <c r="M1061" s="48"/>
      <c r="N1061" s="48"/>
      <c r="O1061" s="48"/>
    </row>
    <row r="1062" spans="3:15" ht="12.75" customHeight="1" x14ac:dyDescent="0.35">
      <c r="C1062" s="48"/>
      <c r="K1062" s="48"/>
      <c r="L1062" s="48"/>
      <c r="M1062" s="48"/>
      <c r="N1062" s="48"/>
      <c r="O1062" s="48"/>
    </row>
    <row r="1063" spans="3:15" ht="12.75" customHeight="1" x14ac:dyDescent="0.35">
      <c r="C1063" s="48"/>
      <c r="K1063" s="48"/>
      <c r="L1063" s="48"/>
      <c r="M1063" s="48"/>
      <c r="N1063" s="48"/>
      <c r="O1063" s="48"/>
    </row>
    <row r="1064" spans="3:15" ht="12.75" customHeight="1" x14ac:dyDescent="0.35">
      <c r="C1064" s="48"/>
      <c r="K1064" s="48"/>
      <c r="L1064" s="48"/>
      <c r="M1064" s="48"/>
      <c r="N1064" s="48"/>
      <c r="O1064" s="48"/>
    </row>
    <row r="1065" spans="3:15" ht="12.75" customHeight="1" x14ac:dyDescent="0.35">
      <c r="C1065" s="48"/>
      <c r="K1065" s="48"/>
      <c r="L1065" s="48"/>
      <c r="M1065" s="48"/>
      <c r="N1065" s="48"/>
      <c r="O1065" s="48"/>
    </row>
    <row r="1066" spans="3:15" ht="12.75" customHeight="1" x14ac:dyDescent="0.35">
      <c r="C1066" s="48"/>
      <c r="K1066" s="48"/>
      <c r="L1066" s="48"/>
      <c r="M1066" s="48"/>
      <c r="N1066" s="48"/>
      <c r="O1066" s="48"/>
    </row>
    <row r="1067" spans="3:15" ht="12.75" customHeight="1" x14ac:dyDescent="0.35">
      <c r="C1067" s="48"/>
      <c r="K1067" s="48"/>
      <c r="L1067" s="48"/>
      <c r="M1067" s="48"/>
      <c r="N1067" s="48"/>
      <c r="O1067" s="48"/>
    </row>
    <row r="1068" spans="3:15" ht="12.75" customHeight="1" x14ac:dyDescent="0.35">
      <c r="C1068" s="48"/>
      <c r="K1068" s="48"/>
      <c r="L1068" s="48"/>
      <c r="M1068" s="48"/>
      <c r="N1068" s="48"/>
      <c r="O1068" s="48"/>
    </row>
    <row r="1069" spans="3:15" ht="12.75" customHeight="1" x14ac:dyDescent="0.35">
      <c r="C1069" s="48"/>
      <c r="K1069" s="48"/>
      <c r="L1069" s="48"/>
      <c r="M1069" s="48"/>
      <c r="N1069" s="48"/>
      <c r="O1069" s="48"/>
    </row>
    <row r="1070" spans="3:15" ht="12.75" customHeight="1" x14ac:dyDescent="0.35">
      <c r="C1070" s="48"/>
      <c r="K1070" s="48"/>
      <c r="L1070" s="48"/>
      <c r="M1070" s="48"/>
      <c r="N1070" s="48"/>
      <c r="O1070" s="48"/>
    </row>
    <row r="1071" spans="3:15" ht="12.75" customHeight="1" x14ac:dyDescent="0.35">
      <c r="C1071" s="48"/>
      <c r="K1071" s="48"/>
      <c r="L1071" s="48"/>
      <c r="M1071" s="48"/>
      <c r="N1071" s="48"/>
      <c r="O1071" s="48"/>
    </row>
    <row r="1072" spans="3:15" ht="12.75" customHeight="1" x14ac:dyDescent="0.35">
      <c r="C1072" s="48"/>
      <c r="K1072" s="48"/>
      <c r="L1072" s="48"/>
      <c r="M1072" s="48"/>
      <c r="N1072" s="48"/>
      <c r="O1072" s="48"/>
    </row>
    <row r="1073" spans="3:15" ht="12.75" customHeight="1" x14ac:dyDescent="0.35">
      <c r="C1073" s="48"/>
      <c r="K1073" s="48"/>
      <c r="L1073" s="48"/>
      <c r="M1073" s="48"/>
      <c r="N1073" s="48"/>
      <c r="O1073" s="48"/>
    </row>
    <row r="1074" spans="3:15" ht="12.75" customHeight="1" x14ac:dyDescent="0.35">
      <c r="C1074" s="48"/>
      <c r="K1074" s="48"/>
      <c r="L1074" s="48"/>
      <c r="M1074" s="48"/>
      <c r="N1074" s="48"/>
      <c r="O1074" s="48"/>
    </row>
    <row r="1075" spans="3:15" ht="12.75" customHeight="1" x14ac:dyDescent="0.35">
      <c r="C1075" s="48"/>
      <c r="K1075" s="48"/>
      <c r="L1075" s="48"/>
      <c r="M1075" s="48"/>
      <c r="N1075" s="48"/>
      <c r="O1075" s="48"/>
    </row>
  </sheetData>
  <sheetProtection password="C71F" sheet="1" objects="1" scenarios="1"/>
  <autoFilter ref="C2:P334"/>
  <mergeCells count="5">
    <mergeCell ref="A1:A2"/>
    <mergeCell ref="B1:B2"/>
    <mergeCell ref="C1:I1"/>
    <mergeCell ref="Q1:Q2"/>
    <mergeCell ref="L1:N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U777"/>
  <sheetViews>
    <sheetView zoomScale="70" zoomScaleNormal="70" workbookViewId="0">
      <pane xSplit="2" ySplit="2" topLeftCell="C3" activePane="bottomRight" state="frozen"/>
      <selection pane="topRight" activeCell="C1" sqref="C1"/>
      <selection pane="bottomLeft" activeCell="A6" sqref="A6"/>
      <selection pane="bottomRight" activeCell="J7" sqref="J7"/>
    </sheetView>
  </sheetViews>
  <sheetFormatPr defaultColWidth="15.1796875" defaultRowHeight="15" customHeight="1" outlineLevelRow="2" outlineLevelCol="1" x14ac:dyDescent="0.35"/>
  <cols>
    <col min="1" max="1" width="22.453125" style="16" customWidth="1"/>
    <col min="2" max="2" width="8.7265625" style="16" customWidth="1"/>
    <col min="3" max="3" width="12.54296875" style="16" customWidth="1" collapsed="1"/>
    <col min="4" max="9" width="11.26953125" style="16" hidden="1" customWidth="1" outlineLevel="1"/>
    <col min="10" max="10" width="14.453125" style="48" customWidth="1"/>
    <col min="11" max="12" width="15.1796875" style="16" customWidth="1"/>
    <col min="13" max="13" width="32.81640625" style="16" customWidth="1" collapsed="1"/>
    <col min="14" max="20" width="0" style="16" hidden="1" customWidth="1" outlineLevel="1"/>
    <col min="21" max="21" width="15.1796875" style="114"/>
    <col min="22" max="16384" width="15.1796875" style="16"/>
  </cols>
  <sheetData>
    <row r="1" spans="1:21" ht="53.25" customHeight="1" x14ac:dyDescent="0.35">
      <c r="A1" s="161" t="s">
        <v>0</v>
      </c>
      <c r="B1" s="161" t="s">
        <v>1</v>
      </c>
      <c r="C1" s="161" t="s">
        <v>58</v>
      </c>
      <c r="D1" s="161"/>
      <c r="E1" s="161"/>
      <c r="F1" s="161"/>
      <c r="G1" s="161"/>
      <c r="H1" s="161"/>
      <c r="I1" s="161"/>
      <c r="J1" s="14" t="s">
        <v>60</v>
      </c>
      <c r="K1" s="15" t="s">
        <v>61</v>
      </c>
      <c r="L1" s="15" t="s">
        <v>62</v>
      </c>
      <c r="M1" s="15" t="s">
        <v>59</v>
      </c>
      <c r="N1" s="167" t="s">
        <v>2</v>
      </c>
      <c r="O1" s="14">
        <v>2</v>
      </c>
      <c r="P1" s="14">
        <v>5</v>
      </c>
      <c r="Q1" s="14">
        <v>7</v>
      </c>
      <c r="R1" s="14">
        <v>8</v>
      </c>
      <c r="S1" s="14">
        <v>10</v>
      </c>
      <c r="T1" s="14" t="s">
        <v>163</v>
      </c>
    </row>
    <row r="2" spans="1:21" ht="12.75" customHeight="1" x14ac:dyDescent="0.35">
      <c r="A2" s="166"/>
      <c r="B2" s="166"/>
      <c r="C2" s="14" t="s">
        <v>469</v>
      </c>
      <c r="D2" s="14">
        <v>2</v>
      </c>
      <c r="E2" s="14">
        <v>5</v>
      </c>
      <c r="F2" s="14">
        <v>7</v>
      </c>
      <c r="G2" s="14">
        <v>8</v>
      </c>
      <c r="H2" s="14">
        <v>10</v>
      </c>
      <c r="I2" s="14" t="s">
        <v>163</v>
      </c>
      <c r="J2" s="14" t="s">
        <v>3</v>
      </c>
      <c r="K2" s="14" t="s">
        <v>3</v>
      </c>
      <c r="L2" s="14" t="s">
        <v>3</v>
      </c>
      <c r="M2" s="14" t="s">
        <v>3</v>
      </c>
      <c r="N2" s="168"/>
      <c r="O2" s="129">
        <v>450</v>
      </c>
      <c r="P2" s="129">
        <v>290</v>
      </c>
      <c r="Q2" s="129">
        <v>150</v>
      </c>
      <c r="R2" s="129">
        <v>185</v>
      </c>
      <c r="S2" s="129">
        <v>145</v>
      </c>
      <c r="T2" s="129">
        <v>285</v>
      </c>
    </row>
    <row r="3" spans="1:21" ht="69" customHeight="1" x14ac:dyDescent="0.35">
      <c r="A3" s="17" t="s">
        <v>4</v>
      </c>
      <c r="B3" s="18" t="s">
        <v>3</v>
      </c>
      <c r="C3" s="19">
        <f>C4+C10+C14</f>
        <v>6.0508771929824565</v>
      </c>
      <c r="D3" s="20" t="s">
        <v>3</v>
      </c>
      <c r="E3" s="20" t="s">
        <v>3</v>
      </c>
      <c r="F3" s="20" t="s">
        <v>3</v>
      </c>
      <c r="G3" s="20" t="s">
        <v>3</v>
      </c>
      <c r="H3" s="20" t="s">
        <v>3</v>
      </c>
      <c r="I3" s="20" t="s">
        <v>3</v>
      </c>
      <c r="J3" s="20" t="s">
        <v>3</v>
      </c>
      <c r="K3" s="20" t="s">
        <v>3</v>
      </c>
      <c r="L3" s="19">
        <f>L4+L10+L14</f>
        <v>718.99619599999994</v>
      </c>
      <c r="M3" s="20" t="s">
        <v>3</v>
      </c>
      <c r="N3" s="21">
        <f t="shared" ref="N3:N8" si="0">SUM(O3:T3)</f>
        <v>1617483.5397199998</v>
      </c>
      <c r="O3" s="21">
        <f t="shared" ref="O3:T3" si="1">O4+O10+O14</f>
        <v>474122.05673999991</v>
      </c>
      <c r="P3" s="21">
        <f t="shared" si="1"/>
        <v>211173.26871999999</v>
      </c>
      <c r="Q3" s="21">
        <f t="shared" si="1"/>
        <v>356359.34033999994</v>
      </c>
      <c r="R3" s="21">
        <f t="shared" si="1"/>
        <v>202605.01608999999</v>
      </c>
      <c r="S3" s="21">
        <f t="shared" si="1"/>
        <v>168309.93783000001</v>
      </c>
      <c r="T3" s="21">
        <f t="shared" si="1"/>
        <v>204913.91999999998</v>
      </c>
    </row>
    <row r="4" spans="1:21" ht="76.5" customHeight="1" outlineLevel="1" x14ac:dyDescent="0.35">
      <c r="A4" s="22" t="s">
        <v>5</v>
      </c>
      <c r="B4" s="23" t="s">
        <v>3</v>
      </c>
      <c r="C4" s="19">
        <f>SUM(C5:C9)</f>
        <v>5.0877192982456139E-2</v>
      </c>
      <c r="D4" s="20" t="s">
        <v>3</v>
      </c>
      <c r="E4" s="20" t="s">
        <v>3</v>
      </c>
      <c r="F4" s="20" t="s">
        <v>3</v>
      </c>
      <c r="G4" s="20" t="s">
        <v>3</v>
      </c>
      <c r="H4" s="20" t="s">
        <v>3</v>
      </c>
      <c r="I4" s="20" t="s">
        <v>3</v>
      </c>
      <c r="J4" s="20" t="s">
        <v>3</v>
      </c>
      <c r="K4" s="20" t="s">
        <v>3</v>
      </c>
      <c r="L4" s="24">
        <f>SUM(L5:L9)</f>
        <v>568.99619599999994</v>
      </c>
      <c r="M4" s="20" t="s">
        <v>3</v>
      </c>
      <c r="N4" s="21">
        <f t="shared" si="0"/>
        <v>1391733.5397199998</v>
      </c>
      <c r="O4" s="25">
        <f t="shared" ref="O4:T4" si="2">SUM(O5:O9)</f>
        <v>406622.05673999991</v>
      </c>
      <c r="P4" s="25">
        <f t="shared" si="2"/>
        <v>167673.26871999999</v>
      </c>
      <c r="Q4" s="25">
        <f t="shared" si="2"/>
        <v>333859.34033999994</v>
      </c>
      <c r="R4" s="25">
        <f t="shared" si="2"/>
        <v>174855.01608999999</v>
      </c>
      <c r="S4" s="25">
        <f t="shared" si="2"/>
        <v>146559.93783000001</v>
      </c>
      <c r="T4" s="25">
        <f t="shared" si="2"/>
        <v>162163.91999999998</v>
      </c>
    </row>
    <row r="5" spans="1:21" s="32" customFormat="1" ht="25.5" customHeight="1" outlineLevel="2" x14ac:dyDescent="0.35">
      <c r="A5" s="26" t="s">
        <v>509</v>
      </c>
      <c r="B5" s="27" t="s">
        <v>513</v>
      </c>
      <c r="C5" s="28">
        <f>1/T2</f>
        <v>3.5087719298245615E-3</v>
      </c>
      <c r="D5" s="29"/>
      <c r="E5" s="29"/>
      <c r="F5" s="29"/>
      <c r="G5" s="29"/>
      <c r="H5" s="29"/>
      <c r="I5" s="29"/>
      <c r="J5" s="28">
        <v>1</v>
      </c>
      <c r="K5" s="29">
        <f>10551.73/1*1.271</f>
        <v>13411.248829999999</v>
      </c>
      <c r="L5" s="29">
        <f>C5/J5*K5</f>
        <v>47.057013438596485</v>
      </c>
      <c r="M5" s="28"/>
      <c r="N5" s="30">
        <f t="shared" si="0"/>
        <v>165405.41188</v>
      </c>
      <c r="O5" s="31">
        <f>29896.57*1.271</f>
        <v>37998.54047</v>
      </c>
      <c r="P5" s="31">
        <f>10551.73*1.271</f>
        <v>13411.248829999999</v>
      </c>
      <c r="Q5" s="31">
        <f>19344.84*1.271</f>
        <v>24587.291639999999</v>
      </c>
      <c r="R5" s="31">
        <f>29896.57*1.271</f>
        <v>37998.54047</v>
      </c>
      <c r="S5" s="31">
        <f>29896.57*1.271</f>
        <v>37998.54047</v>
      </c>
      <c r="T5" s="31">
        <f>ROUND(L5*$T$2,2)</f>
        <v>13411.25</v>
      </c>
      <c r="U5" s="115"/>
    </row>
    <row r="6" spans="1:21" s="32" customFormat="1" ht="25.5" customHeight="1" outlineLevel="2" x14ac:dyDescent="0.35">
      <c r="A6" s="26" t="s">
        <v>510</v>
      </c>
      <c r="B6" s="27" t="s">
        <v>513</v>
      </c>
      <c r="C6" s="28">
        <f>10.8/T2</f>
        <v>3.7894736842105266E-2</v>
      </c>
      <c r="D6" s="29"/>
      <c r="E6" s="29"/>
      <c r="F6" s="29"/>
      <c r="G6" s="29"/>
      <c r="H6" s="29"/>
      <c r="I6" s="29"/>
      <c r="J6" s="28">
        <v>1</v>
      </c>
      <c r="K6" s="29">
        <f>99312.48/10.8*1.271</f>
        <v>11687.607599999998</v>
      </c>
      <c r="L6" s="29">
        <f>C6/J6*K6</f>
        <v>442.89881431578942</v>
      </c>
      <c r="M6" s="28"/>
      <c r="N6" s="30">
        <f t="shared" si="0"/>
        <v>1025392.77136</v>
      </c>
      <c r="O6" s="31">
        <f>242763.84*1.271</f>
        <v>308552.84063999995</v>
      </c>
      <c r="P6" s="31">
        <f>102990.72*1.271</f>
        <v>130901.20512</v>
      </c>
      <c r="Q6" s="31">
        <f>202303.2*1.271</f>
        <v>257127.36720000001</v>
      </c>
      <c r="R6" s="31">
        <f>90116.88*1.271</f>
        <v>114538.55447999999</v>
      </c>
      <c r="S6" s="31">
        <f>69273.52*1.271</f>
        <v>88046.643920000002</v>
      </c>
      <c r="T6" s="31">
        <f>ROUND(L6*$T$2,2)</f>
        <v>126226.16</v>
      </c>
      <c r="U6" s="115"/>
    </row>
    <row r="7" spans="1:21" s="32" customFormat="1" ht="25.5" customHeight="1" outlineLevel="2" x14ac:dyDescent="0.35">
      <c r="A7" s="26" t="s">
        <v>511</v>
      </c>
      <c r="B7" s="27" t="s">
        <v>513</v>
      </c>
      <c r="C7" s="28">
        <f>1.35/T2</f>
        <v>4.7368421052631582E-3</v>
      </c>
      <c r="D7" s="29"/>
      <c r="E7" s="29"/>
      <c r="F7" s="29"/>
      <c r="G7" s="29"/>
      <c r="H7" s="29"/>
      <c r="I7" s="29"/>
      <c r="J7" s="28">
        <v>1</v>
      </c>
      <c r="K7" s="29">
        <f>8873.71/1.35*1.271</f>
        <v>8354.4336370370347</v>
      </c>
      <c r="L7" s="29">
        <f>C7/J7*K7</f>
        <v>39.573633017543848</v>
      </c>
      <c r="M7" s="28"/>
      <c r="N7" s="30">
        <f t="shared" si="0"/>
        <v>102272.21433</v>
      </c>
      <c r="O7" s="31">
        <f>23663.23*1.271</f>
        <v>30075.965329999995</v>
      </c>
      <c r="P7" s="31">
        <f>9202.37*1.271</f>
        <v>11696.21227</v>
      </c>
      <c r="Q7" s="31">
        <f>20541*1.271</f>
        <v>26107.610999999997</v>
      </c>
      <c r="R7" s="31">
        <f>8791.55*1.271</f>
        <v>11174.060049999998</v>
      </c>
      <c r="S7" s="31">
        <f>9394.08*1.271</f>
        <v>11939.875679999999</v>
      </c>
      <c r="T7" s="31">
        <f>ROUND(L7*$T$2,2)</f>
        <v>11278.49</v>
      </c>
      <c r="U7" s="115"/>
    </row>
    <row r="8" spans="1:21" s="32" customFormat="1" ht="25.5" customHeight="1" outlineLevel="2" x14ac:dyDescent="0.35">
      <c r="A8" s="26" t="s">
        <v>512</v>
      </c>
      <c r="B8" s="27" t="s">
        <v>513</v>
      </c>
      <c r="C8" s="28">
        <f>1.35/T2</f>
        <v>4.7368421052631582E-3</v>
      </c>
      <c r="D8" s="29"/>
      <c r="E8" s="29"/>
      <c r="F8" s="29"/>
      <c r="G8" s="29"/>
      <c r="H8" s="29"/>
      <c r="I8" s="29"/>
      <c r="J8" s="28">
        <v>1</v>
      </c>
      <c r="K8" s="29">
        <f>8849.74/1.35*1.271</f>
        <v>8331.8663259259247</v>
      </c>
      <c r="L8" s="29">
        <f>C8/J8*K8</f>
        <v>39.466735228070171</v>
      </c>
      <c r="M8" s="28"/>
      <c r="N8" s="30">
        <f t="shared" si="0"/>
        <v>98663.14215</v>
      </c>
      <c r="O8" s="31">
        <f>23599.3*1.271</f>
        <v>29994.710299999995</v>
      </c>
      <c r="P8" s="31">
        <f>9177.5*1.271</f>
        <v>11664.602499999999</v>
      </c>
      <c r="Q8" s="31">
        <f>20485.5*1.271</f>
        <v>26037.070499999998</v>
      </c>
      <c r="R8" s="31">
        <f>8767.79*1.271</f>
        <v>11143.86109</v>
      </c>
      <c r="S8" s="31">
        <f>6746.56*1.271</f>
        <v>8574.8777599999994</v>
      </c>
      <c r="T8" s="31">
        <f>ROUND(L8*$T$2,2)</f>
        <v>11248.02</v>
      </c>
      <c r="U8" s="115"/>
    </row>
    <row r="9" spans="1:21" s="32" customFormat="1" ht="24.75" customHeight="1" outlineLevel="2" x14ac:dyDescent="0.35">
      <c r="A9" s="26"/>
      <c r="B9" s="27"/>
      <c r="C9" s="28"/>
      <c r="D9" s="29"/>
      <c r="E9" s="29"/>
      <c r="F9" s="29"/>
      <c r="G9" s="29"/>
      <c r="H9" s="29"/>
      <c r="I9" s="29"/>
      <c r="J9" s="28"/>
      <c r="K9" s="29"/>
      <c r="L9" s="29"/>
      <c r="M9" s="28"/>
      <c r="N9" s="30"/>
      <c r="O9" s="31"/>
      <c r="P9" s="31"/>
      <c r="Q9" s="31"/>
      <c r="R9" s="31"/>
      <c r="S9" s="31"/>
      <c r="T9" s="31"/>
      <c r="U9" s="115"/>
    </row>
    <row r="10" spans="1:21" ht="159.75" customHeight="1" outlineLevel="1" x14ac:dyDescent="0.35">
      <c r="A10" s="22" t="s">
        <v>6</v>
      </c>
      <c r="B10" s="23" t="s">
        <v>3</v>
      </c>
      <c r="C10" s="19">
        <f>SUM(C11:C13)</f>
        <v>6</v>
      </c>
      <c r="D10" s="20" t="s">
        <v>3</v>
      </c>
      <c r="E10" s="20" t="s">
        <v>3</v>
      </c>
      <c r="F10" s="20" t="s">
        <v>3</v>
      </c>
      <c r="G10" s="20" t="s">
        <v>3</v>
      </c>
      <c r="H10" s="20" t="s">
        <v>3</v>
      </c>
      <c r="I10" s="20" t="s">
        <v>3</v>
      </c>
      <c r="J10" s="20" t="s">
        <v>3</v>
      </c>
      <c r="K10" s="20" t="s">
        <v>3</v>
      </c>
      <c r="L10" s="24">
        <f>SUM(L11:L13)</f>
        <v>150</v>
      </c>
      <c r="M10" s="20" t="s">
        <v>3</v>
      </c>
      <c r="N10" s="21">
        <f>SUM(O10:T10)</f>
        <v>225750</v>
      </c>
      <c r="O10" s="25">
        <f t="shared" ref="O10:T10" si="3">SUM(O11:O13)</f>
        <v>67500</v>
      </c>
      <c r="P10" s="25">
        <f t="shared" si="3"/>
        <v>43500</v>
      </c>
      <c r="Q10" s="25">
        <f t="shared" si="3"/>
        <v>22500</v>
      </c>
      <c r="R10" s="25">
        <f t="shared" si="3"/>
        <v>27750</v>
      </c>
      <c r="S10" s="25">
        <f t="shared" si="3"/>
        <v>21750</v>
      </c>
      <c r="T10" s="25">
        <f t="shared" si="3"/>
        <v>42750</v>
      </c>
    </row>
    <row r="11" spans="1:21" s="32" customFormat="1" ht="92.25" customHeight="1" outlineLevel="2" x14ac:dyDescent="0.35">
      <c r="A11" s="26" t="s">
        <v>514</v>
      </c>
      <c r="B11" s="27" t="s">
        <v>531</v>
      </c>
      <c r="C11" s="29">
        <f>1710/285</f>
        <v>6</v>
      </c>
      <c r="D11" s="29" t="s">
        <v>3</v>
      </c>
      <c r="E11" s="29" t="s">
        <v>3</v>
      </c>
      <c r="F11" s="29" t="s">
        <v>3</v>
      </c>
      <c r="G11" s="29" t="s">
        <v>3</v>
      </c>
      <c r="H11" s="29" t="s">
        <v>3</v>
      </c>
      <c r="I11" s="29" t="s">
        <v>3</v>
      </c>
      <c r="J11" s="29">
        <v>1</v>
      </c>
      <c r="K11" s="29">
        <f>42750/1710</f>
        <v>25</v>
      </c>
      <c r="L11" s="29">
        <f>C11/J11*K11</f>
        <v>150</v>
      </c>
      <c r="M11" s="35" t="s">
        <v>515</v>
      </c>
      <c r="N11" s="31">
        <f>SUM(O11:T11)</f>
        <v>225750</v>
      </c>
      <c r="O11" s="31">
        <f t="shared" ref="O11:T11" si="4">$L$11*O2</f>
        <v>67500</v>
      </c>
      <c r="P11" s="31">
        <f t="shared" si="4"/>
        <v>43500</v>
      </c>
      <c r="Q11" s="31">
        <f t="shared" si="4"/>
        <v>22500</v>
      </c>
      <c r="R11" s="31">
        <f t="shared" si="4"/>
        <v>27750</v>
      </c>
      <c r="S11" s="31">
        <f t="shared" si="4"/>
        <v>21750</v>
      </c>
      <c r="T11" s="31">
        <f t="shared" si="4"/>
        <v>42750</v>
      </c>
      <c r="U11" s="115"/>
    </row>
    <row r="12" spans="1:21" s="32" customFormat="1" ht="24.75" customHeight="1" outlineLevel="2" x14ac:dyDescent="0.35">
      <c r="A12" s="26"/>
      <c r="B12" s="27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5"/>
      <c r="N12" s="31"/>
      <c r="O12" s="31"/>
      <c r="P12" s="31"/>
      <c r="Q12" s="31"/>
      <c r="R12" s="31"/>
      <c r="S12" s="31"/>
      <c r="T12" s="31"/>
      <c r="U12" s="115"/>
    </row>
    <row r="13" spans="1:21" s="32" customFormat="1" ht="24.75" customHeight="1" outlineLevel="2" x14ac:dyDescent="0.35">
      <c r="A13" s="26"/>
      <c r="B13" s="27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5"/>
      <c r="N13" s="31"/>
      <c r="O13" s="31"/>
      <c r="P13" s="31"/>
      <c r="Q13" s="31"/>
      <c r="R13" s="31"/>
      <c r="S13" s="31"/>
      <c r="T13" s="31"/>
      <c r="U13" s="115"/>
    </row>
    <row r="14" spans="1:21" ht="52.5" customHeight="1" outlineLevel="1" collapsed="1" x14ac:dyDescent="0.35">
      <c r="A14" s="22" t="s">
        <v>7</v>
      </c>
      <c r="B14" s="23" t="s">
        <v>3</v>
      </c>
      <c r="C14" s="19">
        <f>SUM(C15:C17)</f>
        <v>0</v>
      </c>
      <c r="D14" s="20" t="s">
        <v>3</v>
      </c>
      <c r="E14" s="20" t="s">
        <v>3</v>
      </c>
      <c r="F14" s="20" t="s">
        <v>3</v>
      </c>
      <c r="G14" s="20" t="s">
        <v>3</v>
      </c>
      <c r="H14" s="20" t="s">
        <v>3</v>
      </c>
      <c r="I14" s="20" t="s">
        <v>3</v>
      </c>
      <c r="J14" s="20" t="s">
        <v>3</v>
      </c>
      <c r="K14" s="20" t="s">
        <v>3</v>
      </c>
      <c r="L14" s="24">
        <f>SUM(L15:L17)</f>
        <v>0</v>
      </c>
      <c r="M14" s="20" t="s">
        <v>3</v>
      </c>
      <c r="N14" s="21">
        <f>SUM(O14:T14)</f>
        <v>0</v>
      </c>
      <c r="O14" s="25">
        <f t="shared" ref="O14:T14" si="5">SUM(O15:O17)</f>
        <v>0</v>
      </c>
      <c r="P14" s="25">
        <f t="shared" si="5"/>
        <v>0</v>
      </c>
      <c r="Q14" s="25">
        <f t="shared" si="5"/>
        <v>0</v>
      </c>
      <c r="R14" s="25">
        <f t="shared" si="5"/>
        <v>0</v>
      </c>
      <c r="S14" s="25">
        <f t="shared" si="5"/>
        <v>0</v>
      </c>
      <c r="T14" s="25">
        <f t="shared" si="5"/>
        <v>0</v>
      </c>
      <c r="U14" s="115"/>
    </row>
    <row r="15" spans="1:21" s="32" customFormat="1" ht="24.75" hidden="1" customHeight="1" outlineLevel="2" x14ac:dyDescent="0.35">
      <c r="A15" s="37"/>
      <c r="B15" s="27"/>
      <c r="C15" s="28"/>
      <c r="D15" s="39"/>
      <c r="E15" s="39"/>
      <c r="F15" s="39"/>
      <c r="G15" s="39"/>
      <c r="H15" s="39"/>
      <c r="I15" s="39"/>
      <c r="J15" s="29"/>
      <c r="K15" s="29"/>
      <c r="L15" s="29"/>
      <c r="M15" s="35"/>
      <c r="N15" s="30"/>
      <c r="O15" s="31"/>
      <c r="P15" s="31"/>
      <c r="Q15" s="31"/>
      <c r="R15" s="31"/>
      <c r="S15" s="31"/>
      <c r="T15" s="31"/>
      <c r="U15" s="115"/>
    </row>
    <row r="16" spans="1:21" s="32" customFormat="1" ht="24.75" hidden="1" customHeight="1" outlineLevel="2" x14ac:dyDescent="0.35">
      <c r="A16" s="37"/>
      <c r="B16" s="27"/>
      <c r="C16" s="28"/>
      <c r="D16" s="39"/>
      <c r="E16" s="39"/>
      <c r="F16" s="39"/>
      <c r="G16" s="39"/>
      <c r="H16" s="39"/>
      <c r="I16" s="39"/>
      <c r="J16" s="29"/>
      <c r="K16" s="29"/>
      <c r="L16" s="29"/>
      <c r="M16" s="35"/>
      <c r="N16" s="30"/>
      <c r="O16" s="31"/>
      <c r="P16" s="31"/>
      <c r="Q16" s="31"/>
      <c r="R16" s="31"/>
      <c r="S16" s="31"/>
      <c r="T16" s="31"/>
      <c r="U16" s="115"/>
    </row>
    <row r="17" spans="1:21" s="32" customFormat="1" ht="24.75" hidden="1" customHeight="1" outlineLevel="2" x14ac:dyDescent="0.35">
      <c r="A17" s="37"/>
      <c r="B17" s="27"/>
      <c r="C17" s="28"/>
      <c r="D17" s="39"/>
      <c r="E17" s="39"/>
      <c r="F17" s="39"/>
      <c r="G17" s="39"/>
      <c r="H17" s="39"/>
      <c r="I17" s="39"/>
      <c r="J17" s="29"/>
      <c r="K17" s="29"/>
      <c r="L17" s="29"/>
      <c r="M17" s="35"/>
      <c r="N17" s="30"/>
      <c r="O17" s="31"/>
      <c r="P17" s="31"/>
      <c r="Q17" s="31"/>
      <c r="R17" s="31"/>
      <c r="S17" s="31"/>
      <c r="T17" s="31"/>
      <c r="U17" s="115"/>
    </row>
    <row r="18" spans="1:21" s="41" customFormat="1" ht="54" customHeight="1" collapsed="1" x14ac:dyDescent="0.35">
      <c r="A18" s="17" t="s">
        <v>11</v>
      </c>
      <c r="B18" s="18" t="s">
        <v>3</v>
      </c>
      <c r="C18" s="19">
        <f>C19+C23+C27+C29+C33+C37+C41</f>
        <v>0</v>
      </c>
      <c r="D18" s="20" t="s">
        <v>3</v>
      </c>
      <c r="E18" s="20" t="s">
        <v>3</v>
      </c>
      <c r="F18" s="20" t="s">
        <v>3</v>
      </c>
      <c r="G18" s="20" t="s">
        <v>3</v>
      </c>
      <c r="H18" s="20" t="s">
        <v>3</v>
      </c>
      <c r="I18" s="20" t="s">
        <v>3</v>
      </c>
      <c r="J18" s="20" t="s">
        <v>3</v>
      </c>
      <c r="K18" s="20" t="s">
        <v>3</v>
      </c>
      <c r="L18" s="19">
        <f>L19+L23+L27+L29+L33+L37+L41</f>
        <v>0</v>
      </c>
      <c r="M18" s="20" t="s">
        <v>3</v>
      </c>
      <c r="N18" s="21">
        <f>SUM(O18:T18)</f>
        <v>0</v>
      </c>
      <c r="O18" s="21">
        <f t="shared" ref="O18:T18" si="6">O19+O23+O27+O29+O33+O37+O41</f>
        <v>0</v>
      </c>
      <c r="P18" s="21">
        <f t="shared" si="6"/>
        <v>0</v>
      </c>
      <c r="Q18" s="21">
        <f t="shared" si="6"/>
        <v>0</v>
      </c>
      <c r="R18" s="21">
        <f t="shared" si="6"/>
        <v>0</v>
      </c>
      <c r="S18" s="21">
        <f t="shared" si="6"/>
        <v>0</v>
      </c>
      <c r="T18" s="21">
        <f t="shared" si="6"/>
        <v>0</v>
      </c>
      <c r="U18" s="117"/>
    </row>
    <row r="19" spans="1:21" s="41" customFormat="1" ht="32.25" hidden="1" customHeight="1" outlineLevel="1" collapsed="1" x14ac:dyDescent="0.35">
      <c r="A19" s="22" t="s">
        <v>12</v>
      </c>
      <c r="B19" s="23" t="s">
        <v>3</v>
      </c>
      <c r="C19" s="19">
        <f>SUM(C20:C22)</f>
        <v>0</v>
      </c>
      <c r="D19" s="20" t="s">
        <v>3</v>
      </c>
      <c r="E19" s="20" t="s">
        <v>3</v>
      </c>
      <c r="F19" s="20" t="s">
        <v>3</v>
      </c>
      <c r="G19" s="20" t="s">
        <v>3</v>
      </c>
      <c r="H19" s="20" t="s">
        <v>3</v>
      </c>
      <c r="I19" s="20" t="s">
        <v>3</v>
      </c>
      <c r="J19" s="20" t="s">
        <v>3</v>
      </c>
      <c r="K19" s="20" t="s">
        <v>3</v>
      </c>
      <c r="L19" s="24">
        <f>SUM(L20:L22)</f>
        <v>0</v>
      </c>
      <c r="M19" s="20" t="s">
        <v>3</v>
      </c>
      <c r="N19" s="21">
        <f>SUM(O19:T19)</f>
        <v>0</v>
      </c>
      <c r="O19" s="25">
        <f t="shared" ref="O19:T19" si="7">SUM(O20:O22)</f>
        <v>0</v>
      </c>
      <c r="P19" s="25">
        <f t="shared" si="7"/>
        <v>0</v>
      </c>
      <c r="Q19" s="25">
        <f t="shared" si="7"/>
        <v>0</v>
      </c>
      <c r="R19" s="25">
        <f t="shared" si="7"/>
        <v>0</v>
      </c>
      <c r="S19" s="25">
        <f t="shared" si="7"/>
        <v>0</v>
      </c>
      <c r="T19" s="25">
        <f t="shared" si="7"/>
        <v>0</v>
      </c>
      <c r="U19" s="115"/>
    </row>
    <row r="20" spans="1:21" s="36" customFormat="1" ht="14" hidden="1" outlineLevel="2" x14ac:dyDescent="0.35">
      <c r="A20" s="43"/>
      <c r="B20" s="44"/>
      <c r="C20" s="28"/>
      <c r="D20" s="45"/>
      <c r="E20" s="45"/>
      <c r="F20" s="45"/>
      <c r="G20" s="45"/>
      <c r="H20" s="45"/>
      <c r="I20" s="45"/>
      <c r="J20" s="29"/>
      <c r="K20" s="29"/>
      <c r="L20" s="29"/>
      <c r="M20" s="35"/>
      <c r="N20" s="30"/>
      <c r="O20" s="46"/>
      <c r="P20" s="46"/>
      <c r="Q20" s="46"/>
      <c r="R20" s="46"/>
      <c r="S20" s="46"/>
      <c r="T20" s="46"/>
      <c r="U20" s="116"/>
    </row>
    <row r="21" spans="1:21" s="36" customFormat="1" ht="14" hidden="1" outlineLevel="2" x14ac:dyDescent="0.35">
      <c r="A21" s="43"/>
      <c r="B21" s="44"/>
      <c r="C21" s="28"/>
      <c r="D21" s="45"/>
      <c r="E21" s="45"/>
      <c r="F21" s="45"/>
      <c r="G21" s="45"/>
      <c r="H21" s="45"/>
      <c r="I21" s="45"/>
      <c r="J21" s="29"/>
      <c r="K21" s="29"/>
      <c r="L21" s="29"/>
      <c r="M21" s="35"/>
      <c r="N21" s="30"/>
      <c r="O21" s="46"/>
      <c r="P21" s="46"/>
      <c r="Q21" s="46"/>
      <c r="R21" s="46"/>
      <c r="S21" s="46"/>
      <c r="T21" s="46"/>
      <c r="U21" s="116"/>
    </row>
    <row r="22" spans="1:21" s="36" customFormat="1" ht="14" hidden="1" outlineLevel="2" x14ac:dyDescent="0.35">
      <c r="A22" s="43"/>
      <c r="B22" s="44"/>
      <c r="C22" s="28"/>
      <c r="D22" s="45"/>
      <c r="E22" s="45"/>
      <c r="F22" s="45"/>
      <c r="G22" s="45"/>
      <c r="H22" s="45"/>
      <c r="I22" s="45"/>
      <c r="J22" s="29"/>
      <c r="K22" s="29"/>
      <c r="L22" s="29"/>
      <c r="M22" s="35"/>
      <c r="N22" s="30"/>
      <c r="O22" s="46"/>
      <c r="P22" s="46"/>
      <c r="Q22" s="46"/>
      <c r="R22" s="46"/>
      <c r="S22" s="46"/>
      <c r="T22" s="46"/>
      <c r="U22" s="116"/>
    </row>
    <row r="23" spans="1:21" s="41" customFormat="1" ht="76.5" hidden="1" customHeight="1" outlineLevel="1" collapsed="1" x14ac:dyDescent="0.35">
      <c r="A23" s="22" t="s">
        <v>14</v>
      </c>
      <c r="B23" s="23" t="s">
        <v>3</v>
      </c>
      <c r="C23" s="19">
        <f>SUM(C24:C26)</f>
        <v>0</v>
      </c>
      <c r="D23" s="20" t="s">
        <v>3</v>
      </c>
      <c r="E23" s="20" t="s">
        <v>3</v>
      </c>
      <c r="F23" s="20" t="s">
        <v>3</v>
      </c>
      <c r="G23" s="20" t="s">
        <v>3</v>
      </c>
      <c r="H23" s="20" t="s">
        <v>3</v>
      </c>
      <c r="I23" s="20" t="s">
        <v>3</v>
      </c>
      <c r="J23" s="20" t="s">
        <v>3</v>
      </c>
      <c r="K23" s="20" t="s">
        <v>3</v>
      </c>
      <c r="L23" s="24">
        <f>SUM(L24:L26)</f>
        <v>0</v>
      </c>
      <c r="M23" s="20" t="s">
        <v>3</v>
      </c>
      <c r="N23" s="21">
        <f>SUM(O23:T23)</f>
        <v>0</v>
      </c>
      <c r="O23" s="25">
        <f t="shared" ref="O23:T23" si="8">SUM(O24:O26)</f>
        <v>0</v>
      </c>
      <c r="P23" s="25">
        <f t="shared" si="8"/>
        <v>0</v>
      </c>
      <c r="Q23" s="25">
        <f t="shared" si="8"/>
        <v>0</v>
      </c>
      <c r="R23" s="25">
        <f t="shared" si="8"/>
        <v>0</v>
      </c>
      <c r="S23" s="25">
        <f t="shared" si="8"/>
        <v>0</v>
      </c>
      <c r="T23" s="25">
        <f t="shared" si="8"/>
        <v>0</v>
      </c>
      <c r="U23" s="115"/>
    </row>
    <row r="24" spans="1:21" s="32" customFormat="1" ht="24.75" hidden="1" customHeight="1" outlineLevel="2" x14ac:dyDescent="0.35">
      <c r="A24" s="26"/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35"/>
      <c r="N24" s="30"/>
      <c r="O24" s="31"/>
      <c r="P24" s="31"/>
      <c r="Q24" s="31"/>
      <c r="R24" s="31"/>
      <c r="S24" s="31"/>
      <c r="T24" s="31"/>
      <c r="U24" s="116"/>
    </row>
    <row r="25" spans="1:21" s="32" customFormat="1" ht="24.75" hidden="1" customHeight="1" outlineLevel="2" x14ac:dyDescent="0.35">
      <c r="A25" s="26"/>
      <c r="B25" s="27"/>
      <c r="C25" s="28"/>
      <c r="D25" s="47"/>
      <c r="E25" s="47"/>
      <c r="F25" s="47"/>
      <c r="G25" s="47"/>
      <c r="H25" s="47"/>
      <c r="I25" s="47"/>
      <c r="J25" s="29"/>
      <c r="K25" s="29"/>
      <c r="L25" s="29"/>
      <c r="M25" s="35"/>
      <c r="N25" s="30"/>
      <c r="O25" s="31"/>
      <c r="P25" s="31"/>
      <c r="Q25" s="31"/>
      <c r="R25" s="31"/>
      <c r="S25" s="31"/>
      <c r="T25" s="31"/>
      <c r="U25" s="116"/>
    </row>
    <row r="26" spans="1:21" s="32" customFormat="1" ht="24.75" hidden="1" customHeight="1" outlineLevel="2" x14ac:dyDescent="0.35">
      <c r="A26" s="26"/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35"/>
      <c r="N26" s="30"/>
      <c r="O26" s="31"/>
      <c r="P26" s="31"/>
      <c r="Q26" s="31"/>
      <c r="R26" s="31"/>
      <c r="S26" s="31"/>
      <c r="T26" s="31"/>
      <c r="U26" s="116"/>
    </row>
    <row r="27" spans="1:21" ht="104.25" hidden="1" customHeight="1" outlineLevel="1" collapsed="1" x14ac:dyDescent="0.35">
      <c r="A27" s="22" t="s">
        <v>15</v>
      </c>
      <c r="B27" s="23" t="s">
        <v>3</v>
      </c>
      <c r="C27" s="19">
        <f>SUM(C28:C28)</f>
        <v>0</v>
      </c>
      <c r="D27" s="20" t="s">
        <v>3</v>
      </c>
      <c r="E27" s="20" t="s">
        <v>3</v>
      </c>
      <c r="F27" s="20" t="s">
        <v>3</v>
      </c>
      <c r="G27" s="20" t="s">
        <v>3</v>
      </c>
      <c r="H27" s="20" t="s">
        <v>3</v>
      </c>
      <c r="I27" s="20" t="s">
        <v>3</v>
      </c>
      <c r="J27" s="20" t="s">
        <v>3</v>
      </c>
      <c r="K27" s="20" t="s">
        <v>3</v>
      </c>
      <c r="L27" s="24">
        <f>SUM(L28)</f>
        <v>0</v>
      </c>
      <c r="M27" s="20" t="s">
        <v>3</v>
      </c>
      <c r="N27" s="21">
        <f>SUM(O27:T27)</f>
        <v>0</v>
      </c>
      <c r="O27" s="25">
        <f t="shared" ref="O27:T27" si="9">SUM(O28)</f>
        <v>0</v>
      </c>
      <c r="P27" s="25">
        <f t="shared" si="9"/>
        <v>0</v>
      </c>
      <c r="Q27" s="25">
        <f t="shared" si="9"/>
        <v>0</v>
      </c>
      <c r="R27" s="25">
        <f t="shared" si="9"/>
        <v>0</v>
      </c>
      <c r="S27" s="25">
        <f t="shared" si="9"/>
        <v>0</v>
      </c>
      <c r="T27" s="25">
        <f t="shared" si="9"/>
        <v>0</v>
      </c>
      <c r="U27" s="115"/>
    </row>
    <row r="28" spans="1:21" s="36" customFormat="1" ht="24.75" hidden="1" customHeight="1" outlineLevel="2" x14ac:dyDescent="0.35">
      <c r="A28" s="26"/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35"/>
      <c r="N28" s="30"/>
      <c r="O28" s="31"/>
      <c r="P28" s="31"/>
      <c r="Q28" s="31"/>
      <c r="R28" s="31"/>
      <c r="S28" s="31"/>
      <c r="T28" s="31"/>
      <c r="U28" s="116"/>
    </row>
    <row r="29" spans="1:21" ht="34.5" hidden="1" customHeight="1" outlineLevel="1" collapsed="1" x14ac:dyDescent="0.35">
      <c r="A29" s="22" t="s">
        <v>16</v>
      </c>
      <c r="B29" s="23" t="s">
        <v>3</v>
      </c>
      <c r="C29" s="19">
        <f>SUM(C30:C32)</f>
        <v>0</v>
      </c>
      <c r="D29" s="20" t="s">
        <v>3</v>
      </c>
      <c r="E29" s="20" t="s">
        <v>3</v>
      </c>
      <c r="F29" s="20" t="s">
        <v>3</v>
      </c>
      <c r="G29" s="20" t="s">
        <v>3</v>
      </c>
      <c r="H29" s="20" t="s">
        <v>3</v>
      </c>
      <c r="I29" s="20" t="s">
        <v>3</v>
      </c>
      <c r="J29" s="20" t="s">
        <v>3</v>
      </c>
      <c r="K29" s="20" t="s">
        <v>3</v>
      </c>
      <c r="L29" s="24">
        <f>SUM(L30:L32)</f>
        <v>0</v>
      </c>
      <c r="M29" s="20" t="s">
        <v>3</v>
      </c>
      <c r="N29" s="21">
        <f>SUM(O29:T29)</f>
        <v>0</v>
      </c>
      <c r="O29" s="25">
        <f t="shared" ref="O29:T29" si="10">SUM(O30:O32)</f>
        <v>0</v>
      </c>
      <c r="P29" s="25">
        <f t="shared" si="10"/>
        <v>0</v>
      </c>
      <c r="Q29" s="25">
        <f t="shared" si="10"/>
        <v>0</v>
      </c>
      <c r="R29" s="25">
        <f t="shared" si="10"/>
        <v>0</v>
      </c>
      <c r="S29" s="25">
        <f t="shared" si="10"/>
        <v>0</v>
      </c>
      <c r="T29" s="25">
        <f t="shared" si="10"/>
        <v>0</v>
      </c>
      <c r="U29" s="115"/>
    </row>
    <row r="30" spans="1:21" ht="13.5" hidden="1" customHeight="1" outlineLevel="2" x14ac:dyDescent="0.35">
      <c r="A30" s="37"/>
      <c r="B30" s="27"/>
      <c r="C30" s="28"/>
      <c r="D30" s="39"/>
      <c r="E30" s="39"/>
      <c r="F30" s="39"/>
      <c r="G30" s="39"/>
      <c r="H30" s="39"/>
      <c r="I30" s="39"/>
      <c r="J30" s="29"/>
      <c r="K30" s="29"/>
      <c r="L30" s="29"/>
      <c r="M30" s="35"/>
      <c r="N30" s="30"/>
      <c r="O30" s="31"/>
      <c r="P30" s="31"/>
      <c r="Q30" s="31"/>
      <c r="R30" s="31"/>
      <c r="S30" s="31"/>
      <c r="T30" s="31"/>
      <c r="U30" s="116"/>
    </row>
    <row r="31" spans="1:21" ht="13.5" hidden="1" customHeight="1" outlineLevel="2" x14ac:dyDescent="0.35">
      <c r="A31" s="37"/>
      <c r="B31" s="27"/>
      <c r="C31" s="28"/>
      <c r="D31" s="39"/>
      <c r="E31" s="39"/>
      <c r="F31" s="39"/>
      <c r="G31" s="39"/>
      <c r="H31" s="39"/>
      <c r="I31" s="39"/>
      <c r="J31" s="29"/>
      <c r="K31" s="29"/>
      <c r="L31" s="29"/>
      <c r="M31" s="35"/>
      <c r="N31" s="30"/>
      <c r="O31" s="31"/>
      <c r="P31" s="31"/>
      <c r="Q31" s="31"/>
      <c r="R31" s="31"/>
      <c r="S31" s="31"/>
      <c r="T31" s="31"/>
      <c r="U31" s="116"/>
    </row>
    <row r="32" spans="1:21" ht="13.5" hidden="1" customHeight="1" outlineLevel="2" x14ac:dyDescent="0.35">
      <c r="A32" s="37"/>
      <c r="B32" s="27"/>
      <c r="C32" s="28"/>
      <c r="D32" s="39"/>
      <c r="E32" s="39"/>
      <c r="F32" s="39"/>
      <c r="G32" s="39"/>
      <c r="H32" s="39"/>
      <c r="I32" s="39"/>
      <c r="J32" s="29"/>
      <c r="K32" s="29"/>
      <c r="L32" s="29"/>
      <c r="M32" s="35"/>
      <c r="N32" s="30"/>
      <c r="O32" s="31"/>
      <c r="P32" s="31"/>
      <c r="Q32" s="31"/>
      <c r="R32" s="31"/>
      <c r="S32" s="31"/>
      <c r="T32" s="31"/>
      <c r="U32" s="116"/>
    </row>
    <row r="33" spans="1:21" ht="44.25" hidden="1" customHeight="1" outlineLevel="1" collapsed="1" x14ac:dyDescent="0.35">
      <c r="A33" s="22" t="s">
        <v>17</v>
      </c>
      <c r="B33" s="23" t="s">
        <v>3</v>
      </c>
      <c r="C33" s="19">
        <f>SUM(C34:C36)</f>
        <v>0</v>
      </c>
      <c r="D33" s="20" t="s">
        <v>3</v>
      </c>
      <c r="E33" s="20" t="s">
        <v>3</v>
      </c>
      <c r="F33" s="20" t="s">
        <v>3</v>
      </c>
      <c r="G33" s="20" t="s">
        <v>3</v>
      </c>
      <c r="H33" s="20" t="s">
        <v>3</v>
      </c>
      <c r="I33" s="20" t="s">
        <v>3</v>
      </c>
      <c r="J33" s="20" t="s">
        <v>3</v>
      </c>
      <c r="K33" s="20" t="s">
        <v>3</v>
      </c>
      <c r="L33" s="24">
        <f>SUM(L34:L36)</f>
        <v>0</v>
      </c>
      <c r="M33" s="20" t="s">
        <v>3</v>
      </c>
      <c r="N33" s="21">
        <f>SUM(O33:T33)</f>
        <v>0</v>
      </c>
      <c r="O33" s="25">
        <f t="shared" ref="O33:T33" si="11">SUM(O34:O36)</f>
        <v>0</v>
      </c>
      <c r="P33" s="25">
        <f t="shared" si="11"/>
        <v>0</v>
      </c>
      <c r="Q33" s="25">
        <f t="shared" si="11"/>
        <v>0</v>
      </c>
      <c r="R33" s="25">
        <f t="shared" si="11"/>
        <v>0</v>
      </c>
      <c r="S33" s="25">
        <f t="shared" si="11"/>
        <v>0</v>
      </c>
      <c r="T33" s="25">
        <f t="shared" si="11"/>
        <v>0</v>
      </c>
    </row>
    <row r="34" spans="1:21" s="32" customFormat="1" ht="20.25" hidden="1" customHeight="1" outlineLevel="2" x14ac:dyDescent="0.35">
      <c r="A34" s="26"/>
      <c r="B34" s="27"/>
      <c r="C34" s="28"/>
      <c r="D34" s="29"/>
      <c r="E34" s="29"/>
      <c r="F34" s="29"/>
      <c r="G34" s="29"/>
      <c r="H34" s="29"/>
      <c r="I34" s="29"/>
      <c r="J34" s="29"/>
      <c r="K34" s="29"/>
      <c r="L34" s="29"/>
      <c r="M34" s="35"/>
      <c r="N34" s="30"/>
      <c r="O34" s="31"/>
      <c r="P34" s="31"/>
      <c r="Q34" s="31"/>
      <c r="R34" s="31"/>
      <c r="S34" s="31"/>
      <c r="T34" s="31"/>
      <c r="U34" s="115"/>
    </row>
    <row r="35" spans="1:21" s="32" customFormat="1" ht="20.25" hidden="1" customHeight="1" outlineLevel="2" x14ac:dyDescent="0.35">
      <c r="A35" s="26"/>
      <c r="B35" s="27"/>
      <c r="C35" s="28"/>
      <c r="D35" s="29"/>
      <c r="E35" s="29"/>
      <c r="F35" s="29"/>
      <c r="G35" s="29"/>
      <c r="H35" s="29"/>
      <c r="I35" s="29"/>
      <c r="J35" s="29"/>
      <c r="K35" s="29"/>
      <c r="L35" s="29"/>
      <c r="M35" s="35"/>
      <c r="N35" s="30"/>
      <c r="O35" s="31"/>
      <c r="P35" s="31"/>
      <c r="Q35" s="31"/>
      <c r="R35" s="31"/>
      <c r="S35" s="31"/>
      <c r="T35" s="31"/>
      <c r="U35" s="115"/>
    </row>
    <row r="36" spans="1:21" s="32" customFormat="1" ht="20.25" hidden="1" customHeight="1" outlineLevel="2" x14ac:dyDescent="0.35">
      <c r="A36" s="26"/>
      <c r="B36" s="27"/>
      <c r="C36" s="28"/>
      <c r="D36" s="29"/>
      <c r="E36" s="29"/>
      <c r="F36" s="29"/>
      <c r="G36" s="29"/>
      <c r="H36" s="29"/>
      <c r="I36" s="29"/>
      <c r="J36" s="29"/>
      <c r="K36" s="29"/>
      <c r="L36" s="29"/>
      <c r="M36" s="35"/>
      <c r="N36" s="30"/>
      <c r="O36" s="31"/>
      <c r="P36" s="31"/>
      <c r="Q36" s="31"/>
      <c r="R36" s="31"/>
      <c r="S36" s="31"/>
      <c r="T36" s="31"/>
      <c r="U36" s="115"/>
    </row>
    <row r="37" spans="1:21" ht="111" hidden="1" customHeight="1" outlineLevel="1" collapsed="1" x14ac:dyDescent="0.35">
      <c r="A37" s="22" t="s">
        <v>20</v>
      </c>
      <c r="B37" s="23" t="s">
        <v>3</v>
      </c>
      <c r="C37" s="19">
        <f>SUM(C38:C40)</f>
        <v>0</v>
      </c>
      <c r="D37" s="20" t="s">
        <v>3</v>
      </c>
      <c r="E37" s="20" t="s">
        <v>3</v>
      </c>
      <c r="F37" s="20" t="s">
        <v>3</v>
      </c>
      <c r="G37" s="20" t="s">
        <v>3</v>
      </c>
      <c r="H37" s="20" t="s">
        <v>3</v>
      </c>
      <c r="I37" s="20" t="s">
        <v>3</v>
      </c>
      <c r="J37" s="20" t="s">
        <v>3</v>
      </c>
      <c r="K37" s="20" t="s">
        <v>3</v>
      </c>
      <c r="L37" s="24">
        <f>SUM(L38:L40)</f>
        <v>0</v>
      </c>
      <c r="M37" s="20" t="s">
        <v>3</v>
      </c>
      <c r="N37" s="21">
        <f>SUM(O37:T37)</f>
        <v>0</v>
      </c>
      <c r="O37" s="25">
        <f t="shared" ref="O37:T37" si="12">SUM(O38:O40)</f>
        <v>0</v>
      </c>
      <c r="P37" s="25">
        <f t="shared" si="12"/>
        <v>0</v>
      </c>
      <c r="Q37" s="25">
        <f t="shared" si="12"/>
        <v>0</v>
      </c>
      <c r="R37" s="25">
        <f t="shared" si="12"/>
        <v>0</v>
      </c>
      <c r="S37" s="25">
        <f t="shared" si="12"/>
        <v>0</v>
      </c>
      <c r="T37" s="25">
        <f t="shared" si="12"/>
        <v>0</v>
      </c>
    </row>
    <row r="38" spans="1:21" s="32" customFormat="1" ht="24.75" hidden="1" customHeight="1" outlineLevel="2" x14ac:dyDescent="0.35">
      <c r="A38" s="26"/>
      <c r="B38" s="27"/>
      <c r="C38" s="28"/>
      <c r="D38" s="29"/>
      <c r="E38" s="29"/>
      <c r="F38" s="29"/>
      <c r="G38" s="29"/>
      <c r="H38" s="29"/>
      <c r="I38" s="29"/>
      <c r="J38" s="29"/>
      <c r="K38" s="29"/>
      <c r="L38" s="29"/>
      <c r="M38" s="35"/>
      <c r="N38" s="30"/>
      <c r="O38" s="31"/>
      <c r="P38" s="31"/>
      <c r="Q38" s="31"/>
      <c r="R38" s="31"/>
      <c r="S38" s="31"/>
      <c r="T38" s="31"/>
      <c r="U38" s="115"/>
    </row>
    <row r="39" spans="1:21" s="32" customFormat="1" ht="24.75" hidden="1" customHeight="1" outlineLevel="2" x14ac:dyDescent="0.35">
      <c r="A39" s="26"/>
      <c r="B39" s="27"/>
      <c r="C39" s="28"/>
      <c r="D39" s="29"/>
      <c r="E39" s="29"/>
      <c r="F39" s="29"/>
      <c r="G39" s="29"/>
      <c r="H39" s="29"/>
      <c r="I39" s="29"/>
      <c r="J39" s="29"/>
      <c r="K39" s="29"/>
      <c r="L39" s="29"/>
      <c r="M39" s="35"/>
      <c r="N39" s="30"/>
      <c r="O39" s="31"/>
      <c r="P39" s="31"/>
      <c r="Q39" s="31"/>
      <c r="R39" s="31"/>
      <c r="S39" s="31"/>
      <c r="T39" s="31"/>
      <c r="U39" s="115"/>
    </row>
    <row r="40" spans="1:21" s="32" customFormat="1" ht="24.75" hidden="1" customHeight="1" outlineLevel="2" x14ac:dyDescent="0.35">
      <c r="A40" s="26"/>
      <c r="B40" s="27"/>
      <c r="C40" s="28"/>
      <c r="D40" s="29"/>
      <c r="E40" s="29"/>
      <c r="F40" s="29"/>
      <c r="G40" s="29"/>
      <c r="H40" s="29"/>
      <c r="I40" s="29"/>
      <c r="J40" s="29"/>
      <c r="K40" s="29"/>
      <c r="L40" s="29"/>
      <c r="M40" s="35"/>
      <c r="N40" s="30"/>
      <c r="O40" s="31"/>
      <c r="P40" s="31"/>
      <c r="Q40" s="31"/>
      <c r="R40" s="31"/>
      <c r="S40" s="31"/>
      <c r="T40" s="31"/>
      <c r="U40" s="115"/>
    </row>
    <row r="41" spans="1:21" ht="56.25" hidden="1" customHeight="1" outlineLevel="1" collapsed="1" x14ac:dyDescent="0.35">
      <c r="A41" s="22" t="s">
        <v>23</v>
      </c>
      <c r="B41" s="23" t="s">
        <v>3</v>
      </c>
      <c r="C41" s="19">
        <f>SUM(C42:C44)</f>
        <v>0</v>
      </c>
      <c r="D41" s="20" t="s">
        <v>3</v>
      </c>
      <c r="E41" s="20" t="s">
        <v>3</v>
      </c>
      <c r="F41" s="20" t="s">
        <v>3</v>
      </c>
      <c r="G41" s="20" t="s">
        <v>3</v>
      </c>
      <c r="H41" s="20" t="s">
        <v>3</v>
      </c>
      <c r="I41" s="20" t="s">
        <v>3</v>
      </c>
      <c r="J41" s="20" t="s">
        <v>3</v>
      </c>
      <c r="K41" s="20" t="s">
        <v>3</v>
      </c>
      <c r="L41" s="24">
        <f>SUM(L42:L44)</f>
        <v>0</v>
      </c>
      <c r="M41" s="20" t="s">
        <v>3</v>
      </c>
      <c r="N41" s="21">
        <f>SUM(O41:T41)</f>
        <v>0</v>
      </c>
      <c r="O41" s="25">
        <f t="shared" ref="O41:T41" si="13">SUM(O42:O44)</f>
        <v>0</v>
      </c>
      <c r="P41" s="25">
        <f t="shared" si="13"/>
        <v>0</v>
      </c>
      <c r="Q41" s="25">
        <f t="shared" si="13"/>
        <v>0</v>
      </c>
      <c r="R41" s="25">
        <f t="shared" si="13"/>
        <v>0</v>
      </c>
      <c r="S41" s="25">
        <f t="shared" si="13"/>
        <v>0</v>
      </c>
      <c r="T41" s="25">
        <f t="shared" si="13"/>
        <v>0</v>
      </c>
    </row>
    <row r="42" spans="1:21" s="32" customFormat="1" ht="24.75" hidden="1" customHeight="1" outlineLevel="2" x14ac:dyDescent="0.35">
      <c r="A42" s="26"/>
      <c r="B42" s="27"/>
      <c r="C42" s="28"/>
      <c r="D42" s="29"/>
      <c r="E42" s="29"/>
      <c r="F42" s="29"/>
      <c r="G42" s="29"/>
      <c r="H42" s="29"/>
      <c r="I42" s="29"/>
      <c r="J42" s="29"/>
      <c r="K42" s="29"/>
      <c r="L42" s="29"/>
      <c r="M42" s="35"/>
      <c r="N42" s="30"/>
      <c r="O42" s="31"/>
      <c r="P42" s="31"/>
      <c r="Q42" s="31"/>
      <c r="R42" s="31"/>
      <c r="S42" s="31"/>
      <c r="T42" s="31"/>
      <c r="U42" s="116"/>
    </row>
    <row r="43" spans="1:21" s="36" customFormat="1" ht="24.75" hidden="1" customHeight="1" outlineLevel="2" x14ac:dyDescent="0.35">
      <c r="A43" s="26"/>
      <c r="B43" s="27"/>
      <c r="C43" s="28"/>
      <c r="D43" s="29"/>
      <c r="E43" s="29"/>
      <c r="F43" s="29"/>
      <c r="G43" s="29"/>
      <c r="H43" s="29"/>
      <c r="I43" s="29"/>
      <c r="J43" s="29"/>
      <c r="K43" s="29"/>
      <c r="L43" s="29"/>
      <c r="M43" s="35"/>
      <c r="N43" s="30"/>
      <c r="O43" s="31"/>
      <c r="P43" s="31"/>
      <c r="Q43" s="31"/>
      <c r="R43" s="31"/>
      <c r="S43" s="31"/>
      <c r="T43" s="31"/>
      <c r="U43" s="116"/>
    </row>
    <row r="44" spans="1:21" s="36" customFormat="1" ht="24.75" hidden="1" customHeight="1" outlineLevel="2" x14ac:dyDescent="0.35">
      <c r="A44" s="26"/>
      <c r="B44" s="27"/>
      <c r="C44" s="28"/>
      <c r="D44" s="29"/>
      <c r="E44" s="29"/>
      <c r="F44" s="29"/>
      <c r="G44" s="29"/>
      <c r="H44" s="29"/>
      <c r="I44" s="29"/>
      <c r="J44" s="29"/>
      <c r="K44" s="29"/>
      <c r="L44" s="29"/>
      <c r="M44" s="35"/>
      <c r="N44" s="30"/>
      <c r="O44" s="31"/>
      <c r="P44" s="31"/>
      <c r="Q44" s="31"/>
      <c r="R44" s="31"/>
      <c r="S44" s="31"/>
      <c r="T44" s="31"/>
      <c r="U44" s="116"/>
    </row>
    <row r="45" spans="1:21" ht="26.25" customHeight="1" x14ac:dyDescent="0.35">
      <c r="A45" s="17" t="s">
        <v>25</v>
      </c>
      <c r="B45" s="18" t="s">
        <v>3</v>
      </c>
      <c r="C45" s="19">
        <f>C3+C18</f>
        <v>6.0508771929824565</v>
      </c>
      <c r="D45" s="20" t="s">
        <v>3</v>
      </c>
      <c r="E45" s="20" t="s">
        <v>3</v>
      </c>
      <c r="F45" s="20" t="s">
        <v>3</v>
      </c>
      <c r="G45" s="20" t="s">
        <v>3</v>
      </c>
      <c r="H45" s="20" t="s">
        <v>3</v>
      </c>
      <c r="I45" s="20" t="s">
        <v>3</v>
      </c>
      <c r="J45" s="20" t="s">
        <v>3</v>
      </c>
      <c r="K45" s="20" t="s">
        <v>3</v>
      </c>
      <c r="L45" s="19">
        <f>L3+L18</f>
        <v>718.99619599999994</v>
      </c>
      <c r="M45" s="20" t="s">
        <v>3</v>
      </c>
      <c r="N45" s="21">
        <f>SUM(O45:T45)</f>
        <v>1617483.5397199998</v>
      </c>
      <c r="O45" s="21">
        <f t="shared" ref="O45:T45" si="14">O3+O18</f>
        <v>474122.05673999991</v>
      </c>
      <c r="P45" s="21">
        <f t="shared" si="14"/>
        <v>211173.26871999999</v>
      </c>
      <c r="Q45" s="21">
        <f t="shared" si="14"/>
        <v>356359.34033999994</v>
      </c>
      <c r="R45" s="21">
        <f t="shared" si="14"/>
        <v>202605.01608999999</v>
      </c>
      <c r="S45" s="21">
        <f t="shared" si="14"/>
        <v>168309.93783000001</v>
      </c>
      <c r="T45" s="21">
        <f t="shared" si="14"/>
        <v>204913.91999999998</v>
      </c>
    </row>
    <row r="46" spans="1:21" ht="12.75" customHeight="1" x14ac:dyDescent="0.35">
      <c r="C46" s="48"/>
      <c r="K46" s="48"/>
      <c r="L46" s="49"/>
    </row>
    <row r="47" spans="1:21" s="114" customFormat="1" ht="12.75" customHeight="1" x14ac:dyDescent="0.35">
      <c r="A47" s="16"/>
      <c r="B47" s="16"/>
      <c r="C47" s="48"/>
      <c r="D47" s="16"/>
      <c r="E47" s="16"/>
      <c r="F47" s="16"/>
      <c r="G47" s="16"/>
      <c r="H47" s="16"/>
      <c r="I47" s="16"/>
      <c r="J47" s="48"/>
      <c r="K47" s="48"/>
      <c r="L47" s="48"/>
      <c r="M47" s="16"/>
      <c r="N47" s="16"/>
      <c r="O47" s="16"/>
      <c r="P47" s="16"/>
      <c r="Q47" s="16"/>
      <c r="R47" s="16"/>
      <c r="S47" s="16"/>
      <c r="T47" s="16"/>
    </row>
    <row r="48" spans="1:21" s="114" customFormat="1" ht="12.75" customHeight="1" x14ac:dyDescent="0.35">
      <c r="A48" s="16"/>
      <c r="B48" s="16"/>
      <c r="C48" s="48"/>
      <c r="D48" s="16"/>
      <c r="E48" s="16"/>
      <c r="F48" s="16"/>
      <c r="G48" s="16"/>
      <c r="H48" s="16"/>
      <c r="I48" s="16"/>
      <c r="J48" s="48"/>
      <c r="K48" s="48"/>
      <c r="L48" s="48"/>
      <c r="M48" s="16" t="s">
        <v>157</v>
      </c>
      <c r="N48" s="21">
        <f>SUM(O48:T48)</f>
        <v>1617483.5397199998</v>
      </c>
      <c r="O48" s="92">
        <f t="shared" ref="O48:T48" si="15">O45</f>
        <v>474122.05673999991</v>
      </c>
      <c r="P48" s="92">
        <f t="shared" si="15"/>
        <v>211173.26871999999</v>
      </c>
      <c r="Q48" s="92">
        <f t="shared" si="15"/>
        <v>356359.34033999994</v>
      </c>
      <c r="R48" s="92">
        <f t="shared" si="15"/>
        <v>202605.01608999999</v>
      </c>
      <c r="S48" s="92">
        <f t="shared" si="15"/>
        <v>168309.93783000001</v>
      </c>
      <c r="T48" s="92">
        <f t="shared" si="15"/>
        <v>204913.91999999998</v>
      </c>
    </row>
    <row r="49" spans="3:20" ht="12.75" customHeight="1" x14ac:dyDescent="0.35">
      <c r="C49" s="48"/>
      <c r="K49" s="48"/>
      <c r="L49" s="48"/>
    </row>
    <row r="50" spans="3:20" ht="12.75" customHeight="1" x14ac:dyDescent="0.35">
      <c r="C50" s="48"/>
      <c r="K50" s="48"/>
      <c r="L50" s="48"/>
      <c r="O50" s="114"/>
      <c r="P50" s="114"/>
      <c r="Q50" s="114"/>
      <c r="R50" s="114"/>
      <c r="S50" s="114"/>
      <c r="T50" s="114"/>
    </row>
    <row r="51" spans="3:20" ht="12.75" customHeight="1" x14ac:dyDescent="0.35">
      <c r="C51" s="48"/>
      <c r="K51" s="48"/>
      <c r="L51" s="48"/>
    </row>
    <row r="52" spans="3:20" ht="12.75" customHeight="1" x14ac:dyDescent="0.35">
      <c r="C52" s="48"/>
      <c r="K52" s="48"/>
      <c r="L52" s="48"/>
    </row>
    <row r="53" spans="3:20" ht="12.75" customHeight="1" x14ac:dyDescent="0.35">
      <c r="C53" s="48"/>
      <c r="K53" s="48"/>
      <c r="L53" s="48"/>
    </row>
    <row r="54" spans="3:20" ht="12.75" customHeight="1" x14ac:dyDescent="0.35">
      <c r="C54" s="48"/>
      <c r="K54" s="48"/>
      <c r="L54" s="48"/>
    </row>
    <row r="55" spans="3:20" ht="12.75" customHeight="1" x14ac:dyDescent="0.35">
      <c r="C55" s="48"/>
      <c r="K55" s="48"/>
      <c r="L55" s="48"/>
    </row>
    <row r="56" spans="3:20" ht="12.75" customHeight="1" x14ac:dyDescent="0.35">
      <c r="C56" s="48"/>
      <c r="K56" s="48"/>
      <c r="L56" s="48"/>
    </row>
    <row r="57" spans="3:20" ht="12.75" customHeight="1" x14ac:dyDescent="0.35">
      <c r="C57" s="48"/>
      <c r="K57" s="48"/>
      <c r="L57" s="48"/>
    </row>
    <row r="58" spans="3:20" ht="12.75" customHeight="1" x14ac:dyDescent="0.35">
      <c r="C58" s="48"/>
      <c r="K58" s="48"/>
      <c r="L58" s="48"/>
    </row>
    <row r="59" spans="3:20" ht="12.75" customHeight="1" x14ac:dyDescent="0.35">
      <c r="C59" s="48"/>
      <c r="K59" s="48"/>
      <c r="L59" s="48"/>
    </row>
    <row r="60" spans="3:20" ht="12.75" customHeight="1" x14ac:dyDescent="0.35">
      <c r="C60" s="48"/>
      <c r="K60" s="48"/>
      <c r="L60" s="48"/>
    </row>
    <row r="61" spans="3:20" ht="12.75" customHeight="1" x14ac:dyDescent="0.35">
      <c r="C61" s="48"/>
      <c r="K61" s="48"/>
      <c r="L61" s="48"/>
    </row>
    <row r="62" spans="3:20" ht="12.75" customHeight="1" x14ac:dyDescent="0.35">
      <c r="C62" s="48"/>
      <c r="K62" s="48"/>
      <c r="L62" s="48"/>
    </row>
    <row r="63" spans="3:20" ht="12.75" customHeight="1" x14ac:dyDescent="0.35">
      <c r="C63" s="48"/>
      <c r="K63" s="48"/>
      <c r="L63" s="48"/>
    </row>
    <row r="64" spans="3:20" ht="12.75" customHeight="1" x14ac:dyDescent="0.35">
      <c r="C64" s="48"/>
      <c r="K64" s="48"/>
      <c r="L64" s="48"/>
    </row>
    <row r="65" spans="3:12" ht="12.75" customHeight="1" x14ac:dyDescent="0.35">
      <c r="C65" s="48"/>
      <c r="K65" s="48"/>
      <c r="L65" s="48"/>
    </row>
    <row r="66" spans="3:12" ht="12.75" customHeight="1" x14ac:dyDescent="0.35">
      <c r="C66" s="48"/>
      <c r="K66" s="48"/>
      <c r="L66" s="48"/>
    </row>
    <row r="67" spans="3:12" ht="12.75" customHeight="1" x14ac:dyDescent="0.35">
      <c r="C67" s="48"/>
      <c r="K67" s="48"/>
      <c r="L67" s="48"/>
    </row>
    <row r="68" spans="3:12" ht="12.75" customHeight="1" x14ac:dyDescent="0.35">
      <c r="C68" s="48"/>
      <c r="K68" s="48"/>
      <c r="L68" s="48"/>
    </row>
    <row r="69" spans="3:12" ht="12.75" customHeight="1" x14ac:dyDescent="0.35">
      <c r="C69" s="48"/>
      <c r="K69" s="48"/>
      <c r="L69" s="48"/>
    </row>
    <row r="70" spans="3:12" ht="12.75" customHeight="1" x14ac:dyDescent="0.35">
      <c r="C70" s="48"/>
      <c r="K70" s="48"/>
      <c r="L70" s="48"/>
    </row>
    <row r="71" spans="3:12" ht="12.75" customHeight="1" x14ac:dyDescent="0.35">
      <c r="C71" s="48"/>
      <c r="K71" s="48"/>
      <c r="L71" s="48"/>
    </row>
    <row r="72" spans="3:12" ht="12.75" customHeight="1" x14ac:dyDescent="0.35">
      <c r="C72" s="48"/>
      <c r="K72" s="48"/>
      <c r="L72" s="48"/>
    </row>
    <row r="73" spans="3:12" ht="12.75" customHeight="1" x14ac:dyDescent="0.35">
      <c r="C73" s="48"/>
      <c r="K73" s="48"/>
      <c r="L73" s="48"/>
    </row>
    <row r="74" spans="3:12" ht="12.75" customHeight="1" x14ac:dyDescent="0.35">
      <c r="C74" s="48"/>
      <c r="K74" s="48"/>
      <c r="L74" s="48"/>
    </row>
    <row r="75" spans="3:12" ht="12.75" customHeight="1" x14ac:dyDescent="0.35">
      <c r="C75" s="48"/>
      <c r="K75" s="48"/>
      <c r="L75" s="48"/>
    </row>
    <row r="76" spans="3:12" ht="12.75" customHeight="1" x14ac:dyDescent="0.35">
      <c r="C76" s="48"/>
      <c r="K76" s="48"/>
      <c r="L76" s="48"/>
    </row>
    <row r="77" spans="3:12" ht="12.75" customHeight="1" x14ac:dyDescent="0.35">
      <c r="C77" s="48"/>
      <c r="K77" s="48"/>
      <c r="L77" s="48"/>
    </row>
    <row r="78" spans="3:12" ht="12.75" customHeight="1" x14ac:dyDescent="0.35">
      <c r="C78" s="48"/>
      <c r="K78" s="48"/>
      <c r="L78" s="48"/>
    </row>
    <row r="79" spans="3:12" ht="12.75" customHeight="1" x14ac:dyDescent="0.35">
      <c r="C79" s="48"/>
      <c r="K79" s="48"/>
      <c r="L79" s="48"/>
    </row>
    <row r="80" spans="3:12" ht="12.75" customHeight="1" x14ac:dyDescent="0.35">
      <c r="C80" s="48"/>
      <c r="K80" s="48"/>
      <c r="L80" s="48"/>
    </row>
    <row r="81" spans="3:12" ht="12.75" customHeight="1" x14ac:dyDescent="0.35">
      <c r="C81" s="48"/>
      <c r="K81" s="48"/>
      <c r="L81" s="48"/>
    </row>
    <row r="82" spans="3:12" ht="12.75" customHeight="1" x14ac:dyDescent="0.35">
      <c r="C82" s="48"/>
      <c r="K82" s="48"/>
      <c r="L82" s="48"/>
    </row>
    <row r="83" spans="3:12" ht="12.75" customHeight="1" x14ac:dyDescent="0.35">
      <c r="C83" s="48"/>
      <c r="K83" s="48"/>
      <c r="L83" s="48"/>
    </row>
    <row r="84" spans="3:12" ht="12.75" customHeight="1" x14ac:dyDescent="0.35">
      <c r="C84" s="48"/>
      <c r="K84" s="48"/>
      <c r="L84" s="48"/>
    </row>
    <row r="85" spans="3:12" ht="12.75" customHeight="1" x14ac:dyDescent="0.35">
      <c r="C85" s="48"/>
      <c r="K85" s="48"/>
      <c r="L85" s="48"/>
    </row>
    <row r="86" spans="3:12" ht="12.75" customHeight="1" x14ac:dyDescent="0.35">
      <c r="C86" s="48"/>
      <c r="K86" s="48"/>
      <c r="L86" s="48"/>
    </row>
    <row r="87" spans="3:12" ht="12.75" customHeight="1" x14ac:dyDescent="0.35">
      <c r="C87" s="48"/>
      <c r="K87" s="48"/>
      <c r="L87" s="48"/>
    </row>
    <row r="88" spans="3:12" ht="12.75" customHeight="1" x14ac:dyDescent="0.35">
      <c r="C88" s="48"/>
      <c r="K88" s="48"/>
      <c r="L88" s="48"/>
    </row>
    <row r="89" spans="3:12" ht="12.75" customHeight="1" x14ac:dyDescent="0.35">
      <c r="C89" s="48"/>
      <c r="K89" s="48"/>
      <c r="L89" s="48"/>
    </row>
    <row r="90" spans="3:12" ht="12.75" customHeight="1" x14ac:dyDescent="0.35">
      <c r="C90" s="48"/>
      <c r="K90" s="48"/>
      <c r="L90" s="48"/>
    </row>
    <row r="91" spans="3:12" ht="12.75" customHeight="1" x14ac:dyDescent="0.35">
      <c r="C91" s="48"/>
      <c r="K91" s="48"/>
      <c r="L91" s="48"/>
    </row>
    <row r="92" spans="3:12" ht="12.75" customHeight="1" x14ac:dyDescent="0.35">
      <c r="C92" s="48"/>
      <c r="K92" s="48"/>
      <c r="L92" s="48"/>
    </row>
    <row r="93" spans="3:12" ht="12.75" customHeight="1" x14ac:dyDescent="0.35">
      <c r="C93" s="48"/>
      <c r="K93" s="48"/>
      <c r="L93" s="48"/>
    </row>
    <row r="94" spans="3:12" ht="12.75" customHeight="1" x14ac:dyDescent="0.35">
      <c r="C94" s="48"/>
      <c r="K94" s="48"/>
      <c r="L94" s="48"/>
    </row>
    <row r="95" spans="3:12" ht="12.75" customHeight="1" x14ac:dyDescent="0.35">
      <c r="C95" s="48"/>
      <c r="K95" s="48"/>
      <c r="L95" s="48"/>
    </row>
    <row r="96" spans="3:12" ht="12.75" customHeight="1" x14ac:dyDescent="0.35">
      <c r="C96" s="48"/>
      <c r="K96" s="48"/>
      <c r="L96" s="48"/>
    </row>
    <row r="97" spans="3:12" ht="12.75" customHeight="1" x14ac:dyDescent="0.35">
      <c r="C97" s="48"/>
      <c r="K97" s="48"/>
      <c r="L97" s="48"/>
    </row>
    <row r="98" spans="3:12" ht="12.75" customHeight="1" x14ac:dyDescent="0.35">
      <c r="C98" s="48"/>
      <c r="K98" s="48"/>
      <c r="L98" s="48"/>
    </row>
    <row r="99" spans="3:12" ht="12.75" customHeight="1" x14ac:dyDescent="0.35">
      <c r="C99" s="48"/>
      <c r="K99" s="48"/>
      <c r="L99" s="48"/>
    </row>
    <row r="100" spans="3:12" ht="12.75" customHeight="1" x14ac:dyDescent="0.35">
      <c r="C100" s="48"/>
      <c r="K100" s="48"/>
      <c r="L100" s="48"/>
    </row>
    <row r="101" spans="3:12" ht="12.75" customHeight="1" x14ac:dyDescent="0.35">
      <c r="C101" s="48"/>
      <c r="K101" s="48"/>
      <c r="L101" s="48"/>
    </row>
    <row r="102" spans="3:12" ht="12.75" customHeight="1" x14ac:dyDescent="0.35">
      <c r="C102" s="48"/>
      <c r="K102" s="48"/>
      <c r="L102" s="48"/>
    </row>
    <row r="103" spans="3:12" ht="12.75" customHeight="1" x14ac:dyDescent="0.35">
      <c r="C103" s="48"/>
      <c r="K103" s="48"/>
      <c r="L103" s="48"/>
    </row>
    <row r="104" spans="3:12" ht="12.75" customHeight="1" x14ac:dyDescent="0.35">
      <c r="C104" s="48"/>
      <c r="K104" s="48"/>
      <c r="L104" s="48"/>
    </row>
    <row r="105" spans="3:12" ht="12.75" customHeight="1" x14ac:dyDescent="0.35">
      <c r="C105" s="48"/>
      <c r="K105" s="48"/>
      <c r="L105" s="48"/>
    </row>
    <row r="106" spans="3:12" ht="12.75" customHeight="1" x14ac:dyDescent="0.35">
      <c r="C106" s="48"/>
      <c r="K106" s="48"/>
      <c r="L106" s="48"/>
    </row>
    <row r="107" spans="3:12" ht="12.75" customHeight="1" x14ac:dyDescent="0.35">
      <c r="C107" s="48"/>
      <c r="K107" s="48"/>
      <c r="L107" s="48"/>
    </row>
    <row r="108" spans="3:12" ht="12.75" customHeight="1" x14ac:dyDescent="0.35">
      <c r="C108" s="48"/>
      <c r="K108" s="48"/>
      <c r="L108" s="48"/>
    </row>
    <row r="109" spans="3:12" ht="12.75" customHeight="1" x14ac:dyDescent="0.35">
      <c r="C109" s="48"/>
      <c r="K109" s="48"/>
      <c r="L109" s="48"/>
    </row>
    <row r="110" spans="3:12" ht="12.75" customHeight="1" x14ac:dyDescent="0.35">
      <c r="C110" s="48"/>
      <c r="K110" s="48"/>
      <c r="L110" s="48"/>
    </row>
    <row r="111" spans="3:12" ht="12.75" customHeight="1" x14ac:dyDescent="0.35">
      <c r="C111" s="48"/>
      <c r="K111" s="48"/>
      <c r="L111" s="48"/>
    </row>
    <row r="112" spans="3:12" ht="12.75" customHeight="1" x14ac:dyDescent="0.35">
      <c r="C112" s="48"/>
      <c r="K112" s="48"/>
      <c r="L112" s="48"/>
    </row>
    <row r="113" spans="3:12" ht="12.75" customHeight="1" x14ac:dyDescent="0.35">
      <c r="C113" s="48"/>
      <c r="K113" s="48"/>
      <c r="L113" s="48"/>
    </row>
    <row r="114" spans="3:12" ht="12.75" customHeight="1" x14ac:dyDescent="0.35">
      <c r="C114" s="48"/>
      <c r="K114" s="48"/>
      <c r="L114" s="48"/>
    </row>
    <row r="115" spans="3:12" ht="12.75" customHeight="1" x14ac:dyDescent="0.35">
      <c r="C115" s="48"/>
      <c r="K115" s="48"/>
      <c r="L115" s="48"/>
    </row>
    <row r="116" spans="3:12" ht="12.75" customHeight="1" x14ac:dyDescent="0.35">
      <c r="C116" s="48"/>
      <c r="K116" s="48"/>
      <c r="L116" s="48"/>
    </row>
    <row r="117" spans="3:12" ht="12.75" customHeight="1" x14ac:dyDescent="0.35">
      <c r="C117" s="48"/>
      <c r="K117" s="48"/>
      <c r="L117" s="48"/>
    </row>
    <row r="118" spans="3:12" ht="12.75" customHeight="1" x14ac:dyDescent="0.35">
      <c r="C118" s="48"/>
      <c r="K118" s="48"/>
      <c r="L118" s="48"/>
    </row>
    <row r="119" spans="3:12" ht="12.75" customHeight="1" x14ac:dyDescent="0.35">
      <c r="C119" s="48"/>
      <c r="K119" s="48"/>
      <c r="L119" s="48"/>
    </row>
    <row r="120" spans="3:12" ht="12.75" customHeight="1" x14ac:dyDescent="0.35">
      <c r="C120" s="48"/>
      <c r="K120" s="48"/>
      <c r="L120" s="48"/>
    </row>
    <row r="121" spans="3:12" ht="12.75" customHeight="1" x14ac:dyDescent="0.35">
      <c r="C121" s="48"/>
      <c r="K121" s="48"/>
      <c r="L121" s="48"/>
    </row>
    <row r="122" spans="3:12" ht="12.75" customHeight="1" x14ac:dyDescent="0.35">
      <c r="C122" s="48"/>
      <c r="K122" s="48"/>
      <c r="L122" s="48"/>
    </row>
    <row r="123" spans="3:12" ht="12.75" customHeight="1" x14ac:dyDescent="0.35">
      <c r="C123" s="48"/>
      <c r="K123" s="48"/>
      <c r="L123" s="48"/>
    </row>
    <row r="124" spans="3:12" ht="12.75" customHeight="1" x14ac:dyDescent="0.35">
      <c r="C124" s="48"/>
      <c r="K124" s="48"/>
      <c r="L124" s="48"/>
    </row>
    <row r="125" spans="3:12" ht="12.75" customHeight="1" x14ac:dyDescent="0.35">
      <c r="C125" s="48"/>
      <c r="K125" s="48"/>
      <c r="L125" s="48"/>
    </row>
    <row r="126" spans="3:12" ht="12.75" customHeight="1" x14ac:dyDescent="0.35">
      <c r="C126" s="48"/>
      <c r="K126" s="48"/>
      <c r="L126" s="48"/>
    </row>
    <row r="127" spans="3:12" ht="12.75" customHeight="1" x14ac:dyDescent="0.35">
      <c r="C127" s="48"/>
      <c r="K127" s="48"/>
      <c r="L127" s="48"/>
    </row>
    <row r="128" spans="3:12" ht="12.75" customHeight="1" x14ac:dyDescent="0.35">
      <c r="C128" s="48"/>
      <c r="K128" s="48"/>
      <c r="L128" s="48"/>
    </row>
    <row r="129" spans="3:12" ht="12.75" customHeight="1" x14ac:dyDescent="0.35">
      <c r="C129" s="48"/>
      <c r="K129" s="48"/>
      <c r="L129" s="48"/>
    </row>
    <row r="130" spans="3:12" ht="12.75" customHeight="1" x14ac:dyDescent="0.35">
      <c r="C130" s="48"/>
      <c r="K130" s="48"/>
      <c r="L130" s="48"/>
    </row>
    <row r="131" spans="3:12" ht="12.75" customHeight="1" x14ac:dyDescent="0.35">
      <c r="C131" s="48"/>
      <c r="K131" s="48"/>
      <c r="L131" s="48"/>
    </row>
    <row r="132" spans="3:12" ht="12.75" customHeight="1" x14ac:dyDescent="0.35">
      <c r="C132" s="48"/>
      <c r="K132" s="48"/>
      <c r="L132" s="48"/>
    </row>
    <row r="133" spans="3:12" ht="12.75" customHeight="1" x14ac:dyDescent="0.35">
      <c r="C133" s="48"/>
      <c r="K133" s="48"/>
      <c r="L133" s="48"/>
    </row>
    <row r="134" spans="3:12" ht="12.75" customHeight="1" x14ac:dyDescent="0.35">
      <c r="C134" s="48"/>
      <c r="K134" s="48"/>
      <c r="L134" s="48"/>
    </row>
    <row r="135" spans="3:12" ht="12.75" customHeight="1" x14ac:dyDescent="0.35">
      <c r="C135" s="48"/>
      <c r="K135" s="48"/>
      <c r="L135" s="48"/>
    </row>
    <row r="136" spans="3:12" ht="12.75" customHeight="1" x14ac:dyDescent="0.35">
      <c r="C136" s="48"/>
      <c r="K136" s="48"/>
      <c r="L136" s="48"/>
    </row>
    <row r="137" spans="3:12" ht="12.75" customHeight="1" x14ac:dyDescent="0.35">
      <c r="C137" s="48"/>
      <c r="K137" s="48"/>
      <c r="L137" s="48"/>
    </row>
    <row r="138" spans="3:12" ht="12.75" customHeight="1" x14ac:dyDescent="0.35">
      <c r="C138" s="48"/>
      <c r="K138" s="48"/>
      <c r="L138" s="48"/>
    </row>
    <row r="139" spans="3:12" ht="12.75" customHeight="1" x14ac:dyDescent="0.35">
      <c r="C139" s="48"/>
      <c r="K139" s="48"/>
      <c r="L139" s="48"/>
    </row>
    <row r="140" spans="3:12" ht="12.75" customHeight="1" x14ac:dyDescent="0.35">
      <c r="C140" s="48"/>
      <c r="K140" s="48"/>
      <c r="L140" s="48"/>
    </row>
    <row r="141" spans="3:12" ht="12.75" customHeight="1" x14ac:dyDescent="0.35">
      <c r="C141" s="48"/>
      <c r="K141" s="48"/>
      <c r="L141" s="48"/>
    </row>
    <row r="142" spans="3:12" ht="12.75" customHeight="1" x14ac:dyDescent="0.35">
      <c r="C142" s="48"/>
      <c r="K142" s="48"/>
      <c r="L142" s="48"/>
    </row>
    <row r="143" spans="3:12" ht="12.75" customHeight="1" x14ac:dyDescent="0.35">
      <c r="C143" s="48"/>
      <c r="K143" s="48"/>
      <c r="L143" s="48"/>
    </row>
    <row r="144" spans="3:12" ht="12.75" customHeight="1" x14ac:dyDescent="0.35">
      <c r="C144" s="48"/>
      <c r="K144" s="48"/>
      <c r="L144" s="48"/>
    </row>
    <row r="145" spans="3:12" ht="12.75" customHeight="1" x14ac:dyDescent="0.35">
      <c r="C145" s="48"/>
      <c r="K145" s="48"/>
      <c r="L145" s="48"/>
    </row>
    <row r="146" spans="3:12" ht="12.75" customHeight="1" x14ac:dyDescent="0.35">
      <c r="C146" s="48"/>
      <c r="K146" s="48"/>
      <c r="L146" s="48"/>
    </row>
    <row r="147" spans="3:12" ht="12.75" customHeight="1" x14ac:dyDescent="0.35">
      <c r="C147" s="48"/>
      <c r="K147" s="48"/>
      <c r="L147" s="48"/>
    </row>
    <row r="148" spans="3:12" ht="12.75" customHeight="1" x14ac:dyDescent="0.35">
      <c r="C148" s="48"/>
      <c r="K148" s="48"/>
      <c r="L148" s="48"/>
    </row>
    <row r="149" spans="3:12" ht="12.75" customHeight="1" x14ac:dyDescent="0.35">
      <c r="C149" s="48"/>
      <c r="K149" s="48"/>
      <c r="L149" s="48"/>
    </row>
    <row r="150" spans="3:12" ht="12.75" customHeight="1" x14ac:dyDescent="0.35">
      <c r="C150" s="48"/>
      <c r="K150" s="48"/>
      <c r="L150" s="48"/>
    </row>
    <row r="151" spans="3:12" ht="12.75" customHeight="1" x14ac:dyDescent="0.35">
      <c r="C151" s="48"/>
      <c r="K151" s="48"/>
      <c r="L151" s="48"/>
    </row>
    <row r="152" spans="3:12" ht="12.75" customHeight="1" x14ac:dyDescent="0.35">
      <c r="C152" s="48"/>
      <c r="K152" s="48"/>
      <c r="L152" s="48"/>
    </row>
    <row r="153" spans="3:12" ht="12.75" customHeight="1" x14ac:dyDescent="0.35">
      <c r="C153" s="48"/>
      <c r="K153" s="48"/>
      <c r="L153" s="48"/>
    </row>
    <row r="154" spans="3:12" ht="12.75" customHeight="1" x14ac:dyDescent="0.35">
      <c r="C154" s="48"/>
      <c r="K154" s="48"/>
      <c r="L154" s="48"/>
    </row>
    <row r="155" spans="3:12" ht="12.75" customHeight="1" x14ac:dyDescent="0.35">
      <c r="C155" s="48"/>
      <c r="K155" s="48"/>
      <c r="L155" s="48"/>
    </row>
    <row r="156" spans="3:12" ht="12.75" customHeight="1" x14ac:dyDescent="0.35">
      <c r="C156" s="48"/>
      <c r="K156" s="48"/>
      <c r="L156" s="48"/>
    </row>
    <row r="157" spans="3:12" ht="12.75" customHeight="1" x14ac:dyDescent="0.35">
      <c r="C157" s="48"/>
      <c r="K157" s="48"/>
      <c r="L157" s="48"/>
    </row>
    <row r="158" spans="3:12" ht="12.75" customHeight="1" x14ac:dyDescent="0.35">
      <c r="C158" s="48"/>
      <c r="K158" s="48"/>
      <c r="L158" s="48"/>
    </row>
    <row r="159" spans="3:12" ht="12.75" customHeight="1" x14ac:dyDescent="0.35">
      <c r="C159" s="48"/>
      <c r="K159" s="48"/>
      <c r="L159" s="48"/>
    </row>
    <row r="160" spans="3:12" ht="12.75" customHeight="1" x14ac:dyDescent="0.35">
      <c r="C160" s="48"/>
      <c r="K160" s="48"/>
      <c r="L160" s="48"/>
    </row>
    <row r="161" spans="3:12" ht="12.75" customHeight="1" x14ac:dyDescent="0.35">
      <c r="C161" s="48"/>
      <c r="K161" s="48"/>
      <c r="L161" s="48"/>
    </row>
    <row r="162" spans="3:12" ht="12.75" customHeight="1" x14ac:dyDescent="0.35">
      <c r="C162" s="48"/>
      <c r="K162" s="48"/>
      <c r="L162" s="48"/>
    </row>
    <row r="163" spans="3:12" ht="12.75" customHeight="1" x14ac:dyDescent="0.35">
      <c r="C163" s="48"/>
      <c r="K163" s="48"/>
      <c r="L163" s="48"/>
    </row>
    <row r="164" spans="3:12" ht="12.75" customHeight="1" x14ac:dyDescent="0.35">
      <c r="C164" s="48"/>
      <c r="K164" s="48"/>
      <c r="L164" s="48"/>
    </row>
    <row r="165" spans="3:12" ht="12.75" customHeight="1" x14ac:dyDescent="0.35">
      <c r="C165" s="48"/>
      <c r="K165" s="48"/>
      <c r="L165" s="48"/>
    </row>
    <row r="166" spans="3:12" ht="12.75" customHeight="1" x14ac:dyDescent="0.35">
      <c r="C166" s="48"/>
      <c r="K166" s="48"/>
      <c r="L166" s="48"/>
    </row>
    <row r="167" spans="3:12" ht="12.75" customHeight="1" x14ac:dyDescent="0.35">
      <c r="C167" s="48"/>
      <c r="K167" s="48"/>
      <c r="L167" s="48"/>
    </row>
    <row r="168" spans="3:12" ht="12.75" customHeight="1" x14ac:dyDescent="0.35">
      <c r="C168" s="48"/>
      <c r="K168" s="48"/>
      <c r="L168" s="48"/>
    </row>
    <row r="169" spans="3:12" ht="12.75" customHeight="1" x14ac:dyDescent="0.35">
      <c r="C169" s="48"/>
      <c r="K169" s="48"/>
      <c r="L169" s="48"/>
    </row>
    <row r="170" spans="3:12" ht="12.75" customHeight="1" x14ac:dyDescent="0.35">
      <c r="C170" s="48"/>
      <c r="K170" s="48"/>
      <c r="L170" s="48"/>
    </row>
    <row r="171" spans="3:12" ht="12.75" customHeight="1" x14ac:dyDescent="0.35">
      <c r="C171" s="48"/>
      <c r="K171" s="48"/>
      <c r="L171" s="48"/>
    </row>
    <row r="172" spans="3:12" ht="12.75" customHeight="1" x14ac:dyDescent="0.35">
      <c r="C172" s="48"/>
      <c r="K172" s="48"/>
      <c r="L172" s="48"/>
    </row>
    <row r="173" spans="3:12" ht="12.75" customHeight="1" x14ac:dyDescent="0.35">
      <c r="C173" s="48"/>
      <c r="K173" s="48"/>
      <c r="L173" s="48"/>
    </row>
    <row r="174" spans="3:12" ht="12.75" customHeight="1" x14ac:dyDescent="0.35">
      <c r="C174" s="48"/>
      <c r="K174" s="48"/>
      <c r="L174" s="48"/>
    </row>
    <row r="175" spans="3:12" ht="12.75" customHeight="1" x14ac:dyDescent="0.35">
      <c r="C175" s="48"/>
      <c r="K175" s="48"/>
      <c r="L175" s="48"/>
    </row>
    <row r="176" spans="3:12" ht="12.75" customHeight="1" x14ac:dyDescent="0.35">
      <c r="C176" s="48"/>
      <c r="K176" s="48"/>
      <c r="L176" s="48"/>
    </row>
    <row r="177" spans="3:12" ht="12.75" customHeight="1" x14ac:dyDescent="0.35">
      <c r="C177" s="48"/>
      <c r="K177" s="48"/>
      <c r="L177" s="48"/>
    </row>
    <row r="178" spans="3:12" ht="12.75" customHeight="1" x14ac:dyDescent="0.35">
      <c r="C178" s="48"/>
      <c r="K178" s="48"/>
      <c r="L178" s="48"/>
    </row>
    <row r="179" spans="3:12" ht="12.75" customHeight="1" x14ac:dyDescent="0.35">
      <c r="C179" s="48"/>
      <c r="K179" s="48"/>
      <c r="L179" s="48"/>
    </row>
    <row r="180" spans="3:12" ht="12.75" customHeight="1" x14ac:dyDescent="0.35">
      <c r="C180" s="48"/>
      <c r="K180" s="48"/>
      <c r="L180" s="48"/>
    </row>
    <row r="181" spans="3:12" ht="12.75" customHeight="1" x14ac:dyDescent="0.35">
      <c r="C181" s="48"/>
      <c r="K181" s="48"/>
      <c r="L181" s="48"/>
    </row>
    <row r="182" spans="3:12" ht="12.75" customHeight="1" x14ac:dyDescent="0.35">
      <c r="C182" s="48"/>
      <c r="K182" s="48"/>
      <c r="L182" s="48"/>
    </row>
    <row r="183" spans="3:12" ht="12.75" customHeight="1" x14ac:dyDescent="0.35">
      <c r="C183" s="48"/>
      <c r="K183" s="48"/>
      <c r="L183" s="48"/>
    </row>
    <row r="184" spans="3:12" ht="12.75" customHeight="1" x14ac:dyDescent="0.35">
      <c r="C184" s="48"/>
      <c r="K184" s="48"/>
      <c r="L184" s="48"/>
    </row>
    <row r="185" spans="3:12" ht="12.75" customHeight="1" x14ac:dyDescent="0.35">
      <c r="C185" s="48"/>
      <c r="K185" s="48"/>
      <c r="L185" s="48"/>
    </row>
    <row r="186" spans="3:12" ht="12.75" customHeight="1" x14ac:dyDescent="0.35">
      <c r="C186" s="48"/>
      <c r="K186" s="48"/>
      <c r="L186" s="48"/>
    </row>
    <row r="187" spans="3:12" ht="12.75" customHeight="1" x14ac:dyDescent="0.35">
      <c r="C187" s="48"/>
      <c r="K187" s="48"/>
      <c r="L187" s="48"/>
    </row>
    <row r="188" spans="3:12" ht="12.75" customHeight="1" x14ac:dyDescent="0.35">
      <c r="C188" s="48"/>
      <c r="K188" s="48"/>
      <c r="L188" s="48"/>
    </row>
    <row r="189" spans="3:12" ht="12.75" customHeight="1" x14ac:dyDescent="0.35">
      <c r="C189" s="48"/>
      <c r="K189" s="48"/>
      <c r="L189" s="48"/>
    </row>
    <row r="190" spans="3:12" ht="12.75" customHeight="1" x14ac:dyDescent="0.35">
      <c r="C190" s="48"/>
      <c r="K190" s="48"/>
      <c r="L190" s="48"/>
    </row>
    <row r="191" spans="3:12" ht="12.75" customHeight="1" x14ac:dyDescent="0.35">
      <c r="C191" s="48"/>
      <c r="K191" s="48"/>
      <c r="L191" s="48"/>
    </row>
    <row r="192" spans="3:12" ht="12.75" customHeight="1" x14ac:dyDescent="0.35">
      <c r="C192" s="48"/>
      <c r="K192" s="48"/>
      <c r="L192" s="48"/>
    </row>
    <row r="193" spans="3:12" ht="12.75" customHeight="1" x14ac:dyDescent="0.35">
      <c r="C193" s="48"/>
      <c r="K193" s="48"/>
      <c r="L193" s="48"/>
    </row>
    <row r="194" spans="3:12" ht="12.75" customHeight="1" x14ac:dyDescent="0.35">
      <c r="C194" s="48"/>
      <c r="K194" s="48"/>
      <c r="L194" s="48"/>
    </row>
    <row r="195" spans="3:12" ht="12.75" customHeight="1" x14ac:dyDescent="0.35">
      <c r="C195" s="48"/>
      <c r="K195" s="48"/>
      <c r="L195" s="48"/>
    </row>
    <row r="196" spans="3:12" ht="12.75" customHeight="1" x14ac:dyDescent="0.35">
      <c r="C196" s="48"/>
      <c r="K196" s="48"/>
      <c r="L196" s="48"/>
    </row>
    <row r="197" spans="3:12" ht="12.75" customHeight="1" x14ac:dyDescent="0.35">
      <c r="C197" s="48"/>
      <c r="K197" s="48"/>
      <c r="L197" s="48"/>
    </row>
    <row r="198" spans="3:12" ht="12.75" customHeight="1" x14ac:dyDescent="0.35">
      <c r="C198" s="48"/>
      <c r="K198" s="48"/>
      <c r="L198" s="48"/>
    </row>
    <row r="199" spans="3:12" ht="12.75" customHeight="1" x14ac:dyDescent="0.35">
      <c r="C199" s="48"/>
      <c r="K199" s="48"/>
      <c r="L199" s="48"/>
    </row>
    <row r="200" spans="3:12" ht="12.75" customHeight="1" x14ac:dyDescent="0.35">
      <c r="C200" s="48"/>
      <c r="K200" s="48"/>
      <c r="L200" s="48"/>
    </row>
    <row r="201" spans="3:12" ht="12.75" customHeight="1" x14ac:dyDescent="0.35">
      <c r="C201" s="48"/>
      <c r="K201" s="48"/>
      <c r="L201" s="48"/>
    </row>
    <row r="202" spans="3:12" ht="12.75" customHeight="1" x14ac:dyDescent="0.35">
      <c r="C202" s="48"/>
      <c r="K202" s="48"/>
      <c r="L202" s="48"/>
    </row>
    <row r="203" spans="3:12" ht="12.75" customHeight="1" x14ac:dyDescent="0.35">
      <c r="C203" s="48"/>
      <c r="K203" s="48"/>
      <c r="L203" s="48"/>
    </row>
    <row r="204" spans="3:12" ht="12.75" customHeight="1" x14ac:dyDescent="0.35">
      <c r="C204" s="48"/>
      <c r="K204" s="48"/>
      <c r="L204" s="48"/>
    </row>
    <row r="205" spans="3:12" ht="12.75" customHeight="1" x14ac:dyDescent="0.35">
      <c r="C205" s="48"/>
      <c r="K205" s="48"/>
      <c r="L205" s="48"/>
    </row>
    <row r="206" spans="3:12" ht="12.75" customHeight="1" x14ac:dyDescent="0.35">
      <c r="C206" s="48"/>
      <c r="K206" s="48"/>
      <c r="L206" s="48"/>
    </row>
    <row r="207" spans="3:12" ht="12.75" customHeight="1" x14ac:dyDescent="0.35">
      <c r="C207" s="48"/>
      <c r="K207" s="48"/>
      <c r="L207" s="48"/>
    </row>
    <row r="208" spans="3:12" ht="12.75" customHeight="1" x14ac:dyDescent="0.35">
      <c r="C208" s="48"/>
      <c r="K208" s="48"/>
      <c r="L208" s="48"/>
    </row>
    <row r="209" spans="3:12" ht="12.75" customHeight="1" x14ac:dyDescent="0.35">
      <c r="C209" s="48"/>
      <c r="K209" s="48"/>
      <c r="L209" s="48"/>
    </row>
    <row r="210" spans="3:12" ht="12.75" customHeight="1" x14ac:dyDescent="0.35">
      <c r="C210" s="48"/>
      <c r="K210" s="48"/>
      <c r="L210" s="48"/>
    </row>
    <row r="211" spans="3:12" ht="12.75" customHeight="1" x14ac:dyDescent="0.35">
      <c r="C211" s="48"/>
      <c r="K211" s="48"/>
      <c r="L211" s="48"/>
    </row>
    <row r="212" spans="3:12" ht="12.75" customHeight="1" x14ac:dyDescent="0.35">
      <c r="C212" s="48"/>
      <c r="K212" s="48"/>
      <c r="L212" s="48"/>
    </row>
    <row r="213" spans="3:12" ht="12.75" customHeight="1" x14ac:dyDescent="0.35">
      <c r="C213" s="48"/>
      <c r="K213" s="48"/>
      <c r="L213" s="48"/>
    </row>
    <row r="214" spans="3:12" ht="12.75" customHeight="1" x14ac:dyDescent="0.35">
      <c r="C214" s="48"/>
      <c r="K214" s="48"/>
      <c r="L214" s="48"/>
    </row>
    <row r="215" spans="3:12" ht="12.75" customHeight="1" x14ac:dyDescent="0.35">
      <c r="C215" s="48"/>
      <c r="K215" s="48"/>
      <c r="L215" s="48"/>
    </row>
    <row r="216" spans="3:12" ht="12.75" customHeight="1" x14ac:dyDescent="0.35">
      <c r="C216" s="48"/>
      <c r="K216" s="48"/>
      <c r="L216" s="48"/>
    </row>
    <row r="217" spans="3:12" ht="12.75" customHeight="1" x14ac:dyDescent="0.35">
      <c r="C217" s="48"/>
      <c r="K217" s="48"/>
      <c r="L217" s="48"/>
    </row>
    <row r="218" spans="3:12" ht="12.75" customHeight="1" x14ac:dyDescent="0.35">
      <c r="C218" s="48"/>
      <c r="K218" s="48"/>
      <c r="L218" s="48"/>
    </row>
    <row r="219" spans="3:12" ht="12.75" customHeight="1" x14ac:dyDescent="0.35">
      <c r="C219" s="48"/>
      <c r="K219" s="48"/>
      <c r="L219" s="48"/>
    </row>
    <row r="220" spans="3:12" ht="12.75" customHeight="1" x14ac:dyDescent="0.35">
      <c r="C220" s="48"/>
      <c r="K220" s="48"/>
      <c r="L220" s="48"/>
    </row>
    <row r="221" spans="3:12" ht="12.75" customHeight="1" x14ac:dyDescent="0.35">
      <c r="C221" s="48"/>
      <c r="K221" s="48"/>
      <c r="L221" s="48"/>
    </row>
    <row r="222" spans="3:12" ht="12.75" customHeight="1" x14ac:dyDescent="0.35">
      <c r="C222" s="48"/>
      <c r="K222" s="48"/>
      <c r="L222" s="48"/>
    </row>
    <row r="223" spans="3:12" ht="12.75" customHeight="1" x14ac:dyDescent="0.35">
      <c r="C223" s="48"/>
      <c r="K223" s="48"/>
      <c r="L223" s="48"/>
    </row>
    <row r="224" spans="3:12" ht="12.75" customHeight="1" x14ac:dyDescent="0.35">
      <c r="C224" s="48"/>
      <c r="K224" s="48"/>
      <c r="L224" s="48"/>
    </row>
    <row r="225" spans="3:12" ht="12.75" customHeight="1" x14ac:dyDescent="0.35">
      <c r="C225" s="48"/>
      <c r="K225" s="48"/>
      <c r="L225" s="48"/>
    </row>
    <row r="226" spans="3:12" ht="12.75" customHeight="1" x14ac:dyDescent="0.35">
      <c r="C226" s="48"/>
      <c r="K226" s="48"/>
      <c r="L226" s="48"/>
    </row>
    <row r="227" spans="3:12" ht="12.75" customHeight="1" x14ac:dyDescent="0.35">
      <c r="C227" s="48"/>
      <c r="K227" s="48"/>
      <c r="L227" s="48"/>
    </row>
    <row r="228" spans="3:12" ht="12.75" customHeight="1" x14ac:dyDescent="0.35">
      <c r="C228" s="48"/>
      <c r="K228" s="48"/>
      <c r="L228" s="48"/>
    </row>
    <row r="229" spans="3:12" ht="12.75" customHeight="1" x14ac:dyDescent="0.35">
      <c r="C229" s="48"/>
      <c r="K229" s="48"/>
      <c r="L229" s="48"/>
    </row>
    <row r="230" spans="3:12" ht="12.75" customHeight="1" x14ac:dyDescent="0.35">
      <c r="C230" s="48"/>
      <c r="K230" s="48"/>
      <c r="L230" s="48"/>
    </row>
    <row r="231" spans="3:12" ht="12.75" customHeight="1" x14ac:dyDescent="0.35">
      <c r="C231" s="48"/>
      <c r="K231" s="48"/>
      <c r="L231" s="48"/>
    </row>
    <row r="232" spans="3:12" ht="12.75" customHeight="1" x14ac:dyDescent="0.35">
      <c r="C232" s="48"/>
      <c r="K232" s="48"/>
      <c r="L232" s="48"/>
    </row>
    <row r="233" spans="3:12" ht="12.75" customHeight="1" x14ac:dyDescent="0.35">
      <c r="C233" s="48"/>
      <c r="K233" s="48"/>
      <c r="L233" s="48"/>
    </row>
    <row r="234" spans="3:12" ht="12.75" customHeight="1" x14ac:dyDescent="0.35">
      <c r="C234" s="48"/>
      <c r="K234" s="48"/>
      <c r="L234" s="48"/>
    </row>
    <row r="235" spans="3:12" ht="12.75" customHeight="1" x14ac:dyDescent="0.35">
      <c r="C235" s="48"/>
      <c r="K235" s="48"/>
      <c r="L235" s="48"/>
    </row>
    <row r="236" spans="3:12" ht="12.75" customHeight="1" x14ac:dyDescent="0.35">
      <c r="C236" s="48"/>
      <c r="K236" s="48"/>
      <c r="L236" s="48"/>
    </row>
    <row r="237" spans="3:12" ht="12.75" customHeight="1" x14ac:dyDescent="0.35">
      <c r="C237" s="48"/>
      <c r="K237" s="48"/>
      <c r="L237" s="48"/>
    </row>
    <row r="238" spans="3:12" ht="12.75" customHeight="1" x14ac:dyDescent="0.35">
      <c r="C238" s="48"/>
      <c r="K238" s="48"/>
      <c r="L238" s="48"/>
    </row>
    <row r="239" spans="3:12" ht="12.75" customHeight="1" x14ac:dyDescent="0.35">
      <c r="C239" s="48"/>
      <c r="K239" s="48"/>
      <c r="L239" s="48"/>
    </row>
    <row r="240" spans="3:12" ht="12.75" customHeight="1" x14ac:dyDescent="0.35">
      <c r="C240" s="48"/>
      <c r="K240" s="48"/>
      <c r="L240" s="48"/>
    </row>
    <row r="241" spans="3:12" ht="12.75" customHeight="1" x14ac:dyDescent="0.35">
      <c r="C241" s="48"/>
      <c r="K241" s="48"/>
      <c r="L241" s="48"/>
    </row>
    <row r="242" spans="3:12" ht="12.75" customHeight="1" x14ac:dyDescent="0.35">
      <c r="C242" s="48"/>
      <c r="K242" s="48"/>
      <c r="L242" s="48"/>
    </row>
    <row r="243" spans="3:12" ht="12.75" customHeight="1" x14ac:dyDescent="0.35">
      <c r="C243" s="48"/>
      <c r="K243" s="48"/>
      <c r="L243" s="48"/>
    </row>
    <row r="244" spans="3:12" ht="12.75" customHeight="1" x14ac:dyDescent="0.35">
      <c r="C244" s="48"/>
      <c r="K244" s="48"/>
      <c r="L244" s="48"/>
    </row>
    <row r="245" spans="3:12" ht="12.75" customHeight="1" x14ac:dyDescent="0.35">
      <c r="C245" s="48"/>
      <c r="K245" s="48"/>
      <c r="L245" s="48"/>
    </row>
    <row r="246" spans="3:12" ht="12.75" customHeight="1" x14ac:dyDescent="0.35">
      <c r="C246" s="48"/>
      <c r="K246" s="48"/>
      <c r="L246" s="48"/>
    </row>
    <row r="247" spans="3:12" ht="12.75" customHeight="1" x14ac:dyDescent="0.35">
      <c r="C247" s="48"/>
      <c r="K247" s="48"/>
      <c r="L247" s="48"/>
    </row>
    <row r="248" spans="3:12" ht="12.75" customHeight="1" x14ac:dyDescent="0.35">
      <c r="C248" s="48"/>
      <c r="K248" s="48"/>
      <c r="L248" s="48"/>
    </row>
    <row r="249" spans="3:12" ht="12.75" customHeight="1" x14ac:dyDescent="0.35">
      <c r="C249" s="48"/>
      <c r="K249" s="48"/>
      <c r="L249" s="48"/>
    </row>
    <row r="250" spans="3:12" ht="12.75" customHeight="1" x14ac:dyDescent="0.35">
      <c r="C250" s="48"/>
      <c r="K250" s="48"/>
      <c r="L250" s="48"/>
    </row>
    <row r="251" spans="3:12" ht="12.75" customHeight="1" x14ac:dyDescent="0.35">
      <c r="C251" s="48"/>
      <c r="K251" s="48"/>
      <c r="L251" s="48"/>
    </row>
    <row r="252" spans="3:12" ht="12.75" customHeight="1" x14ac:dyDescent="0.35">
      <c r="C252" s="48"/>
      <c r="K252" s="48"/>
      <c r="L252" s="48"/>
    </row>
    <row r="253" spans="3:12" ht="12.75" customHeight="1" x14ac:dyDescent="0.35">
      <c r="C253" s="48"/>
      <c r="K253" s="48"/>
      <c r="L253" s="48"/>
    </row>
    <row r="254" spans="3:12" ht="12.75" customHeight="1" x14ac:dyDescent="0.35">
      <c r="C254" s="48"/>
      <c r="K254" s="48"/>
      <c r="L254" s="48"/>
    </row>
    <row r="255" spans="3:12" ht="12.75" customHeight="1" x14ac:dyDescent="0.35">
      <c r="C255" s="48"/>
      <c r="K255" s="48"/>
      <c r="L255" s="48"/>
    </row>
    <row r="256" spans="3:12" ht="12.75" customHeight="1" x14ac:dyDescent="0.35">
      <c r="C256" s="48"/>
      <c r="K256" s="48"/>
      <c r="L256" s="48"/>
    </row>
    <row r="257" spans="3:12" ht="12.75" customHeight="1" x14ac:dyDescent="0.35">
      <c r="C257" s="48"/>
      <c r="K257" s="48"/>
      <c r="L257" s="48"/>
    </row>
    <row r="258" spans="3:12" ht="12.75" customHeight="1" x14ac:dyDescent="0.35">
      <c r="C258" s="48"/>
      <c r="K258" s="48"/>
      <c r="L258" s="48"/>
    </row>
    <row r="259" spans="3:12" ht="12.75" customHeight="1" x14ac:dyDescent="0.35">
      <c r="C259" s="48"/>
      <c r="K259" s="48"/>
      <c r="L259" s="48"/>
    </row>
    <row r="260" spans="3:12" ht="12.75" customHeight="1" x14ac:dyDescent="0.35">
      <c r="C260" s="48"/>
      <c r="K260" s="48"/>
      <c r="L260" s="48"/>
    </row>
    <row r="261" spans="3:12" ht="12.75" customHeight="1" x14ac:dyDescent="0.35">
      <c r="C261" s="48"/>
      <c r="K261" s="48"/>
      <c r="L261" s="48"/>
    </row>
    <row r="262" spans="3:12" ht="12.75" customHeight="1" x14ac:dyDescent="0.35">
      <c r="C262" s="48"/>
      <c r="K262" s="48"/>
      <c r="L262" s="48"/>
    </row>
    <row r="263" spans="3:12" ht="12.75" customHeight="1" x14ac:dyDescent="0.35">
      <c r="C263" s="48"/>
      <c r="K263" s="48"/>
      <c r="L263" s="48"/>
    </row>
    <row r="264" spans="3:12" ht="12.75" customHeight="1" x14ac:dyDescent="0.35">
      <c r="C264" s="48"/>
      <c r="K264" s="48"/>
      <c r="L264" s="48"/>
    </row>
    <row r="265" spans="3:12" ht="12.75" customHeight="1" x14ac:dyDescent="0.35">
      <c r="C265" s="48"/>
      <c r="K265" s="48"/>
      <c r="L265" s="48"/>
    </row>
    <row r="266" spans="3:12" ht="12.75" customHeight="1" x14ac:dyDescent="0.35">
      <c r="C266" s="48"/>
      <c r="K266" s="48"/>
      <c r="L266" s="48"/>
    </row>
    <row r="267" spans="3:12" ht="12.75" customHeight="1" x14ac:dyDescent="0.35">
      <c r="C267" s="48"/>
      <c r="K267" s="48"/>
      <c r="L267" s="48"/>
    </row>
    <row r="268" spans="3:12" ht="12.75" customHeight="1" x14ac:dyDescent="0.35">
      <c r="C268" s="48"/>
      <c r="K268" s="48"/>
      <c r="L268" s="48"/>
    </row>
    <row r="269" spans="3:12" ht="12.75" customHeight="1" x14ac:dyDescent="0.35">
      <c r="C269" s="48"/>
      <c r="K269" s="48"/>
      <c r="L269" s="48"/>
    </row>
    <row r="270" spans="3:12" ht="12.75" customHeight="1" x14ac:dyDescent="0.35">
      <c r="C270" s="48"/>
      <c r="K270" s="48"/>
      <c r="L270" s="48"/>
    </row>
    <row r="271" spans="3:12" ht="12.75" customHeight="1" x14ac:dyDescent="0.35">
      <c r="C271" s="48"/>
      <c r="K271" s="48"/>
      <c r="L271" s="48"/>
    </row>
    <row r="272" spans="3:12" ht="12.75" customHeight="1" x14ac:dyDescent="0.35">
      <c r="C272" s="48"/>
      <c r="K272" s="48"/>
      <c r="L272" s="48"/>
    </row>
    <row r="273" spans="3:12" ht="12.75" customHeight="1" x14ac:dyDescent="0.35">
      <c r="C273" s="48"/>
      <c r="K273" s="48"/>
      <c r="L273" s="48"/>
    </row>
    <row r="274" spans="3:12" ht="12.75" customHeight="1" x14ac:dyDescent="0.35">
      <c r="C274" s="48"/>
      <c r="K274" s="48"/>
      <c r="L274" s="48"/>
    </row>
    <row r="275" spans="3:12" ht="12.75" customHeight="1" x14ac:dyDescent="0.35">
      <c r="C275" s="48"/>
      <c r="K275" s="48"/>
      <c r="L275" s="48"/>
    </row>
    <row r="276" spans="3:12" ht="12.75" customHeight="1" x14ac:dyDescent="0.35">
      <c r="C276" s="48"/>
      <c r="K276" s="48"/>
      <c r="L276" s="48"/>
    </row>
    <row r="277" spans="3:12" ht="12.75" customHeight="1" x14ac:dyDescent="0.35">
      <c r="C277" s="48"/>
      <c r="K277" s="48"/>
      <c r="L277" s="48"/>
    </row>
    <row r="278" spans="3:12" ht="12.75" customHeight="1" x14ac:dyDescent="0.35">
      <c r="C278" s="48"/>
      <c r="K278" s="48"/>
      <c r="L278" s="48"/>
    </row>
    <row r="279" spans="3:12" ht="12.75" customHeight="1" x14ac:dyDescent="0.35">
      <c r="C279" s="48"/>
      <c r="K279" s="48"/>
      <c r="L279" s="48"/>
    </row>
    <row r="280" spans="3:12" ht="12.75" customHeight="1" x14ac:dyDescent="0.35">
      <c r="C280" s="48"/>
      <c r="K280" s="48"/>
      <c r="L280" s="48"/>
    </row>
    <row r="281" spans="3:12" ht="12.75" customHeight="1" x14ac:dyDescent="0.35">
      <c r="C281" s="48"/>
      <c r="K281" s="48"/>
      <c r="L281" s="48"/>
    </row>
    <row r="282" spans="3:12" ht="12.75" customHeight="1" x14ac:dyDescent="0.35">
      <c r="C282" s="48"/>
      <c r="K282" s="48"/>
      <c r="L282" s="48"/>
    </row>
    <row r="283" spans="3:12" ht="12.75" customHeight="1" x14ac:dyDescent="0.35">
      <c r="C283" s="48"/>
      <c r="K283" s="48"/>
      <c r="L283" s="48"/>
    </row>
    <row r="284" spans="3:12" ht="12.75" customHeight="1" x14ac:dyDescent="0.35">
      <c r="C284" s="48"/>
      <c r="K284" s="48"/>
      <c r="L284" s="48"/>
    </row>
    <row r="285" spans="3:12" ht="12.75" customHeight="1" x14ac:dyDescent="0.35">
      <c r="C285" s="48"/>
      <c r="K285" s="48"/>
      <c r="L285" s="48"/>
    </row>
    <row r="286" spans="3:12" ht="12.75" customHeight="1" x14ac:dyDescent="0.35">
      <c r="C286" s="48"/>
      <c r="K286" s="48"/>
      <c r="L286" s="48"/>
    </row>
    <row r="287" spans="3:12" ht="12.75" customHeight="1" x14ac:dyDescent="0.35">
      <c r="C287" s="48"/>
      <c r="K287" s="48"/>
      <c r="L287" s="48"/>
    </row>
    <row r="288" spans="3:12" ht="12.75" customHeight="1" x14ac:dyDescent="0.35">
      <c r="C288" s="48"/>
      <c r="K288" s="48"/>
      <c r="L288" s="48"/>
    </row>
    <row r="289" spans="3:12" ht="12.75" customHeight="1" x14ac:dyDescent="0.35">
      <c r="C289" s="48"/>
      <c r="K289" s="48"/>
      <c r="L289" s="48"/>
    </row>
    <row r="290" spans="3:12" ht="12.75" customHeight="1" x14ac:dyDescent="0.35">
      <c r="C290" s="48"/>
      <c r="K290" s="48"/>
      <c r="L290" s="48"/>
    </row>
    <row r="291" spans="3:12" ht="12.75" customHeight="1" x14ac:dyDescent="0.35">
      <c r="C291" s="48"/>
      <c r="K291" s="48"/>
      <c r="L291" s="48"/>
    </row>
    <row r="292" spans="3:12" ht="12.75" customHeight="1" x14ac:dyDescent="0.35">
      <c r="C292" s="48"/>
      <c r="K292" s="48"/>
      <c r="L292" s="48"/>
    </row>
    <row r="293" spans="3:12" ht="12.75" customHeight="1" x14ac:dyDescent="0.35">
      <c r="C293" s="48"/>
      <c r="K293" s="48"/>
      <c r="L293" s="48"/>
    </row>
    <row r="294" spans="3:12" ht="12.75" customHeight="1" x14ac:dyDescent="0.35">
      <c r="C294" s="48"/>
      <c r="K294" s="48"/>
      <c r="L294" s="48"/>
    </row>
    <row r="295" spans="3:12" ht="12.75" customHeight="1" x14ac:dyDescent="0.35">
      <c r="C295" s="48"/>
      <c r="K295" s="48"/>
      <c r="L295" s="48"/>
    </row>
    <row r="296" spans="3:12" ht="12.75" customHeight="1" x14ac:dyDescent="0.35">
      <c r="C296" s="48"/>
      <c r="K296" s="48"/>
      <c r="L296" s="48"/>
    </row>
    <row r="297" spans="3:12" ht="12.75" customHeight="1" x14ac:dyDescent="0.35">
      <c r="C297" s="48"/>
      <c r="K297" s="48"/>
      <c r="L297" s="48"/>
    </row>
    <row r="298" spans="3:12" ht="12.75" customHeight="1" x14ac:dyDescent="0.35">
      <c r="C298" s="48"/>
      <c r="K298" s="48"/>
      <c r="L298" s="48"/>
    </row>
    <row r="299" spans="3:12" ht="12.75" customHeight="1" x14ac:dyDescent="0.35">
      <c r="C299" s="48"/>
      <c r="K299" s="48"/>
      <c r="L299" s="48"/>
    </row>
    <row r="300" spans="3:12" ht="12.75" customHeight="1" x14ac:dyDescent="0.35">
      <c r="C300" s="48"/>
      <c r="K300" s="48"/>
      <c r="L300" s="48"/>
    </row>
    <row r="301" spans="3:12" ht="12.75" customHeight="1" x14ac:dyDescent="0.35">
      <c r="C301" s="48"/>
      <c r="K301" s="48"/>
      <c r="L301" s="48"/>
    </row>
    <row r="302" spans="3:12" ht="12.75" customHeight="1" x14ac:dyDescent="0.35">
      <c r="C302" s="48"/>
      <c r="K302" s="48"/>
      <c r="L302" s="48"/>
    </row>
    <row r="303" spans="3:12" ht="12.75" customHeight="1" x14ac:dyDescent="0.35">
      <c r="C303" s="48"/>
      <c r="K303" s="48"/>
      <c r="L303" s="48"/>
    </row>
    <row r="304" spans="3:12" ht="12.75" customHeight="1" x14ac:dyDescent="0.35">
      <c r="C304" s="48"/>
      <c r="K304" s="48"/>
      <c r="L304" s="48"/>
    </row>
    <row r="305" spans="3:12" ht="12.75" customHeight="1" x14ac:dyDescent="0.35">
      <c r="C305" s="48"/>
      <c r="K305" s="48"/>
      <c r="L305" s="48"/>
    </row>
    <row r="306" spans="3:12" ht="12.75" customHeight="1" x14ac:dyDescent="0.35">
      <c r="C306" s="48"/>
      <c r="K306" s="48"/>
      <c r="L306" s="48"/>
    </row>
    <row r="307" spans="3:12" ht="12.75" customHeight="1" x14ac:dyDescent="0.35">
      <c r="C307" s="48"/>
      <c r="K307" s="48"/>
      <c r="L307" s="48"/>
    </row>
    <row r="308" spans="3:12" ht="12.75" customHeight="1" x14ac:dyDescent="0.35">
      <c r="C308" s="48"/>
      <c r="K308" s="48"/>
      <c r="L308" s="48"/>
    </row>
    <row r="309" spans="3:12" ht="12.75" customHeight="1" x14ac:dyDescent="0.35">
      <c r="C309" s="48"/>
      <c r="K309" s="48"/>
      <c r="L309" s="48"/>
    </row>
    <row r="310" spans="3:12" ht="12.75" customHeight="1" x14ac:dyDescent="0.35">
      <c r="C310" s="48"/>
      <c r="K310" s="48"/>
      <c r="L310" s="48"/>
    </row>
    <row r="311" spans="3:12" ht="12.75" customHeight="1" x14ac:dyDescent="0.35">
      <c r="C311" s="48"/>
      <c r="K311" s="48"/>
      <c r="L311" s="48"/>
    </row>
    <row r="312" spans="3:12" ht="12.75" customHeight="1" x14ac:dyDescent="0.35">
      <c r="C312" s="48"/>
      <c r="K312" s="48"/>
      <c r="L312" s="48"/>
    </row>
    <row r="313" spans="3:12" ht="12.75" customHeight="1" x14ac:dyDescent="0.35">
      <c r="C313" s="48"/>
      <c r="K313" s="48"/>
      <c r="L313" s="48"/>
    </row>
    <row r="314" spans="3:12" ht="12.75" customHeight="1" x14ac:dyDescent="0.35">
      <c r="C314" s="48"/>
      <c r="K314" s="48"/>
      <c r="L314" s="48"/>
    </row>
    <row r="315" spans="3:12" ht="12.75" customHeight="1" x14ac:dyDescent="0.35">
      <c r="C315" s="48"/>
      <c r="K315" s="48"/>
      <c r="L315" s="48"/>
    </row>
    <row r="316" spans="3:12" ht="12.75" customHeight="1" x14ac:dyDescent="0.35">
      <c r="C316" s="48"/>
      <c r="K316" s="48"/>
      <c r="L316" s="48"/>
    </row>
    <row r="317" spans="3:12" ht="12.75" customHeight="1" x14ac:dyDescent="0.35">
      <c r="C317" s="48"/>
      <c r="K317" s="48"/>
      <c r="L317" s="48"/>
    </row>
    <row r="318" spans="3:12" ht="12.75" customHeight="1" x14ac:dyDescent="0.35">
      <c r="C318" s="48"/>
      <c r="K318" s="48"/>
      <c r="L318" s="48"/>
    </row>
    <row r="319" spans="3:12" ht="12.75" customHeight="1" x14ac:dyDescent="0.35">
      <c r="C319" s="48"/>
      <c r="K319" s="48"/>
      <c r="L319" s="48"/>
    </row>
    <row r="320" spans="3:12" ht="12.75" customHeight="1" x14ac:dyDescent="0.35">
      <c r="C320" s="48"/>
      <c r="K320" s="48"/>
      <c r="L320" s="48"/>
    </row>
    <row r="321" spans="3:12" ht="12.75" customHeight="1" x14ac:dyDescent="0.35">
      <c r="C321" s="48"/>
      <c r="K321" s="48"/>
      <c r="L321" s="48"/>
    </row>
    <row r="322" spans="3:12" ht="12.75" customHeight="1" x14ac:dyDescent="0.35">
      <c r="C322" s="48"/>
      <c r="K322" s="48"/>
      <c r="L322" s="48"/>
    </row>
    <row r="323" spans="3:12" ht="12.75" customHeight="1" x14ac:dyDescent="0.35">
      <c r="C323" s="48"/>
      <c r="K323" s="48"/>
      <c r="L323" s="48"/>
    </row>
    <row r="324" spans="3:12" ht="12.75" customHeight="1" x14ac:dyDescent="0.35">
      <c r="C324" s="48"/>
      <c r="K324" s="48"/>
      <c r="L324" s="48"/>
    </row>
    <row r="325" spans="3:12" ht="12.75" customHeight="1" x14ac:dyDescent="0.35">
      <c r="C325" s="48"/>
      <c r="K325" s="48"/>
      <c r="L325" s="48"/>
    </row>
    <row r="326" spans="3:12" ht="12.75" customHeight="1" x14ac:dyDescent="0.35">
      <c r="C326" s="48"/>
      <c r="K326" s="48"/>
      <c r="L326" s="48"/>
    </row>
    <row r="327" spans="3:12" ht="12.75" customHeight="1" x14ac:dyDescent="0.35">
      <c r="C327" s="48"/>
      <c r="K327" s="48"/>
      <c r="L327" s="48"/>
    </row>
    <row r="328" spans="3:12" ht="12.75" customHeight="1" x14ac:dyDescent="0.35">
      <c r="C328" s="48"/>
      <c r="K328" s="48"/>
      <c r="L328" s="48"/>
    </row>
    <row r="329" spans="3:12" ht="12.75" customHeight="1" x14ac:dyDescent="0.35">
      <c r="C329" s="48"/>
      <c r="K329" s="48"/>
      <c r="L329" s="48"/>
    </row>
    <row r="330" spans="3:12" ht="12.75" customHeight="1" x14ac:dyDescent="0.35">
      <c r="C330" s="48"/>
      <c r="K330" s="48"/>
      <c r="L330" s="48"/>
    </row>
    <row r="331" spans="3:12" ht="12.75" customHeight="1" x14ac:dyDescent="0.35">
      <c r="C331" s="48"/>
      <c r="K331" s="48"/>
      <c r="L331" s="48"/>
    </row>
    <row r="332" spans="3:12" ht="12.75" customHeight="1" x14ac:dyDescent="0.35">
      <c r="C332" s="48"/>
      <c r="K332" s="48"/>
      <c r="L332" s="48"/>
    </row>
    <row r="333" spans="3:12" ht="12.75" customHeight="1" x14ac:dyDescent="0.35">
      <c r="C333" s="48"/>
      <c r="K333" s="48"/>
      <c r="L333" s="48"/>
    </row>
    <row r="334" spans="3:12" ht="12.75" customHeight="1" x14ac:dyDescent="0.35">
      <c r="C334" s="48"/>
      <c r="K334" s="48"/>
      <c r="L334" s="48"/>
    </row>
    <row r="335" spans="3:12" ht="12.75" customHeight="1" x14ac:dyDescent="0.35">
      <c r="C335" s="48"/>
      <c r="K335" s="48"/>
      <c r="L335" s="48"/>
    </row>
    <row r="336" spans="3:12" ht="12.75" customHeight="1" x14ac:dyDescent="0.35">
      <c r="C336" s="48"/>
      <c r="K336" s="48"/>
      <c r="L336" s="48"/>
    </row>
    <row r="337" spans="3:12" ht="12.75" customHeight="1" x14ac:dyDescent="0.35">
      <c r="C337" s="48"/>
      <c r="K337" s="48"/>
      <c r="L337" s="48"/>
    </row>
    <row r="338" spans="3:12" ht="12.75" customHeight="1" x14ac:dyDescent="0.35">
      <c r="C338" s="48"/>
      <c r="K338" s="48"/>
      <c r="L338" s="48"/>
    </row>
    <row r="339" spans="3:12" ht="12.75" customHeight="1" x14ac:dyDescent="0.35">
      <c r="C339" s="48"/>
      <c r="K339" s="48"/>
      <c r="L339" s="48"/>
    </row>
    <row r="340" spans="3:12" ht="12.75" customHeight="1" x14ac:dyDescent="0.35">
      <c r="C340" s="48"/>
      <c r="K340" s="48"/>
      <c r="L340" s="48"/>
    </row>
    <row r="341" spans="3:12" ht="12.75" customHeight="1" x14ac:dyDescent="0.35">
      <c r="C341" s="48"/>
      <c r="K341" s="48"/>
      <c r="L341" s="48"/>
    </row>
    <row r="342" spans="3:12" ht="12.75" customHeight="1" x14ac:dyDescent="0.35">
      <c r="C342" s="48"/>
      <c r="K342" s="48"/>
      <c r="L342" s="48"/>
    </row>
    <row r="343" spans="3:12" ht="12.75" customHeight="1" x14ac:dyDescent="0.35">
      <c r="C343" s="48"/>
      <c r="K343" s="48"/>
      <c r="L343" s="48"/>
    </row>
    <row r="344" spans="3:12" ht="12.75" customHeight="1" x14ac:dyDescent="0.35">
      <c r="C344" s="48"/>
      <c r="K344" s="48"/>
      <c r="L344" s="48"/>
    </row>
    <row r="345" spans="3:12" ht="12.75" customHeight="1" x14ac:dyDescent="0.35">
      <c r="C345" s="48"/>
      <c r="K345" s="48"/>
      <c r="L345" s="48"/>
    </row>
    <row r="346" spans="3:12" ht="12.75" customHeight="1" x14ac:dyDescent="0.35">
      <c r="C346" s="48"/>
      <c r="K346" s="48"/>
      <c r="L346" s="48"/>
    </row>
    <row r="347" spans="3:12" ht="12.75" customHeight="1" x14ac:dyDescent="0.35">
      <c r="C347" s="48"/>
      <c r="K347" s="48"/>
      <c r="L347" s="48"/>
    </row>
    <row r="348" spans="3:12" ht="12.75" customHeight="1" x14ac:dyDescent="0.35">
      <c r="C348" s="48"/>
      <c r="K348" s="48"/>
      <c r="L348" s="48"/>
    </row>
    <row r="349" spans="3:12" ht="12.75" customHeight="1" x14ac:dyDescent="0.35">
      <c r="C349" s="48"/>
      <c r="K349" s="48"/>
      <c r="L349" s="48"/>
    </row>
    <row r="350" spans="3:12" ht="12.75" customHeight="1" x14ac:dyDescent="0.35">
      <c r="C350" s="48"/>
      <c r="K350" s="48"/>
      <c r="L350" s="48"/>
    </row>
    <row r="351" spans="3:12" ht="12.75" customHeight="1" x14ac:dyDescent="0.35">
      <c r="C351" s="48"/>
      <c r="K351" s="48"/>
      <c r="L351" s="48"/>
    </row>
    <row r="352" spans="3:12" ht="12.75" customHeight="1" x14ac:dyDescent="0.35">
      <c r="C352" s="48"/>
      <c r="K352" s="48"/>
      <c r="L352" s="48"/>
    </row>
    <row r="353" spans="3:12" ht="12.75" customHeight="1" x14ac:dyDescent="0.35">
      <c r="C353" s="48"/>
      <c r="K353" s="48"/>
      <c r="L353" s="48"/>
    </row>
    <row r="354" spans="3:12" ht="12.75" customHeight="1" x14ac:dyDescent="0.35">
      <c r="C354" s="48"/>
      <c r="K354" s="48"/>
      <c r="L354" s="48"/>
    </row>
    <row r="355" spans="3:12" ht="12.75" customHeight="1" x14ac:dyDescent="0.35">
      <c r="C355" s="48"/>
      <c r="K355" s="48"/>
      <c r="L355" s="48"/>
    </row>
    <row r="356" spans="3:12" ht="12.75" customHeight="1" x14ac:dyDescent="0.35">
      <c r="C356" s="48"/>
      <c r="K356" s="48"/>
      <c r="L356" s="48"/>
    </row>
    <row r="357" spans="3:12" ht="12.75" customHeight="1" x14ac:dyDescent="0.35">
      <c r="C357" s="48"/>
      <c r="K357" s="48"/>
      <c r="L357" s="48"/>
    </row>
    <row r="358" spans="3:12" ht="12.75" customHeight="1" x14ac:dyDescent="0.35">
      <c r="C358" s="48"/>
      <c r="K358" s="48"/>
      <c r="L358" s="48"/>
    </row>
    <row r="359" spans="3:12" ht="12.75" customHeight="1" x14ac:dyDescent="0.35">
      <c r="C359" s="48"/>
      <c r="K359" s="48"/>
      <c r="L359" s="48"/>
    </row>
    <row r="360" spans="3:12" ht="12.75" customHeight="1" x14ac:dyDescent="0.35">
      <c r="C360" s="48"/>
      <c r="K360" s="48"/>
      <c r="L360" s="48"/>
    </row>
    <row r="361" spans="3:12" ht="12.75" customHeight="1" x14ac:dyDescent="0.35">
      <c r="C361" s="48"/>
      <c r="K361" s="48"/>
      <c r="L361" s="48"/>
    </row>
    <row r="362" spans="3:12" ht="12.75" customHeight="1" x14ac:dyDescent="0.35">
      <c r="C362" s="48"/>
      <c r="K362" s="48"/>
      <c r="L362" s="48"/>
    </row>
    <row r="363" spans="3:12" ht="12.75" customHeight="1" x14ac:dyDescent="0.35">
      <c r="C363" s="48"/>
      <c r="K363" s="48"/>
      <c r="L363" s="48"/>
    </row>
    <row r="364" spans="3:12" ht="12.75" customHeight="1" x14ac:dyDescent="0.35">
      <c r="C364" s="48"/>
      <c r="K364" s="48"/>
      <c r="L364" s="48"/>
    </row>
    <row r="365" spans="3:12" ht="12.75" customHeight="1" x14ac:dyDescent="0.35">
      <c r="C365" s="48"/>
      <c r="K365" s="48"/>
      <c r="L365" s="48"/>
    </row>
    <row r="366" spans="3:12" ht="12.75" customHeight="1" x14ac:dyDescent="0.35">
      <c r="C366" s="48"/>
      <c r="K366" s="48"/>
      <c r="L366" s="48"/>
    </row>
    <row r="367" spans="3:12" ht="12.75" customHeight="1" x14ac:dyDescent="0.35">
      <c r="C367" s="48"/>
      <c r="K367" s="48"/>
      <c r="L367" s="48"/>
    </row>
    <row r="368" spans="3:12" ht="12.75" customHeight="1" x14ac:dyDescent="0.35">
      <c r="C368" s="48"/>
      <c r="K368" s="48"/>
      <c r="L368" s="48"/>
    </row>
    <row r="369" spans="3:12" ht="12.75" customHeight="1" x14ac:dyDescent="0.35">
      <c r="C369" s="48"/>
      <c r="K369" s="48"/>
      <c r="L369" s="48"/>
    </row>
    <row r="370" spans="3:12" ht="12.75" customHeight="1" x14ac:dyDescent="0.35">
      <c r="C370" s="48"/>
      <c r="K370" s="48"/>
      <c r="L370" s="48"/>
    </row>
    <row r="371" spans="3:12" ht="12.75" customHeight="1" x14ac:dyDescent="0.35">
      <c r="C371" s="48"/>
      <c r="K371" s="48"/>
      <c r="L371" s="48"/>
    </row>
    <row r="372" spans="3:12" ht="12.75" customHeight="1" x14ac:dyDescent="0.35">
      <c r="C372" s="48"/>
      <c r="K372" s="48"/>
      <c r="L372" s="48"/>
    </row>
    <row r="373" spans="3:12" ht="12.75" customHeight="1" x14ac:dyDescent="0.35">
      <c r="C373" s="48"/>
      <c r="K373" s="48"/>
      <c r="L373" s="48"/>
    </row>
    <row r="374" spans="3:12" ht="12.75" customHeight="1" x14ac:dyDescent="0.35">
      <c r="C374" s="48"/>
      <c r="K374" s="48"/>
      <c r="L374" s="48"/>
    </row>
    <row r="375" spans="3:12" ht="12.75" customHeight="1" x14ac:dyDescent="0.35">
      <c r="C375" s="48"/>
      <c r="K375" s="48"/>
      <c r="L375" s="48"/>
    </row>
    <row r="376" spans="3:12" ht="12.75" customHeight="1" x14ac:dyDescent="0.35">
      <c r="C376" s="48"/>
      <c r="K376" s="48"/>
      <c r="L376" s="48"/>
    </row>
    <row r="377" spans="3:12" ht="12.75" customHeight="1" x14ac:dyDescent="0.35">
      <c r="C377" s="48"/>
      <c r="K377" s="48"/>
      <c r="L377" s="48"/>
    </row>
    <row r="378" spans="3:12" ht="12.75" customHeight="1" x14ac:dyDescent="0.35">
      <c r="C378" s="48"/>
      <c r="K378" s="48"/>
      <c r="L378" s="48"/>
    </row>
    <row r="379" spans="3:12" ht="12.75" customHeight="1" x14ac:dyDescent="0.35">
      <c r="C379" s="48"/>
      <c r="K379" s="48"/>
      <c r="L379" s="48"/>
    </row>
    <row r="380" spans="3:12" ht="12.75" customHeight="1" x14ac:dyDescent="0.35">
      <c r="C380" s="48"/>
      <c r="K380" s="48"/>
      <c r="L380" s="48"/>
    </row>
    <row r="381" spans="3:12" ht="12.75" customHeight="1" x14ac:dyDescent="0.35">
      <c r="C381" s="48"/>
      <c r="K381" s="48"/>
      <c r="L381" s="48"/>
    </row>
    <row r="382" spans="3:12" ht="12.75" customHeight="1" x14ac:dyDescent="0.35">
      <c r="C382" s="48"/>
      <c r="K382" s="48"/>
      <c r="L382" s="48"/>
    </row>
    <row r="383" spans="3:12" ht="12.75" customHeight="1" x14ac:dyDescent="0.35">
      <c r="C383" s="48"/>
      <c r="K383" s="48"/>
      <c r="L383" s="48"/>
    </row>
    <row r="384" spans="3:12" ht="12.75" customHeight="1" x14ac:dyDescent="0.35">
      <c r="C384" s="48"/>
      <c r="K384" s="48"/>
      <c r="L384" s="48"/>
    </row>
    <row r="385" spans="3:12" ht="12.75" customHeight="1" x14ac:dyDescent="0.35">
      <c r="C385" s="48"/>
      <c r="K385" s="48"/>
      <c r="L385" s="48"/>
    </row>
    <row r="386" spans="3:12" ht="12.75" customHeight="1" x14ac:dyDescent="0.35">
      <c r="C386" s="48"/>
      <c r="K386" s="48"/>
      <c r="L386" s="48"/>
    </row>
    <row r="387" spans="3:12" ht="12.75" customHeight="1" x14ac:dyDescent="0.35">
      <c r="C387" s="48"/>
      <c r="K387" s="48"/>
      <c r="L387" s="48"/>
    </row>
    <row r="388" spans="3:12" ht="12.75" customHeight="1" x14ac:dyDescent="0.35">
      <c r="C388" s="48"/>
      <c r="K388" s="48"/>
      <c r="L388" s="48"/>
    </row>
    <row r="389" spans="3:12" ht="12.75" customHeight="1" x14ac:dyDescent="0.35">
      <c r="C389" s="48"/>
      <c r="K389" s="48"/>
      <c r="L389" s="48"/>
    </row>
    <row r="390" spans="3:12" ht="12.75" customHeight="1" x14ac:dyDescent="0.35">
      <c r="C390" s="48"/>
      <c r="K390" s="48"/>
      <c r="L390" s="48"/>
    </row>
    <row r="391" spans="3:12" ht="12.75" customHeight="1" x14ac:dyDescent="0.35">
      <c r="C391" s="48"/>
      <c r="K391" s="48"/>
      <c r="L391" s="48"/>
    </row>
    <row r="392" spans="3:12" ht="12.75" customHeight="1" x14ac:dyDescent="0.35">
      <c r="C392" s="48"/>
      <c r="K392" s="48"/>
      <c r="L392" s="48"/>
    </row>
    <row r="393" spans="3:12" ht="12.75" customHeight="1" x14ac:dyDescent="0.35">
      <c r="C393" s="48"/>
      <c r="K393" s="48"/>
      <c r="L393" s="48"/>
    </row>
    <row r="394" spans="3:12" ht="12.75" customHeight="1" x14ac:dyDescent="0.35">
      <c r="C394" s="48"/>
      <c r="K394" s="48"/>
      <c r="L394" s="48"/>
    </row>
    <row r="395" spans="3:12" ht="12.75" customHeight="1" x14ac:dyDescent="0.35">
      <c r="C395" s="48"/>
      <c r="K395" s="48"/>
      <c r="L395" s="48"/>
    </row>
    <row r="396" spans="3:12" ht="12.75" customHeight="1" x14ac:dyDescent="0.35">
      <c r="C396" s="48"/>
      <c r="K396" s="48"/>
      <c r="L396" s="48"/>
    </row>
    <row r="397" spans="3:12" ht="12.75" customHeight="1" x14ac:dyDescent="0.35">
      <c r="C397" s="48"/>
      <c r="K397" s="48"/>
      <c r="L397" s="48"/>
    </row>
    <row r="398" spans="3:12" ht="12.75" customHeight="1" x14ac:dyDescent="0.35">
      <c r="C398" s="48"/>
      <c r="K398" s="48"/>
      <c r="L398" s="48"/>
    </row>
    <row r="399" spans="3:12" ht="12.75" customHeight="1" x14ac:dyDescent="0.35">
      <c r="C399" s="48"/>
      <c r="K399" s="48"/>
      <c r="L399" s="48"/>
    </row>
    <row r="400" spans="3:12" ht="12.75" customHeight="1" x14ac:dyDescent="0.35">
      <c r="C400" s="48"/>
      <c r="K400" s="48"/>
      <c r="L400" s="48"/>
    </row>
    <row r="401" spans="3:12" ht="12.75" customHeight="1" x14ac:dyDescent="0.35">
      <c r="C401" s="48"/>
      <c r="K401" s="48"/>
      <c r="L401" s="48"/>
    </row>
    <row r="402" spans="3:12" ht="12.75" customHeight="1" x14ac:dyDescent="0.35">
      <c r="C402" s="48"/>
      <c r="K402" s="48"/>
      <c r="L402" s="48"/>
    </row>
    <row r="403" spans="3:12" ht="12.75" customHeight="1" x14ac:dyDescent="0.35">
      <c r="C403" s="48"/>
      <c r="K403" s="48"/>
      <c r="L403" s="48"/>
    </row>
    <row r="404" spans="3:12" ht="12.75" customHeight="1" x14ac:dyDescent="0.35">
      <c r="C404" s="48"/>
      <c r="K404" s="48"/>
      <c r="L404" s="48"/>
    </row>
    <row r="405" spans="3:12" ht="12.75" customHeight="1" x14ac:dyDescent="0.35">
      <c r="C405" s="48"/>
      <c r="K405" s="48"/>
      <c r="L405" s="48"/>
    </row>
    <row r="406" spans="3:12" ht="12.75" customHeight="1" x14ac:dyDescent="0.35">
      <c r="C406" s="48"/>
      <c r="K406" s="48"/>
      <c r="L406" s="48"/>
    </row>
    <row r="407" spans="3:12" ht="12.75" customHeight="1" x14ac:dyDescent="0.35">
      <c r="C407" s="48"/>
      <c r="K407" s="48"/>
      <c r="L407" s="48"/>
    </row>
    <row r="408" spans="3:12" ht="12.75" customHeight="1" x14ac:dyDescent="0.35">
      <c r="C408" s="48"/>
      <c r="K408" s="48"/>
      <c r="L408" s="48"/>
    </row>
    <row r="409" spans="3:12" ht="12.75" customHeight="1" x14ac:dyDescent="0.35">
      <c r="C409" s="48"/>
      <c r="K409" s="48"/>
      <c r="L409" s="48"/>
    </row>
    <row r="410" spans="3:12" ht="12.75" customHeight="1" x14ac:dyDescent="0.35">
      <c r="C410" s="48"/>
      <c r="K410" s="48"/>
      <c r="L410" s="48"/>
    </row>
    <row r="411" spans="3:12" ht="12.75" customHeight="1" x14ac:dyDescent="0.35">
      <c r="C411" s="48"/>
      <c r="K411" s="48"/>
      <c r="L411" s="48"/>
    </row>
    <row r="412" spans="3:12" ht="12.75" customHeight="1" x14ac:dyDescent="0.35">
      <c r="C412" s="48"/>
      <c r="K412" s="48"/>
      <c r="L412" s="48"/>
    </row>
    <row r="413" spans="3:12" ht="12.75" customHeight="1" x14ac:dyDescent="0.35">
      <c r="C413" s="48"/>
      <c r="K413" s="48"/>
      <c r="L413" s="48"/>
    </row>
    <row r="414" spans="3:12" ht="12.75" customHeight="1" x14ac:dyDescent="0.35">
      <c r="C414" s="48"/>
      <c r="K414" s="48"/>
      <c r="L414" s="48"/>
    </row>
    <row r="415" spans="3:12" ht="12.75" customHeight="1" x14ac:dyDescent="0.35">
      <c r="C415" s="48"/>
      <c r="K415" s="48"/>
      <c r="L415" s="48"/>
    </row>
    <row r="416" spans="3:12" ht="12.75" customHeight="1" x14ac:dyDescent="0.35">
      <c r="C416" s="48"/>
      <c r="K416" s="48"/>
      <c r="L416" s="48"/>
    </row>
    <row r="417" spans="3:12" ht="12.75" customHeight="1" x14ac:dyDescent="0.35">
      <c r="C417" s="48"/>
      <c r="K417" s="48"/>
      <c r="L417" s="48"/>
    </row>
    <row r="418" spans="3:12" ht="12.75" customHeight="1" x14ac:dyDescent="0.35">
      <c r="C418" s="48"/>
      <c r="K418" s="48"/>
      <c r="L418" s="48"/>
    </row>
    <row r="419" spans="3:12" ht="12.75" customHeight="1" x14ac:dyDescent="0.35">
      <c r="C419" s="48"/>
      <c r="K419" s="48"/>
      <c r="L419" s="48"/>
    </row>
    <row r="420" spans="3:12" ht="12.75" customHeight="1" x14ac:dyDescent="0.35">
      <c r="C420" s="48"/>
      <c r="K420" s="48"/>
      <c r="L420" s="48"/>
    </row>
    <row r="421" spans="3:12" ht="12.75" customHeight="1" x14ac:dyDescent="0.35">
      <c r="C421" s="48"/>
      <c r="K421" s="48"/>
      <c r="L421" s="48"/>
    </row>
    <row r="422" spans="3:12" ht="12.75" customHeight="1" x14ac:dyDescent="0.35">
      <c r="C422" s="48"/>
      <c r="K422" s="48"/>
      <c r="L422" s="48"/>
    </row>
    <row r="423" spans="3:12" ht="12.75" customHeight="1" x14ac:dyDescent="0.35">
      <c r="C423" s="48"/>
      <c r="K423" s="48"/>
      <c r="L423" s="48"/>
    </row>
    <row r="424" spans="3:12" ht="12.75" customHeight="1" x14ac:dyDescent="0.35">
      <c r="C424" s="48"/>
      <c r="K424" s="48"/>
      <c r="L424" s="48"/>
    </row>
    <row r="425" spans="3:12" ht="12.75" customHeight="1" x14ac:dyDescent="0.35">
      <c r="C425" s="48"/>
      <c r="K425" s="48"/>
      <c r="L425" s="48"/>
    </row>
    <row r="426" spans="3:12" ht="12.75" customHeight="1" x14ac:dyDescent="0.35">
      <c r="C426" s="48"/>
      <c r="K426" s="48"/>
      <c r="L426" s="48"/>
    </row>
    <row r="427" spans="3:12" ht="12.75" customHeight="1" x14ac:dyDescent="0.35">
      <c r="C427" s="48"/>
      <c r="K427" s="48"/>
      <c r="L427" s="48"/>
    </row>
    <row r="428" spans="3:12" ht="12.75" customHeight="1" x14ac:dyDescent="0.35">
      <c r="C428" s="48"/>
      <c r="K428" s="48"/>
      <c r="L428" s="48"/>
    </row>
    <row r="429" spans="3:12" ht="12.75" customHeight="1" x14ac:dyDescent="0.35">
      <c r="C429" s="48"/>
      <c r="K429" s="48"/>
      <c r="L429" s="48"/>
    </row>
    <row r="430" spans="3:12" ht="12.75" customHeight="1" x14ac:dyDescent="0.35">
      <c r="C430" s="48"/>
      <c r="K430" s="48"/>
      <c r="L430" s="48"/>
    </row>
    <row r="431" spans="3:12" ht="12.75" customHeight="1" x14ac:dyDescent="0.35">
      <c r="C431" s="48"/>
      <c r="K431" s="48"/>
      <c r="L431" s="48"/>
    </row>
    <row r="432" spans="3:12" ht="12.75" customHeight="1" x14ac:dyDescent="0.35">
      <c r="C432" s="48"/>
      <c r="K432" s="48"/>
      <c r="L432" s="48"/>
    </row>
    <row r="433" spans="3:12" ht="12.75" customHeight="1" x14ac:dyDescent="0.35">
      <c r="C433" s="48"/>
      <c r="K433" s="48"/>
      <c r="L433" s="48"/>
    </row>
    <row r="434" spans="3:12" ht="12.75" customHeight="1" x14ac:dyDescent="0.35">
      <c r="C434" s="48"/>
      <c r="K434" s="48"/>
      <c r="L434" s="48"/>
    </row>
    <row r="435" spans="3:12" ht="12.75" customHeight="1" x14ac:dyDescent="0.35">
      <c r="C435" s="48"/>
      <c r="K435" s="48"/>
      <c r="L435" s="48"/>
    </row>
    <row r="436" spans="3:12" ht="12.75" customHeight="1" x14ac:dyDescent="0.35">
      <c r="C436" s="48"/>
      <c r="K436" s="48"/>
      <c r="L436" s="48"/>
    </row>
    <row r="437" spans="3:12" ht="12.75" customHeight="1" x14ac:dyDescent="0.35">
      <c r="C437" s="48"/>
      <c r="K437" s="48"/>
      <c r="L437" s="48"/>
    </row>
    <row r="438" spans="3:12" ht="12.75" customHeight="1" x14ac:dyDescent="0.35">
      <c r="C438" s="48"/>
      <c r="K438" s="48"/>
      <c r="L438" s="48"/>
    </row>
    <row r="439" spans="3:12" ht="12.75" customHeight="1" x14ac:dyDescent="0.35">
      <c r="C439" s="48"/>
      <c r="K439" s="48"/>
      <c r="L439" s="48"/>
    </row>
    <row r="440" spans="3:12" ht="12.75" customHeight="1" x14ac:dyDescent="0.35">
      <c r="C440" s="48"/>
      <c r="K440" s="48"/>
      <c r="L440" s="48"/>
    </row>
    <row r="441" spans="3:12" ht="12.75" customHeight="1" x14ac:dyDescent="0.35">
      <c r="C441" s="48"/>
      <c r="K441" s="48"/>
      <c r="L441" s="48"/>
    </row>
    <row r="442" spans="3:12" ht="12.75" customHeight="1" x14ac:dyDescent="0.35">
      <c r="C442" s="48"/>
      <c r="K442" s="48"/>
      <c r="L442" s="48"/>
    </row>
    <row r="443" spans="3:12" ht="12.75" customHeight="1" x14ac:dyDescent="0.35">
      <c r="C443" s="48"/>
      <c r="K443" s="48"/>
      <c r="L443" s="48"/>
    </row>
    <row r="444" spans="3:12" ht="12.75" customHeight="1" x14ac:dyDescent="0.35">
      <c r="C444" s="48"/>
      <c r="K444" s="48"/>
      <c r="L444" s="48"/>
    </row>
    <row r="445" spans="3:12" ht="12.75" customHeight="1" x14ac:dyDescent="0.35">
      <c r="C445" s="48"/>
      <c r="K445" s="48"/>
      <c r="L445" s="48"/>
    </row>
    <row r="446" spans="3:12" ht="12.75" customHeight="1" x14ac:dyDescent="0.35">
      <c r="C446" s="48"/>
      <c r="K446" s="48"/>
      <c r="L446" s="48"/>
    </row>
    <row r="447" spans="3:12" ht="12.75" customHeight="1" x14ac:dyDescent="0.35">
      <c r="C447" s="48"/>
      <c r="K447" s="48"/>
      <c r="L447" s="48"/>
    </row>
    <row r="448" spans="3:12" ht="12.75" customHeight="1" x14ac:dyDescent="0.35">
      <c r="C448" s="48"/>
      <c r="K448" s="48"/>
      <c r="L448" s="48"/>
    </row>
    <row r="449" spans="3:12" ht="12.75" customHeight="1" x14ac:dyDescent="0.35">
      <c r="C449" s="48"/>
      <c r="K449" s="48"/>
      <c r="L449" s="48"/>
    </row>
    <row r="450" spans="3:12" ht="12.75" customHeight="1" x14ac:dyDescent="0.35">
      <c r="C450" s="48"/>
      <c r="K450" s="48"/>
      <c r="L450" s="48"/>
    </row>
    <row r="451" spans="3:12" ht="12.75" customHeight="1" x14ac:dyDescent="0.35">
      <c r="C451" s="48"/>
      <c r="K451" s="48"/>
      <c r="L451" s="48"/>
    </row>
    <row r="452" spans="3:12" ht="12.75" customHeight="1" x14ac:dyDescent="0.35">
      <c r="C452" s="48"/>
      <c r="K452" s="48"/>
      <c r="L452" s="48"/>
    </row>
    <row r="453" spans="3:12" ht="12.75" customHeight="1" x14ac:dyDescent="0.35">
      <c r="C453" s="48"/>
      <c r="K453" s="48"/>
      <c r="L453" s="48"/>
    </row>
    <row r="454" spans="3:12" ht="12.75" customHeight="1" x14ac:dyDescent="0.35">
      <c r="C454" s="48"/>
      <c r="K454" s="48"/>
      <c r="L454" s="48"/>
    </row>
    <row r="455" spans="3:12" ht="12.75" customHeight="1" x14ac:dyDescent="0.35">
      <c r="C455" s="48"/>
      <c r="K455" s="48"/>
      <c r="L455" s="48"/>
    </row>
    <row r="456" spans="3:12" ht="12.75" customHeight="1" x14ac:dyDescent="0.35">
      <c r="C456" s="48"/>
      <c r="K456" s="48"/>
      <c r="L456" s="48"/>
    </row>
    <row r="457" spans="3:12" ht="12.75" customHeight="1" x14ac:dyDescent="0.35">
      <c r="C457" s="48"/>
      <c r="K457" s="48"/>
      <c r="L457" s="48"/>
    </row>
    <row r="458" spans="3:12" ht="12.75" customHeight="1" x14ac:dyDescent="0.35">
      <c r="C458" s="48"/>
      <c r="K458" s="48"/>
      <c r="L458" s="48"/>
    </row>
    <row r="459" spans="3:12" ht="12.75" customHeight="1" x14ac:dyDescent="0.35">
      <c r="C459" s="48"/>
      <c r="K459" s="48"/>
      <c r="L459" s="48"/>
    </row>
    <row r="460" spans="3:12" ht="12.75" customHeight="1" x14ac:dyDescent="0.35">
      <c r="C460" s="48"/>
      <c r="K460" s="48"/>
      <c r="L460" s="48"/>
    </row>
    <row r="461" spans="3:12" ht="12.75" customHeight="1" x14ac:dyDescent="0.35">
      <c r="C461" s="48"/>
      <c r="K461" s="48"/>
      <c r="L461" s="48"/>
    </row>
    <row r="462" spans="3:12" ht="12.75" customHeight="1" x14ac:dyDescent="0.35">
      <c r="C462" s="48"/>
      <c r="K462" s="48"/>
      <c r="L462" s="48"/>
    </row>
    <row r="463" spans="3:12" ht="12.75" customHeight="1" x14ac:dyDescent="0.35">
      <c r="C463" s="48"/>
      <c r="K463" s="48"/>
      <c r="L463" s="48"/>
    </row>
    <row r="464" spans="3:12" ht="12.75" customHeight="1" x14ac:dyDescent="0.35">
      <c r="C464" s="48"/>
      <c r="K464" s="48"/>
      <c r="L464" s="48"/>
    </row>
    <row r="465" spans="3:12" ht="12.75" customHeight="1" x14ac:dyDescent="0.35">
      <c r="C465" s="48"/>
      <c r="K465" s="48"/>
      <c r="L465" s="48"/>
    </row>
    <row r="466" spans="3:12" ht="12.75" customHeight="1" x14ac:dyDescent="0.35">
      <c r="C466" s="48"/>
      <c r="K466" s="48"/>
      <c r="L466" s="48"/>
    </row>
    <row r="467" spans="3:12" ht="12.75" customHeight="1" x14ac:dyDescent="0.35">
      <c r="C467" s="48"/>
      <c r="K467" s="48"/>
      <c r="L467" s="48"/>
    </row>
    <row r="468" spans="3:12" ht="12.75" customHeight="1" x14ac:dyDescent="0.35">
      <c r="C468" s="48"/>
      <c r="K468" s="48"/>
      <c r="L468" s="48"/>
    </row>
    <row r="469" spans="3:12" ht="12.75" customHeight="1" x14ac:dyDescent="0.35">
      <c r="C469" s="48"/>
      <c r="K469" s="48"/>
      <c r="L469" s="48"/>
    </row>
    <row r="470" spans="3:12" ht="12.75" customHeight="1" x14ac:dyDescent="0.35">
      <c r="C470" s="48"/>
      <c r="K470" s="48"/>
      <c r="L470" s="48"/>
    </row>
    <row r="471" spans="3:12" ht="12.75" customHeight="1" x14ac:dyDescent="0.35">
      <c r="C471" s="48"/>
      <c r="K471" s="48"/>
      <c r="L471" s="48"/>
    </row>
    <row r="472" spans="3:12" ht="12.75" customHeight="1" x14ac:dyDescent="0.35">
      <c r="C472" s="48"/>
      <c r="K472" s="48"/>
      <c r="L472" s="48"/>
    </row>
    <row r="473" spans="3:12" ht="12.75" customHeight="1" x14ac:dyDescent="0.35">
      <c r="C473" s="48"/>
      <c r="K473" s="48"/>
      <c r="L473" s="48"/>
    </row>
    <row r="474" spans="3:12" ht="12.75" customHeight="1" x14ac:dyDescent="0.35">
      <c r="C474" s="48"/>
      <c r="K474" s="48"/>
      <c r="L474" s="48"/>
    </row>
    <row r="475" spans="3:12" ht="12.75" customHeight="1" x14ac:dyDescent="0.35">
      <c r="C475" s="48"/>
      <c r="K475" s="48"/>
      <c r="L475" s="48"/>
    </row>
    <row r="476" spans="3:12" ht="12.75" customHeight="1" x14ac:dyDescent="0.35">
      <c r="C476" s="48"/>
      <c r="K476" s="48"/>
      <c r="L476" s="48"/>
    </row>
    <row r="477" spans="3:12" ht="12.75" customHeight="1" x14ac:dyDescent="0.35">
      <c r="C477" s="48"/>
      <c r="K477" s="48"/>
      <c r="L477" s="48"/>
    </row>
    <row r="478" spans="3:12" ht="12.75" customHeight="1" x14ac:dyDescent="0.35">
      <c r="C478" s="48"/>
      <c r="K478" s="48"/>
      <c r="L478" s="48"/>
    </row>
    <row r="479" spans="3:12" ht="12.75" customHeight="1" x14ac:dyDescent="0.35">
      <c r="C479" s="48"/>
      <c r="K479" s="48"/>
      <c r="L479" s="48"/>
    </row>
    <row r="480" spans="3:12" ht="12.75" customHeight="1" x14ac:dyDescent="0.35">
      <c r="C480" s="48"/>
      <c r="K480" s="48"/>
      <c r="L480" s="48"/>
    </row>
    <row r="481" spans="3:12" ht="12.75" customHeight="1" x14ac:dyDescent="0.35">
      <c r="C481" s="48"/>
      <c r="K481" s="48"/>
      <c r="L481" s="48"/>
    </row>
    <row r="482" spans="3:12" ht="12.75" customHeight="1" x14ac:dyDescent="0.35">
      <c r="C482" s="48"/>
      <c r="K482" s="48"/>
      <c r="L482" s="48"/>
    </row>
    <row r="483" spans="3:12" ht="12.75" customHeight="1" x14ac:dyDescent="0.35">
      <c r="C483" s="48"/>
      <c r="K483" s="48"/>
      <c r="L483" s="48"/>
    </row>
    <row r="484" spans="3:12" ht="12.75" customHeight="1" x14ac:dyDescent="0.35">
      <c r="C484" s="48"/>
      <c r="K484" s="48"/>
      <c r="L484" s="48"/>
    </row>
    <row r="485" spans="3:12" ht="12.75" customHeight="1" x14ac:dyDescent="0.35">
      <c r="C485" s="48"/>
      <c r="K485" s="48"/>
      <c r="L485" s="48"/>
    </row>
    <row r="486" spans="3:12" ht="12.75" customHeight="1" x14ac:dyDescent="0.35">
      <c r="C486" s="48"/>
      <c r="K486" s="48"/>
      <c r="L486" s="48"/>
    </row>
    <row r="487" spans="3:12" ht="12.75" customHeight="1" x14ac:dyDescent="0.35">
      <c r="C487" s="48"/>
      <c r="K487" s="48"/>
      <c r="L487" s="48"/>
    </row>
    <row r="488" spans="3:12" ht="12.75" customHeight="1" x14ac:dyDescent="0.35">
      <c r="C488" s="48"/>
      <c r="K488" s="48"/>
      <c r="L488" s="48"/>
    </row>
    <row r="489" spans="3:12" ht="12.75" customHeight="1" x14ac:dyDescent="0.35">
      <c r="C489" s="48"/>
      <c r="K489" s="48"/>
      <c r="L489" s="48"/>
    </row>
    <row r="490" spans="3:12" ht="12.75" customHeight="1" x14ac:dyDescent="0.35">
      <c r="C490" s="48"/>
      <c r="K490" s="48"/>
      <c r="L490" s="48"/>
    </row>
    <row r="491" spans="3:12" ht="12.75" customHeight="1" x14ac:dyDescent="0.35">
      <c r="C491" s="48"/>
      <c r="K491" s="48"/>
      <c r="L491" s="48"/>
    </row>
    <row r="492" spans="3:12" ht="12.75" customHeight="1" x14ac:dyDescent="0.35">
      <c r="C492" s="48"/>
      <c r="K492" s="48"/>
      <c r="L492" s="48"/>
    </row>
    <row r="493" spans="3:12" ht="12.75" customHeight="1" x14ac:dyDescent="0.35">
      <c r="C493" s="48"/>
      <c r="K493" s="48"/>
      <c r="L493" s="48"/>
    </row>
    <row r="494" spans="3:12" ht="12.75" customHeight="1" x14ac:dyDescent="0.35">
      <c r="C494" s="48"/>
      <c r="K494" s="48"/>
      <c r="L494" s="48"/>
    </row>
    <row r="495" spans="3:12" ht="12.75" customHeight="1" x14ac:dyDescent="0.35">
      <c r="C495" s="48"/>
      <c r="K495" s="48"/>
      <c r="L495" s="48"/>
    </row>
    <row r="496" spans="3:12" ht="12.75" customHeight="1" x14ac:dyDescent="0.35">
      <c r="C496" s="48"/>
      <c r="K496" s="48"/>
      <c r="L496" s="48"/>
    </row>
    <row r="497" spans="3:12" ht="12.75" customHeight="1" x14ac:dyDescent="0.35">
      <c r="C497" s="48"/>
      <c r="K497" s="48"/>
      <c r="L497" s="48"/>
    </row>
    <row r="498" spans="3:12" ht="12.75" customHeight="1" x14ac:dyDescent="0.35">
      <c r="C498" s="48"/>
      <c r="K498" s="48"/>
      <c r="L498" s="48"/>
    </row>
    <row r="499" spans="3:12" ht="12.75" customHeight="1" x14ac:dyDescent="0.35">
      <c r="C499" s="48"/>
      <c r="K499" s="48"/>
      <c r="L499" s="48"/>
    </row>
    <row r="500" spans="3:12" ht="12.75" customHeight="1" x14ac:dyDescent="0.35">
      <c r="C500" s="48"/>
      <c r="K500" s="48"/>
      <c r="L500" s="48"/>
    </row>
    <row r="501" spans="3:12" ht="12.75" customHeight="1" x14ac:dyDescent="0.35">
      <c r="C501" s="48"/>
      <c r="K501" s="48"/>
      <c r="L501" s="48"/>
    </row>
    <row r="502" spans="3:12" ht="12.75" customHeight="1" x14ac:dyDescent="0.35">
      <c r="C502" s="48"/>
      <c r="K502" s="48"/>
      <c r="L502" s="48"/>
    </row>
    <row r="503" spans="3:12" ht="12.75" customHeight="1" x14ac:dyDescent="0.35">
      <c r="C503" s="48"/>
      <c r="K503" s="48"/>
      <c r="L503" s="48"/>
    </row>
    <row r="504" spans="3:12" ht="12.75" customHeight="1" x14ac:dyDescent="0.35">
      <c r="C504" s="48"/>
      <c r="K504" s="48"/>
      <c r="L504" s="48"/>
    </row>
    <row r="505" spans="3:12" ht="12.75" customHeight="1" x14ac:dyDescent="0.35">
      <c r="C505" s="48"/>
      <c r="K505" s="48"/>
      <c r="L505" s="48"/>
    </row>
    <row r="506" spans="3:12" ht="12.75" customHeight="1" x14ac:dyDescent="0.35">
      <c r="C506" s="48"/>
      <c r="K506" s="48"/>
      <c r="L506" s="48"/>
    </row>
    <row r="507" spans="3:12" ht="12.75" customHeight="1" x14ac:dyDescent="0.35">
      <c r="C507" s="48"/>
      <c r="K507" s="48"/>
      <c r="L507" s="48"/>
    </row>
    <row r="508" spans="3:12" ht="12.75" customHeight="1" x14ac:dyDescent="0.35">
      <c r="C508" s="48"/>
      <c r="K508" s="48"/>
      <c r="L508" s="48"/>
    </row>
    <row r="509" spans="3:12" ht="12.75" customHeight="1" x14ac:dyDescent="0.35">
      <c r="C509" s="48"/>
      <c r="K509" s="48"/>
      <c r="L509" s="48"/>
    </row>
    <row r="510" spans="3:12" ht="12.75" customHeight="1" x14ac:dyDescent="0.35">
      <c r="C510" s="48"/>
      <c r="K510" s="48"/>
      <c r="L510" s="48"/>
    </row>
    <row r="511" spans="3:12" ht="12.75" customHeight="1" x14ac:dyDescent="0.35">
      <c r="C511" s="48"/>
      <c r="K511" s="48"/>
      <c r="L511" s="48"/>
    </row>
    <row r="512" spans="3:12" ht="12.75" customHeight="1" x14ac:dyDescent="0.35">
      <c r="C512" s="48"/>
      <c r="K512" s="48"/>
      <c r="L512" s="48"/>
    </row>
    <row r="513" spans="3:12" ht="12.75" customHeight="1" x14ac:dyDescent="0.35">
      <c r="C513" s="48"/>
      <c r="K513" s="48"/>
      <c r="L513" s="48"/>
    </row>
    <row r="514" spans="3:12" ht="12.75" customHeight="1" x14ac:dyDescent="0.35">
      <c r="C514" s="48"/>
      <c r="K514" s="48"/>
      <c r="L514" s="48"/>
    </row>
    <row r="515" spans="3:12" ht="12.75" customHeight="1" x14ac:dyDescent="0.35">
      <c r="C515" s="48"/>
      <c r="K515" s="48"/>
      <c r="L515" s="48"/>
    </row>
    <row r="516" spans="3:12" ht="12.75" customHeight="1" x14ac:dyDescent="0.35">
      <c r="C516" s="48"/>
      <c r="K516" s="48"/>
      <c r="L516" s="48"/>
    </row>
    <row r="517" spans="3:12" ht="12.75" customHeight="1" x14ac:dyDescent="0.35">
      <c r="C517" s="48"/>
      <c r="K517" s="48"/>
      <c r="L517" s="48"/>
    </row>
    <row r="518" spans="3:12" ht="12.75" customHeight="1" x14ac:dyDescent="0.35">
      <c r="C518" s="48"/>
      <c r="K518" s="48"/>
      <c r="L518" s="48"/>
    </row>
    <row r="519" spans="3:12" ht="12.75" customHeight="1" x14ac:dyDescent="0.35">
      <c r="C519" s="48"/>
      <c r="K519" s="48"/>
      <c r="L519" s="48"/>
    </row>
    <row r="520" spans="3:12" ht="12.75" customHeight="1" x14ac:dyDescent="0.35">
      <c r="C520" s="48"/>
      <c r="K520" s="48"/>
      <c r="L520" s="48"/>
    </row>
    <row r="521" spans="3:12" ht="12.75" customHeight="1" x14ac:dyDescent="0.35">
      <c r="C521" s="48"/>
      <c r="K521" s="48"/>
      <c r="L521" s="48"/>
    </row>
    <row r="522" spans="3:12" ht="12.75" customHeight="1" x14ac:dyDescent="0.35">
      <c r="C522" s="48"/>
      <c r="K522" s="48"/>
      <c r="L522" s="48"/>
    </row>
    <row r="523" spans="3:12" ht="12.75" customHeight="1" x14ac:dyDescent="0.35">
      <c r="C523" s="48"/>
      <c r="K523" s="48"/>
      <c r="L523" s="48"/>
    </row>
    <row r="524" spans="3:12" ht="12.75" customHeight="1" x14ac:dyDescent="0.35">
      <c r="C524" s="48"/>
      <c r="K524" s="48"/>
      <c r="L524" s="48"/>
    </row>
    <row r="525" spans="3:12" ht="12.75" customHeight="1" x14ac:dyDescent="0.35">
      <c r="C525" s="48"/>
      <c r="K525" s="48"/>
      <c r="L525" s="48"/>
    </row>
    <row r="526" spans="3:12" ht="12.75" customHeight="1" x14ac:dyDescent="0.35">
      <c r="C526" s="48"/>
      <c r="K526" s="48"/>
      <c r="L526" s="48"/>
    </row>
    <row r="527" spans="3:12" ht="12.75" customHeight="1" x14ac:dyDescent="0.35">
      <c r="C527" s="48"/>
      <c r="K527" s="48"/>
      <c r="L527" s="48"/>
    </row>
    <row r="528" spans="3:12" ht="12.75" customHeight="1" x14ac:dyDescent="0.35">
      <c r="C528" s="48"/>
      <c r="K528" s="48"/>
      <c r="L528" s="48"/>
    </row>
    <row r="529" spans="3:12" ht="12.75" customHeight="1" x14ac:dyDescent="0.35">
      <c r="C529" s="48"/>
      <c r="K529" s="48"/>
      <c r="L529" s="48"/>
    </row>
    <row r="530" spans="3:12" ht="12.75" customHeight="1" x14ac:dyDescent="0.35">
      <c r="C530" s="48"/>
      <c r="K530" s="48"/>
      <c r="L530" s="48"/>
    </row>
    <row r="531" spans="3:12" ht="12.75" customHeight="1" x14ac:dyDescent="0.35">
      <c r="C531" s="48"/>
      <c r="K531" s="48"/>
      <c r="L531" s="48"/>
    </row>
    <row r="532" spans="3:12" ht="12.75" customHeight="1" x14ac:dyDescent="0.35">
      <c r="C532" s="48"/>
      <c r="K532" s="48"/>
      <c r="L532" s="48"/>
    </row>
    <row r="533" spans="3:12" ht="12.75" customHeight="1" x14ac:dyDescent="0.35">
      <c r="C533" s="48"/>
      <c r="K533" s="48"/>
      <c r="L533" s="48"/>
    </row>
    <row r="534" spans="3:12" ht="12.75" customHeight="1" x14ac:dyDescent="0.35">
      <c r="C534" s="48"/>
      <c r="K534" s="48"/>
      <c r="L534" s="48"/>
    </row>
    <row r="535" spans="3:12" ht="12.75" customHeight="1" x14ac:dyDescent="0.35">
      <c r="C535" s="48"/>
      <c r="K535" s="48"/>
      <c r="L535" s="48"/>
    </row>
    <row r="536" spans="3:12" ht="12.75" customHeight="1" x14ac:dyDescent="0.35">
      <c r="C536" s="48"/>
      <c r="K536" s="48"/>
      <c r="L536" s="48"/>
    </row>
    <row r="537" spans="3:12" ht="12.75" customHeight="1" x14ac:dyDescent="0.35">
      <c r="C537" s="48"/>
      <c r="K537" s="48"/>
      <c r="L537" s="48"/>
    </row>
    <row r="538" spans="3:12" ht="12.75" customHeight="1" x14ac:dyDescent="0.35">
      <c r="C538" s="48"/>
      <c r="K538" s="48"/>
      <c r="L538" s="48"/>
    </row>
    <row r="539" spans="3:12" ht="12.75" customHeight="1" x14ac:dyDescent="0.35">
      <c r="C539" s="48"/>
      <c r="K539" s="48"/>
      <c r="L539" s="48"/>
    </row>
    <row r="540" spans="3:12" ht="12.75" customHeight="1" x14ac:dyDescent="0.35">
      <c r="C540" s="48"/>
      <c r="K540" s="48"/>
      <c r="L540" s="48"/>
    </row>
    <row r="541" spans="3:12" ht="12.75" customHeight="1" x14ac:dyDescent="0.35">
      <c r="C541" s="48"/>
      <c r="K541" s="48"/>
      <c r="L541" s="48"/>
    </row>
    <row r="542" spans="3:12" ht="12.75" customHeight="1" x14ac:dyDescent="0.35">
      <c r="C542" s="48"/>
      <c r="K542" s="48"/>
      <c r="L542" s="48"/>
    </row>
    <row r="543" spans="3:12" ht="12.75" customHeight="1" x14ac:dyDescent="0.35">
      <c r="C543" s="48"/>
      <c r="K543" s="48"/>
      <c r="L543" s="48"/>
    </row>
    <row r="544" spans="3:12" ht="12.75" customHeight="1" x14ac:dyDescent="0.35">
      <c r="C544" s="48"/>
      <c r="K544" s="48"/>
      <c r="L544" s="48"/>
    </row>
    <row r="545" spans="3:12" ht="12.75" customHeight="1" x14ac:dyDescent="0.35">
      <c r="C545" s="48"/>
      <c r="K545" s="48"/>
      <c r="L545" s="48"/>
    </row>
    <row r="546" spans="3:12" ht="12.75" customHeight="1" x14ac:dyDescent="0.35">
      <c r="C546" s="48"/>
      <c r="K546" s="48"/>
      <c r="L546" s="48"/>
    </row>
    <row r="547" spans="3:12" ht="12.75" customHeight="1" x14ac:dyDescent="0.35">
      <c r="C547" s="48"/>
      <c r="K547" s="48"/>
      <c r="L547" s="48"/>
    </row>
    <row r="548" spans="3:12" ht="12.75" customHeight="1" x14ac:dyDescent="0.35">
      <c r="C548" s="48"/>
      <c r="K548" s="48"/>
      <c r="L548" s="48"/>
    </row>
    <row r="549" spans="3:12" ht="12.75" customHeight="1" x14ac:dyDescent="0.35">
      <c r="C549" s="48"/>
      <c r="K549" s="48"/>
      <c r="L549" s="48"/>
    </row>
    <row r="550" spans="3:12" ht="12.75" customHeight="1" x14ac:dyDescent="0.35">
      <c r="C550" s="48"/>
      <c r="K550" s="48"/>
      <c r="L550" s="48"/>
    </row>
    <row r="551" spans="3:12" ht="12.75" customHeight="1" x14ac:dyDescent="0.35">
      <c r="C551" s="48"/>
      <c r="K551" s="48"/>
      <c r="L551" s="48"/>
    </row>
    <row r="552" spans="3:12" ht="12.75" customHeight="1" x14ac:dyDescent="0.35">
      <c r="C552" s="48"/>
      <c r="K552" s="48"/>
      <c r="L552" s="48"/>
    </row>
    <row r="553" spans="3:12" ht="12.75" customHeight="1" x14ac:dyDescent="0.35">
      <c r="C553" s="48"/>
      <c r="K553" s="48"/>
      <c r="L553" s="48"/>
    </row>
    <row r="554" spans="3:12" ht="12.75" customHeight="1" x14ac:dyDescent="0.35">
      <c r="C554" s="48"/>
      <c r="K554" s="48"/>
      <c r="L554" s="48"/>
    </row>
    <row r="555" spans="3:12" ht="12.75" customHeight="1" x14ac:dyDescent="0.35">
      <c r="C555" s="48"/>
      <c r="K555" s="48"/>
      <c r="L555" s="48"/>
    </row>
    <row r="556" spans="3:12" ht="12.75" customHeight="1" x14ac:dyDescent="0.35">
      <c r="C556" s="48"/>
      <c r="K556" s="48"/>
      <c r="L556" s="48"/>
    </row>
    <row r="557" spans="3:12" ht="12.75" customHeight="1" x14ac:dyDescent="0.35">
      <c r="C557" s="48"/>
      <c r="K557" s="48"/>
      <c r="L557" s="48"/>
    </row>
    <row r="558" spans="3:12" ht="12.75" customHeight="1" x14ac:dyDescent="0.35">
      <c r="C558" s="48"/>
      <c r="K558" s="48"/>
      <c r="L558" s="48"/>
    </row>
    <row r="559" spans="3:12" ht="12.75" customHeight="1" x14ac:dyDescent="0.35">
      <c r="C559" s="48"/>
      <c r="K559" s="48"/>
      <c r="L559" s="48"/>
    </row>
    <row r="560" spans="3:12" ht="12.75" customHeight="1" x14ac:dyDescent="0.35">
      <c r="C560" s="48"/>
      <c r="K560" s="48"/>
      <c r="L560" s="48"/>
    </row>
    <row r="561" spans="3:12" ht="12.75" customHeight="1" x14ac:dyDescent="0.35">
      <c r="C561" s="48"/>
      <c r="K561" s="48"/>
      <c r="L561" s="48"/>
    </row>
    <row r="562" spans="3:12" ht="12.75" customHeight="1" x14ac:dyDescent="0.35">
      <c r="C562" s="48"/>
      <c r="K562" s="48"/>
      <c r="L562" s="48"/>
    </row>
    <row r="563" spans="3:12" ht="12.75" customHeight="1" x14ac:dyDescent="0.35">
      <c r="C563" s="48"/>
      <c r="K563" s="48"/>
      <c r="L563" s="48"/>
    </row>
    <row r="564" spans="3:12" ht="12.75" customHeight="1" x14ac:dyDescent="0.35">
      <c r="C564" s="48"/>
      <c r="K564" s="48"/>
      <c r="L564" s="48"/>
    </row>
    <row r="565" spans="3:12" ht="12.75" customHeight="1" x14ac:dyDescent="0.35">
      <c r="C565" s="48"/>
      <c r="K565" s="48"/>
      <c r="L565" s="48"/>
    </row>
    <row r="566" spans="3:12" ht="12.75" customHeight="1" x14ac:dyDescent="0.35">
      <c r="C566" s="48"/>
      <c r="K566" s="48"/>
      <c r="L566" s="48"/>
    </row>
    <row r="567" spans="3:12" ht="12.75" customHeight="1" x14ac:dyDescent="0.35">
      <c r="C567" s="48"/>
      <c r="K567" s="48"/>
      <c r="L567" s="48"/>
    </row>
    <row r="568" spans="3:12" ht="12.75" customHeight="1" x14ac:dyDescent="0.35">
      <c r="C568" s="48"/>
      <c r="K568" s="48"/>
      <c r="L568" s="48"/>
    </row>
    <row r="569" spans="3:12" ht="12.75" customHeight="1" x14ac:dyDescent="0.35">
      <c r="C569" s="48"/>
      <c r="K569" s="48"/>
      <c r="L569" s="48"/>
    </row>
    <row r="570" spans="3:12" ht="12.75" customHeight="1" x14ac:dyDescent="0.35">
      <c r="C570" s="48"/>
      <c r="K570" s="48"/>
      <c r="L570" s="48"/>
    </row>
    <row r="571" spans="3:12" ht="12.75" customHeight="1" x14ac:dyDescent="0.35">
      <c r="C571" s="48"/>
      <c r="K571" s="48"/>
      <c r="L571" s="48"/>
    </row>
    <row r="572" spans="3:12" ht="12.75" customHeight="1" x14ac:dyDescent="0.35">
      <c r="C572" s="48"/>
      <c r="K572" s="48"/>
      <c r="L572" s="48"/>
    </row>
    <row r="573" spans="3:12" ht="12.75" customHeight="1" x14ac:dyDescent="0.35">
      <c r="C573" s="48"/>
      <c r="K573" s="48"/>
      <c r="L573" s="48"/>
    </row>
    <row r="574" spans="3:12" ht="12.75" customHeight="1" x14ac:dyDescent="0.35">
      <c r="C574" s="48"/>
      <c r="K574" s="48"/>
      <c r="L574" s="48"/>
    </row>
    <row r="575" spans="3:12" ht="12.75" customHeight="1" x14ac:dyDescent="0.35">
      <c r="C575" s="48"/>
      <c r="K575" s="48"/>
      <c r="L575" s="48"/>
    </row>
    <row r="576" spans="3:12" ht="12.75" customHeight="1" x14ac:dyDescent="0.35">
      <c r="C576" s="48"/>
      <c r="K576" s="48"/>
      <c r="L576" s="48"/>
    </row>
    <row r="577" spans="3:12" ht="12.75" customHeight="1" x14ac:dyDescent="0.35">
      <c r="C577" s="48"/>
      <c r="K577" s="48"/>
      <c r="L577" s="48"/>
    </row>
    <row r="578" spans="3:12" ht="12.75" customHeight="1" x14ac:dyDescent="0.35">
      <c r="C578" s="48"/>
      <c r="K578" s="48"/>
      <c r="L578" s="48"/>
    </row>
    <row r="579" spans="3:12" ht="12.75" customHeight="1" x14ac:dyDescent="0.35">
      <c r="C579" s="48"/>
      <c r="K579" s="48"/>
      <c r="L579" s="48"/>
    </row>
    <row r="580" spans="3:12" ht="12.75" customHeight="1" x14ac:dyDescent="0.35">
      <c r="C580" s="48"/>
      <c r="K580" s="48"/>
      <c r="L580" s="48"/>
    </row>
    <row r="581" spans="3:12" ht="12.75" customHeight="1" x14ac:dyDescent="0.35">
      <c r="C581" s="48"/>
      <c r="K581" s="48"/>
      <c r="L581" s="48"/>
    </row>
    <row r="582" spans="3:12" ht="12.75" customHeight="1" x14ac:dyDescent="0.35">
      <c r="C582" s="48"/>
      <c r="K582" s="48"/>
      <c r="L582" s="48"/>
    </row>
    <row r="583" spans="3:12" ht="12.75" customHeight="1" x14ac:dyDescent="0.35">
      <c r="C583" s="48"/>
      <c r="K583" s="48"/>
      <c r="L583" s="48"/>
    </row>
    <row r="584" spans="3:12" ht="12.75" customHeight="1" x14ac:dyDescent="0.35">
      <c r="C584" s="48"/>
      <c r="K584" s="48"/>
      <c r="L584" s="48"/>
    </row>
    <row r="585" spans="3:12" ht="12.75" customHeight="1" x14ac:dyDescent="0.35">
      <c r="C585" s="48"/>
      <c r="K585" s="48"/>
      <c r="L585" s="48"/>
    </row>
    <row r="586" spans="3:12" ht="12.75" customHeight="1" x14ac:dyDescent="0.35">
      <c r="C586" s="48"/>
      <c r="K586" s="48"/>
      <c r="L586" s="48"/>
    </row>
    <row r="587" spans="3:12" ht="12.75" customHeight="1" x14ac:dyDescent="0.35">
      <c r="C587" s="48"/>
      <c r="K587" s="48"/>
      <c r="L587" s="48"/>
    </row>
    <row r="588" spans="3:12" ht="12.75" customHeight="1" x14ac:dyDescent="0.35">
      <c r="C588" s="48"/>
      <c r="K588" s="48"/>
      <c r="L588" s="48"/>
    </row>
    <row r="589" spans="3:12" ht="12.75" customHeight="1" x14ac:dyDescent="0.35">
      <c r="C589" s="48"/>
      <c r="K589" s="48"/>
      <c r="L589" s="48"/>
    </row>
    <row r="590" spans="3:12" ht="12.75" customHeight="1" x14ac:dyDescent="0.35">
      <c r="C590" s="48"/>
      <c r="K590" s="48"/>
      <c r="L590" s="48"/>
    </row>
    <row r="591" spans="3:12" ht="12.75" customHeight="1" x14ac:dyDescent="0.35">
      <c r="C591" s="48"/>
      <c r="K591" s="48"/>
      <c r="L591" s="48"/>
    </row>
    <row r="592" spans="3:12" ht="12.75" customHeight="1" x14ac:dyDescent="0.35">
      <c r="C592" s="48"/>
      <c r="K592" s="48"/>
      <c r="L592" s="48"/>
    </row>
    <row r="593" spans="3:12" ht="12.75" customHeight="1" x14ac:dyDescent="0.35">
      <c r="C593" s="48"/>
      <c r="K593" s="48"/>
      <c r="L593" s="48"/>
    </row>
    <row r="594" spans="3:12" ht="12.75" customHeight="1" x14ac:dyDescent="0.35">
      <c r="C594" s="48"/>
      <c r="K594" s="48"/>
      <c r="L594" s="48"/>
    </row>
    <row r="595" spans="3:12" ht="12.75" customHeight="1" x14ac:dyDescent="0.35">
      <c r="C595" s="48"/>
      <c r="K595" s="48"/>
      <c r="L595" s="48"/>
    </row>
    <row r="596" spans="3:12" ht="12.75" customHeight="1" x14ac:dyDescent="0.35">
      <c r="C596" s="48"/>
      <c r="K596" s="48"/>
      <c r="L596" s="48"/>
    </row>
    <row r="597" spans="3:12" ht="12.75" customHeight="1" x14ac:dyDescent="0.35">
      <c r="C597" s="48"/>
      <c r="K597" s="48"/>
      <c r="L597" s="48"/>
    </row>
    <row r="598" spans="3:12" ht="12.75" customHeight="1" x14ac:dyDescent="0.35">
      <c r="C598" s="48"/>
      <c r="K598" s="48"/>
      <c r="L598" s="48"/>
    </row>
    <row r="599" spans="3:12" ht="12.75" customHeight="1" x14ac:dyDescent="0.35">
      <c r="C599" s="48"/>
      <c r="K599" s="48"/>
      <c r="L599" s="48"/>
    </row>
    <row r="600" spans="3:12" ht="12.75" customHeight="1" x14ac:dyDescent="0.35">
      <c r="C600" s="48"/>
      <c r="K600" s="48"/>
      <c r="L600" s="48"/>
    </row>
    <row r="601" spans="3:12" ht="12.75" customHeight="1" x14ac:dyDescent="0.35">
      <c r="C601" s="48"/>
      <c r="K601" s="48"/>
      <c r="L601" s="48"/>
    </row>
    <row r="602" spans="3:12" ht="12.75" customHeight="1" x14ac:dyDescent="0.35">
      <c r="C602" s="48"/>
      <c r="K602" s="48"/>
      <c r="L602" s="48"/>
    </row>
    <row r="603" spans="3:12" ht="12.75" customHeight="1" x14ac:dyDescent="0.35">
      <c r="C603" s="48"/>
      <c r="K603" s="48"/>
      <c r="L603" s="48"/>
    </row>
    <row r="604" spans="3:12" ht="12.75" customHeight="1" x14ac:dyDescent="0.35">
      <c r="C604" s="48"/>
      <c r="K604" s="48"/>
      <c r="L604" s="48"/>
    </row>
    <row r="605" spans="3:12" ht="12.75" customHeight="1" x14ac:dyDescent="0.35">
      <c r="C605" s="48"/>
      <c r="K605" s="48"/>
      <c r="L605" s="48"/>
    </row>
    <row r="606" spans="3:12" ht="12.75" customHeight="1" x14ac:dyDescent="0.35">
      <c r="C606" s="48"/>
      <c r="K606" s="48"/>
      <c r="L606" s="48"/>
    </row>
    <row r="607" spans="3:12" ht="12.75" customHeight="1" x14ac:dyDescent="0.35">
      <c r="C607" s="48"/>
      <c r="K607" s="48"/>
      <c r="L607" s="48"/>
    </row>
    <row r="608" spans="3:12" ht="12.75" customHeight="1" x14ac:dyDescent="0.35">
      <c r="C608" s="48"/>
      <c r="K608" s="48"/>
      <c r="L608" s="48"/>
    </row>
    <row r="609" spans="3:12" ht="12.75" customHeight="1" x14ac:dyDescent="0.35">
      <c r="C609" s="48"/>
      <c r="K609" s="48"/>
      <c r="L609" s="48"/>
    </row>
    <row r="610" spans="3:12" ht="12.75" customHeight="1" x14ac:dyDescent="0.35">
      <c r="C610" s="48"/>
      <c r="K610" s="48"/>
      <c r="L610" s="48"/>
    </row>
    <row r="611" spans="3:12" ht="12.75" customHeight="1" x14ac:dyDescent="0.35">
      <c r="C611" s="48"/>
      <c r="K611" s="48"/>
      <c r="L611" s="48"/>
    </row>
    <row r="612" spans="3:12" ht="12.75" customHeight="1" x14ac:dyDescent="0.35">
      <c r="C612" s="48"/>
      <c r="K612" s="48"/>
      <c r="L612" s="48"/>
    </row>
    <row r="613" spans="3:12" ht="12.75" customHeight="1" x14ac:dyDescent="0.35">
      <c r="C613" s="48"/>
      <c r="K613" s="48"/>
      <c r="L613" s="48"/>
    </row>
    <row r="614" spans="3:12" ht="12.75" customHeight="1" x14ac:dyDescent="0.35">
      <c r="C614" s="48"/>
      <c r="K614" s="48"/>
      <c r="L614" s="48"/>
    </row>
    <row r="615" spans="3:12" ht="12.75" customHeight="1" x14ac:dyDescent="0.35">
      <c r="C615" s="48"/>
      <c r="K615" s="48"/>
      <c r="L615" s="48"/>
    </row>
    <row r="616" spans="3:12" ht="12.75" customHeight="1" x14ac:dyDescent="0.35">
      <c r="C616" s="48"/>
      <c r="K616" s="48"/>
      <c r="L616" s="48"/>
    </row>
    <row r="617" spans="3:12" ht="12.75" customHeight="1" x14ac:dyDescent="0.35">
      <c r="C617" s="48"/>
      <c r="K617" s="48"/>
      <c r="L617" s="48"/>
    </row>
    <row r="618" spans="3:12" ht="12.75" customHeight="1" x14ac:dyDescent="0.35">
      <c r="C618" s="48"/>
      <c r="K618" s="48"/>
      <c r="L618" s="48"/>
    </row>
    <row r="619" spans="3:12" ht="12.75" customHeight="1" x14ac:dyDescent="0.35">
      <c r="C619" s="48"/>
      <c r="K619" s="48"/>
      <c r="L619" s="48"/>
    </row>
    <row r="620" spans="3:12" ht="12.75" customHeight="1" x14ac:dyDescent="0.35">
      <c r="C620" s="48"/>
      <c r="K620" s="48"/>
      <c r="L620" s="48"/>
    </row>
    <row r="621" spans="3:12" ht="12.75" customHeight="1" x14ac:dyDescent="0.35">
      <c r="C621" s="48"/>
      <c r="K621" s="48"/>
      <c r="L621" s="48"/>
    </row>
    <row r="622" spans="3:12" ht="12.75" customHeight="1" x14ac:dyDescent="0.35">
      <c r="C622" s="48"/>
      <c r="K622" s="48"/>
      <c r="L622" s="48"/>
    </row>
    <row r="623" spans="3:12" ht="12.75" customHeight="1" x14ac:dyDescent="0.35">
      <c r="C623" s="48"/>
      <c r="K623" s="48"/>
      <c r="L623" s="48"/>
    </row>
    <row r="624" spans="3:12" ht="12.75" customHeight="1" x14ac:dyDescent="0.35">
      <c r="C624" s="48"/>
      <c r="K624" s="48"/>
      <c r="L624" s="48"/>
    </row>
    <row r="625" spans="3:12" ht="12.75" customHeight="1" x14ac:dyDescent="0.35">
      <c r="C625" s="48"/>
      <c r="K625" s="48"/>
      <c r="L625" s="48"/>
    </row>
    <row r="626" spans="3:12" ht="12.75" customHeight="1" x14ac:dyDescent="0.35">
      <c r="C626" s="48"/>
      <c r="K626" s="48"/>
      <c r="L626" s="48"/>
    </row>
    <row r="627" spans="3:12" ht="12.75" customHeight="1" x14ac:dyDescent="0.35">
      <c r="C627" s="48"/>
      <c r="K627" s="48"/>
      <c r="L627" s="48"/>
    </row>
    <row r="628" spans="3:12" ht="12.75" customHeight="1" x14ac:dyDescent="0.35">
      <c r="C628" s="48"/>
      <c r="K628" s="48"/>
      <c r="L628" s="48"/>
    </row>
    <row r="629" spans="3:12" ht="12.75" customHeight="1" x14ac:dyDescent="0.35">
      <c r="C629" s="48"/>
      <c r="K629" s="48"/>
      <c r="L629" s="48"/>
    </row>
    <row r="630" spans="3:12" ht="12.75" customHeight="1" x14ac:dyDescent="0.35">
      <c r="C630" s="48"/>
      <c r="K630" s="48"/>
      <c r="L630" s="48"/>
    </row>
    <row r="631" spans="3:12" ht="12.75" customHeight="1" x14ac:dyDescent="0.35">
      <c r="C631" s="48"/>
      <c r="K631" s="48"/>
      <c r="L631" s="48"/>
    </row>
    <row r="632" spans="3:12" ht="12.75" customHeight="1" x14ac:dyDescent="0.35">
      <c r="C632" s="48"/>
      <c r="K632" s="48"/>
      <c r="L632" s="48"/>
    </row>
    <row r="633" spans="3:12" ht="12.75" customHeight="1" x14ac:dyDescent="0.35">
      <c r="C633" s="48"/>
      <c r="K633" s="48"/>
      <c r="L633" s="48"/>
    </row>
    <row r="634" spans="3:12" ht="12.75" customHeight="1" x14ac:dyDescent="0.35">
      <c r="C634" s="48"/>
      <c r="K634" s="48"/>
      <c r="L634" s="48"/>
    </row>
    <row r="635" spans="3:12" ht="12.75" customHeight="1" x14ac:dyDescent="0.35">
      <c r="C635" s="48"/>
      <c r="K635" s="48"/>
      <c r="L635" s="48"/>
    </row>
    <row r="636" spans="3:12" ht="12.75" customHeight="1" x14ac:dyDescent="0.35">
      <c r="C636" s="48"/>
      <c r="K636" s="48"/>
      <c r="L636" s="48"/>
    </row>
    <row r="637" spans="3:12" ht="12.75" customHeight="1" x14ac:dyDescent="0.35">
      <c r="C637" s="48"/>
      <c r="K637" s="48"/>
      <c r="L637" s="48"/>
    </row>
    <row r="638" spans="3:12" ht="12.75" customHeight="1" x14ac:dyDescent="0.35">
      <c r="C638" s="48"/>
      <c r="K638" s="48"/>
      <c r="L638" s="48"/>
    </row>
    <row r="639" spans="3:12" ht="12.75" customHeight="1" x14ac:dyDescent="0.35">
      <c r="C639" s="48"/>
      <c r="K639" s="48"/>
      <c r="L639" s="48"/>
    </row>
    <row r="640" spans="3:12" ht="12.75" customHeight="1" x14ac:dyDescent="0.35">
      <c r="C640" s="48"/>
      <c r="K640" s="48"/>
      <c r="L640" s="48"/>
    </row>
    <row r="641" spans="3:12" ht="12.75" customHeight="1" x14ac:dyDescent="0.35">
      <c r="C641" s="48"/>
      <c r="K641" s="48"/>
      <c r="L641" s="48"/>
    </row>
    <row r="642" spans="3:12" ht="12.75" customHeight="1" x14ac:dyDescent="0.35">
      <c r="C642" s="48"/>
      <c r="K642" s="48"/>
      <c r="L642" s="48"/>
    </row>
    <row r="643" spans="3:12" ht="12.75" customHeight="1" x14ac:dyDescent="0.35">
      <c r="C643" s="48"/>
      <c r="K643" s="48"/>
      <c r="L643" s="48"/>
    </row>
    <row r="644" spans="3:12" ht="12.75" customHeight="1" x14ac:dyDescent="0.35">
      <c r="C644" s="48"/>
      <c r="K644" s="48"/>
      <c r="L644" s="48"/>
    </row>
    <row r="645" spans="3:12" ht="12.75" customHeight="1" x14ac:dyDescent="0.35">
      <c r="C645" s="48"/>
      <c r="K645" s="48"/>
      <c r="L645" s="48"/>
    </row>
    <row r="646" spans="3:12" ht="12.75" customHeight="1" x14ac:dyDescent="0.35">
      <c r="C646" s="48"/>
      <c r="K646" s="48"/>
      <c r="L646" s="48"/>
    </row>
    <row r="647" spans="3:12" ht="12.75" customHeight="1" x14ac:dyDescent="0.35">
      <c r="C647" s="48"/>
      <c r="K647" s="48"/>
      <c r="L647" s="48"/>
    </row>
    <row r="648" spans="3:12" ht="12.75" customHeight="1" x14ac:dyDescent="0.35">
      <c r="C648" s="48"/>
      <c r="K648" s="48"/>
      <c r="L648" s="48"/>
    </row>
    <row r="649" spans="3:12" ht="12.75" customHeight="1" x14ac:dyDescent="0.35">
      <c r="C649" s="48"/>
      <c r="K649" s="48"/>
      <c r="L649" s="48"/>
    </row>
    <row r="650" spans="3:12" ht="12.75" customHeight="1" x14ac:dyDescent="0.35">
      <c r="C650" s="48"/>
      <c r="K650" s="48"/>
      <c r="L650" s="48"/>
    </row>
    <row r="651" spans="3:12" ht="12.75" customHeight="1" x14ac:dyDescent="0.35">
      <c r="C651" s="48"/>
      <c r="K651" s="48"/>
      <c r="L651" s="48"/>
    </row>
    <row r="652" spans="3:12" ht="12.75" customHeight="1" x14ac:dyDescent="0.35">
      <c r="C652" s="48"/>
      <c r="K652" s="48"/>
      <c r="L652" s="48"/>
    </row>
    <row r="653" spans="3:12" ht="12.75" customHeight="1" x14ac:dyDescent="0.35">
      <c r="C653" s="48"/>
      <c r="K653" s="48"/>
      <c r="L653" s="48"/>
    </row>
    <row r="654" spans="3:12" ht="12.75" customHeight="1" x14ac:dyDescent="0.35">
      <c r="C654" s="48"/>
      <c r="K654" s="48"/>
      <c r="L654" s="48"/>
    </row>
    <row r="655" spans="3:12" ht="12.75" customHeight="1" x14ac:dyDescent="0.35">
      <c r="C655" s="48"/>
      <c r="K655" s="48"/>
      <c r="L655" s="48"/>
    </row>
    <row r="656" spans="3:12" ht="12.75" customHeight="1" x14ac:dyDescent="0.35">
      <c r="C656" s="48"/>
      <c r="K656" s="48"/>
      <c r="L656" s="48"/>
    </row>
    <row r="657" spans="3:12" ht="12.75" customHeight="1" x14ac:dyDescent="0.35">
      <c r="C657" s="48"/>
      <c r="K657" s="48"/>
      <c r="L657" s="48"/>
    </row>
    <row r="658" spans="3:12" ht="12.75" customHeight="1" x14ac:dyDescent="0.35">
      <c r="C658" s="48"/>
      <c r="K658" s="48"/>
      <c r="L658" s="48"/>
    </row>
    <row r="659" spans="3:12" ht="12.75" customHeight="1" x14ac:dyDescent="0.35">
      <c r="C659" s="48"/>
      <c r="K659" s="48"/>
      <c r="L659" s="48"/>
    </row>
    <row r="660" spans="3:12" ht="12.75" customHeight="1" x14ac:dyDescent="0.35">
      <c r="C660" s="48"/>
      <c r="K660" s="48"/>
      <c r="L660" s="48"/>
    </row>
    <row r="661" spans="3:12" ht="12.75" customHeight="1" x14ac:dyDescent="0.35">
      <c r="C661" s="48"/>
      <c r="K661" s="48"/>
      <c r="L661" s="48"/>
    </row>
    <row r="662" spans="3:12" ht="12.75" customHeight="1" x14ac:dyDescent="0.35">
      <c r="C662" s="48"/>
      <c r="K662" s="48"/>
      <c r="L662" s="48"/>
    </row>
    <row r="663" spans="3:12" ht="12.75" customHeight="1" x14ac:dyDescent="0.35">
      <c r="C663" s="48"/>
      <c r="K663" s="48"/>
      <c r="L663" s="48"/>
    </row>
    <row r="664" spans="3:12" ht="12.75" customHeight="1" x14ac:dyDescent="0.35">
      <c r="C664" s="48"/>
      <c r="K664" s="48"/>
      <c r="L664" s="48"/>
    </row>
    <row r="665" spans="3:12" ht="12.75" customHeight="1" x14ac:dyDescent="0.35">
      <c r="C665" s="48"/>
      <c r="K665" s="48"/>
      <c r="L665" s="48"/>
    </row>
    <row r="666" spans="3:12" ht="12.75" customHeight="1" x14ac:dyDescent="0.35">
      <c r="C666" s="48"/>
      <c r="K666" s="48"/>
      <c r="L666" s="48"/>
    </row>
    <row r="667" spans="3:12" ht="12.75" customHeight="1" x14ac:dyDescent="0.35">
      <c r="C667" s="48"/>
      <c r="K667" s="48"/>
      <c r="L667" s="48"/>
    </row>
    <row r="668" spans="3:12" ht="12.75" customHeight="1" x14ac:dyDescent="0.35">
      <c r="C668" s="48"/>
      <c r="K668" s="48"/>
      <c r="L668" s="48"/>
    </row>
    <row r="669" spans="3:12" ht="12.75" customHeight="1" x14ac:dyDescent="0.35">
      <c r="C669" s="48"/>
      <c r="K669" s="48"/>
      <c r="L669" s="48"/>
    </row>
    <row r="670" spans="3:12" ht="12.75" customHeight="1" x14ac:dyDescent="0.35">
      <c r="C670" s="48"/>
      <c r="K670" s="48"/>
      <c r="L670" s="48"/>
    </row>
    <row r="671" spans="3:12" ht="12.75" customHeight="1" x14ac:dyDescent="0.35">
      <c r="C671" s="48"/>
      <c r="K671" s="48"/>
      <c r="L671" s="48"/>
    </row>
    <row r="672" spans="3:12" ht="12.75" customHeight="1" x14ac:dyDescent="0.35">
      <c r="C672" s="48"/>
      <c r="K672" s="48"/>
      <c r="L672" s="48"/>
    </row>
    <row r="673" spans="3:12" ht="12.75" customHeight="1" x14ac:dyDescent="0.35">
      <c r="C673" s="48"/>
      <c r="K673" s="48"/>
      <c r="L673" s="48"/>
    </row>
    <row r="674" spans="3:12" ht="12.75" customHeight="1" x14ac:dyDescent="0.35">
      <c r="C674" s="48"/>
      <c r="K674" s="48"/>
      <c r="L674" s="48"/>
    </row>
    <row r="675" spans="3:12" ht="12.75" customHeight="1" x14ac:dyDescent="0.35">
      <c r="C675" s="48"/>
      <c r="K675" s="48"/>
      <c r="L675" s="48"/>
    </row>
    <row r="676" spans="3:12" ht="12.75" customHeight="1" x14ac:dyDescent="0.35">
      <c r="C676" s="48"/>
      <c r="K676" s="48"/>
      <c r="L676" s="48"/>
    </row>
    <row r="677" spans="3:12" ht="12.75" customHeight="1" x14ac:dyDescent="0.35">
      <c r="C677" s="48"/>
      <c r="K677" s="48"/>
      <c r="L677" s="48"/>
    </row>
    <row r="678" spans="3:12" ht="12.75" customHeight="1" x14ac:dyDescent="0.35">
      <c r="C678" s="48"/>
      <c r="K678" s="48"/>
      <c r="L678" s="48"/>
    </row>
    <row r="679" spans="3:12" ht="12.75" customHeight="1" x14ac:dyDescent="0.35">
      <c r="C679" s="48"/>
      <c r="K679" s="48"/>
      <c r="L679" s="48"/>
    </row>
    <row r="680" spans="3:12" ht="12.75" customHeight="1" x14ac:dyDescent="0.35">
      <c r="C680" s="48"/>
      <c r="K680" s="48"/>
      <c r="L680" s="48"/>
    </row>
    <row r="681" spans="3:12" ht="12.75" customHeight="1" x14ac:dyDescent="0.35">
      <c r="C681" s="48"/>
      <c r="K681" s="48"/>
      <c r="L681" s="48"/>
    </row>
    <row r="682" spans="3:12" ht="12.75" customHeight="1" x14ac:dyDescent="0.35">
      <c r="C682" s="48"/>
      <c r="K682" s="48"/>
      <c r="L682" s="48"/>
    </row>
    <row r="683" spans="3:12" ht="12.75" customHeight="1" x14ac:dyDescent="0.35">
      <c r="C683" s="48"/>
      <c r="K683" s="48"/>
      <c r="L683" s="48"/>
    </row>
    <row r="684" spans="3:12" ht="12.75" customHeight="1" x14ac:dyDescent="0.35">
      <c r="C684" s="48"/>
      <c r="K684" s="48"/>
      <c r="L684" s="48"/>
    </row>
    <row r="685" spans="3:12" ht="12.75" customHeight="1" x14ac:dyDescent="0.35">
      <c r="C685" s="48"/>
      <c r="K685" s="48"/>
      <c r="L685" s="48"/>
    </row>
    <row r="686" spans="3:12" ht="12.75" customHeight="1" x14ac:dyDescent="0.35">
      <c r="C686" s="48"/>
      <c r="K686" s="48"/>
      <c r="L686" s="48"/>
    </row>
    <row r="687" spans="3:12" ht="12.75" customHeight="1" x14ac:dyDescent="0.35">
      <c r="C687" s="48"/>
      <c r="K687" s="48"/>
      <c r="L687" s="48"/>
    </row>
    <row r="688" spans="3:12" ht="12.75" customHeight="1" x14ac:dyDescent="0.35">
      <c r="C688" s="48"/>
      <c r="K688" s="48"/>
      <c r="L688" s="48"/>
    </row>
    <row r="689" spans="3:12" ht="12.75" customHeight="1" x14ac:dyDescent="0.35">
      <c r="C689" s="48"/>
      <c r="K689" s="48"/>
      <c r="L689" s="48"/>
    </row>
    <row r="690" spans="3:12" ht="12.75" customHeight="1" x14ac:dyDescent="0.35">
      <c r="C690" s="48"/>
      <c r="K690" s="48"/>
      <c r="L690" s="48"/>
    </row>
    <row r="691" spans="3:12" ht="12.75" customHeight="1" x14ac:dyDescent="0.35">
      <c r="C691" s="48"/>
      <c r="K691" s="48"/>
      <c r="L691" s="48"/>
    </row>
    <row r="692" spans="3:12" ht="12.75" customHeight="1" x14ac:dyDescent="0.35">
      <c r="C692" s="48"/>
      <c r="K692" s="48"/>
      <c r="L692" s="48"/>
    </row>
    <row r="693" spans="3:12" ht="12.75" customHeight="1" x14ac:dyDescent="0.35">
      <c r="C693" s="48"/>
      <c r="K693" s="48"/>
      <c r="L693" s="48"/>
    </row>
    <row r="694" spans="3:12" ht="12.75" customHeight="1" x14ac:dyDescent="0.35">
      <c r="C694" s="48"/>
      <c r="K694" s="48"/>
      <c r="L694" s="48"/>
    </row>
    <row r="695" spans="3:12" ht="12.75" customHeight="1" x14ac:dyDescent="0.35">
      <c r="C695" s="48"/>
      <c r="K695" s="48"/>
      <c r="L695" s="48"/>
    </row>
    <row r="696" spans="3:12" ht="12.75" customHeight="1" x14ac:dyDescent="0.35">
      <c r="C696" s="48"/>
      <c r="K696" s="48"/>
      <c r="L696" s="48"/>
    </row>
    <row r="697" spans="3:12" ht="12.75" customHeight="1" x14ac:dyDescent="0.35">
      <c r="C697" s="48"/>
      <c r="K697" s="48"/>
      <c r="L697" s="48"/>
    </row>
    <row r="698" spans="3:12" ht="12.75" customHeight="1" x14ac:dyDescent="0.35">
      <c r="C698" s="48"/>
      <c r="K698" s="48"/>
      <c r="L698" s="48"/>
    </row>
    <row r="699" spans="3:12" ht="12.75" customHeight="1" x14ac:dyDescent="0.35">
      <c r="C699" s="48"/>
      <c r="K699" s="48"/>
      <c r="L699" s="48"/>
    </row>
    <row r="700" spans="3:12" ht="12.75" customHeight="1" x14ac:dyDescent="0.35">
      <c r="C700" s="48"/>
      <c r="K700" s="48"/>
      <c r="L700" s="48"/>
    </row>
    <row r="701" spans="3:12" ht="12.75" customHeight="1" x14ac:dyDescent="0.35">
      <c r="C701" s="48"/>
      <c r="K701" s="48"/>
      <c r="L701" s="48"/>
    </row>
    <row r="702" spans="3:12" ht="12.75" customHeight="1" x14ac:dyDescent="0.35">
      <c r="C702" s="48"/>
      <c r="K702" s="48"/>
      <c r="L702" s="48"/>
    </row>
    <row r="703" spans="3:12" ht="12.75" customHeight="1" x14ac:dyDescent="0.35">
      <c r="C703" s="48"/>
      <c r="K703" s="48"/>
      <c r="L703" s="48"/>
    </row>
    <row r="704" spans="3:12" ht="12.75" customHeight="1" x14ac:dyDescent="0.35">
      <c r="C704" s="48"/>
      <c r="K704" s="48"/>
      <c r="L704" s="48"/>
    </row>
    <row r="705" spans="3:12" ht="12.75" customHeight="1" x14ac:dyDescent="0.35">
      <c r="C705" s="48"/>
      <c r="K705" s="48"/>
      <c r="L705" s="48"/>
    </row>
    <row r="706" spans="3:12" ht="12.75" customHeight="1" x14ac:dyDescent="0.35">
      <c r="C706" s="48"/>
      <c r="K706" s="48"/>
      <c r="L706" s="48"/>
    </row>
    <row r="707" spans="3:12" ht="12.75" customHeight="1" x14ac:dyDescent="0.35">
      <c r="C707" s="48"/>
      <c r="K707" s="48"/>
      <c r="L707" s="48"/>
    </row>
    <row r="708" spans="3:12" ht="12.75" customHeight="1" x14ac:dyDescent="0.35">
      <c r="C708" s="48"/>
      <c r="K708" s="48"/>
      <c r="L708" s="48"/>
    </row>
    <row r="709" spans="3:12" ht="12.75" customHeight="1" x14ac:dyDescent="0.35">
      <c r="C709" s="48"/>
      <c r="K709" s="48"/>
      <c r="L709" s="48"/>
    </row>
    <row r="710" spans="3:12" ht="12.75" customHeight="1" x14ac:dyDescent="0.35">
      <c r="C710" s="48"/>
      <c r="K710" s="48"/>
      <c r="L710" s="48"/>
    </row>
    <row r="711" spans="3:12" ht="12.75" customHeight="1" x14ac:dyDescent="0.35">
      <c r="C711" s="48"/>
      <c r="K711" s="48"/>
      <c r="L711" s="48"/>
    </row>
    <row r="712" spans="3:12" ht="12.75" customHeight="1" x14ac:dyDescent="0.35">
      <c r="C712" s="48"/>
      <c r="K712" s="48"/>
      <c r="L712" s="48"/>
    </row>
    <row r="713" spans="3:12" ht="12.75" customHeight="1" x14ac:dyDescent="0.35">
      <c r="C713" s="48"/>
      <c r="K713" s="48"/>
      <c r="L713" s="48"/>
    </row>
    <row r="714" spans="3:12" ht="12.75" customHeight="1" x14ac:dyDescent="0.35">
      <c r="C714" s="48"/>
      <c r="K714" s="48"/>
      <c r="L714" s="48"/>
    </row>
    <row r="715" spans="3:12" ht="12.75" customHeight="1" x14ac:dyDescent="0.35">
      <c r="C715" s="48"/>
      <c r="K715" s="48"/>
      <c r="L715" s="48"/>
    </row>
    <row r="716" spans="3:12" ht="12.75" customHeight="1" x14ac:dyDescent="0.35">
      <c r="C716" s="48"/>
      <c r="K716" s="48"/>
      <c r="L716" s="48"/>
    </row>
    <row r="717" spans="3:12" ht="12.75" customHeight="1" x14ac:dyDescent="0.35">
      <c r="C717" s="48"/>
      <c r="K717" s="48"/>
      <c r="L717" s="48"/>
    </row>
    <row r="718" spans="3:12" ht="12.75" customHeight="1" x14ac:dyDescent="0.35">
      <c r="C718" s="48"/>
      <c r="K718" s="48"/>
      <c r="L718" s="48"/>
    </row>
    <row r="719" spans="3:12" ht="12.75" customHeight="1" x14ac:dyDescent="0.35">
      <c r="C719" s="48"/>
      <c r="K719" s="48"/>
      <c r="L719" s="48"/>
    </row>
    <row r="720" spans="3:12" ht="12.75" customHeight="1" x14ac:dyDescent="0.35">
      <c r="C720" s="48"/>
      <c r="K720" s="48"/>
      <c r="L720" s="48"/>
    </row>
    <row r="721" spans="3:12" ht="12.75" customHeight="1" x14ac:dyDescent="0.35">
      <c r="C721" s="48"/>
      <c r="K721" s="48"/>
      <c r="L721" s="48"/>
    </row>
    <row r="722" spans="3:12" ht="12.75" customHeight="1" x14ac:dyDescent="0.35">
      <c r="C722" s="48"/>
      <c r="K722" s="48"/>
      <c r="L722" s="48"/>
    </row>
    <row r="723" spans="3:12" ht="12.75" customHeight="1" x14ac:dyDescent="0.35">
      <c r="C723" s="48"/>
      <c r="K723" s="48"/>
      <c r="L723" s="48"/>
    </row>
    <row r="724" spans="3:12" ht="12.75" customHeight="1" x14ac:dyDescent="0.35">
      <c r="C724" s="48"/>
      <c r="K724" s="48"/>
      <c r="L724" s="48"/>
    </row>
    <row r="725" spans="3:12" ht="12.75" customHeight="1" x14ac:dyDescent="0.35">
      <c r="C725" s="48"/>
      <c r="K725" s="48"/>
      <c r="L725" s="48"/>
    </row>
    <row r="726" spans="3:12" ht="12.75" customHeight="1" x14ac:dyDescent="0.35">
      <c r="C726" s="48"/>
      <c r="K726" s="48"/>
      <c r="L726" s="48"/>
    </row>
    <row r="727" spans="3:12" ht="12.75" customHeight="1" x14ac:dyDescent="0.35">
      <c r="C727" s="48"/>
      <c r="K727" s="48"/>
      <c r="L727" s="48"/>
    </row>
    <row r="728" spans="3:12" ht="12.75" customHeight="1" x14ac:dyDescent="0.35">
      <c r="C728" s="48"/>
      <c r="K728" s="48"/>
      <c r="L728" s="48"/>
    </row>
    <row r="729" spans="3:12" ht="12.75" customHeight="1" x14ac:dyDescent="0.35">
      <c r="C729" s="48"/>
      <c r="K729" s="48"/>
      <c r="L729" s="48"/>
    </row>
    <row r="730" spans="3:12" ht="12.75" customHeight="1" x14ac:dyDescent="0.35">
      <c r="C730" s="48"/>
      <c r="K730" s="48"/>
      <c r="L730" s="48"/>
    </row>
    <row r="731" spans="3:12" ht="12.75" customHeight="1" x14ac:dyDescent="0.35">
      <c r="C731" s="48"/>
      <c r="K731" s="48"/>
      <c r="L731" s="48"/>
    </row>
    <row r="732" spans="3:12" ht="12.75" customHeight="1" x14ac:dyDescent="0.35">
      <c r="C732" s="48"/>
      <c r="K732" s="48"/>
      <c r="L732" s="48"/>
    </row>
    <row r="733" spans="3:12" ht="12.75" customHeight="1" x14ac:dyDescent="0.35">
      <c r="C733" s="48"/>
      <c r="K733" s="48"/>
      <c r="L733" s="48"/>
    </row>
    <row r="734" spans="3:12" ht="12.75" customHeight="1" x14ac:dyDescent="0.35">
      <c r="C734" s="48"/>
      <c r="K734" s="48"/>
      <c r="L734" s="48"/>
    </row>
    <row r="735" spans="3:12" ht="12.75" customHeight="1" x14ac:dyDescent="0.35">
      <c r="C735" s="48"/>
      <c r="K735" s="48"/>
      <c r="L735" s="48"/>
    </row>
    <row r="736" spans="3:12" ht="12.75" customHeight="1" x14ac:dyDescent="0.35">
      <c r="C736" s="48"/>
      <c r="K736" s="48"/>
      <c r="L736" s="48"/>
    </row>
    <row r="737" spans="3:12" ht="12.75" customHeight="1" x14ac:dyDescent="0.35">
      <c r="C737" s="48"/>
      <c r="K737" s="48"/>
      <c r="L737" s="48"/>
    </row>
    <row r="738" spans="3:12" ht="12.75" customHeight="1" x14ac:dyDescent="0.35">
      <c r="C738" s="48"/>
      <c r="K738" s="48"/>
      <c r="L738" s="48"/>
    </row>
    <row r="739" spans="3:12" ht="12.75" customHeight="1" x14ac:dyDescent="0.35">
      <c r="C739" s="48"/>
      <c r="K739" s="48"/>
      <c r="L739" s="48"/>
    </row>
    <row r="740" spans="3:12" ht="12.75" customHeight="1" x14ac:dyDescent="0.35">
      <c r="C740" s="48"/>
      <c r="K740" s="48"/>
      <c r="L740" s="48"/>
    </row>
    <row r="741" spans="3:12" ht="12.75" customHeight="1" x14ac:dyDescent="0.35">
      <c r="C741" s="48"/>
      <c r="K741" s="48"/>
      <c r="L741" s="48"/>
    </row>
    <row r="742" spans="3:12" ht="12.75" customHeight="1" x14ac:dyDescent="0.35">
      <c r="C742" s="48"/>
      <c r="K742" s="48"/>
      <c r="L742" s="48"/>
    </row>
    <row r="743" spans="3:12" ht="12.75" customHeight="1" x14ac:dyDescent="0.35">
      <c r="C743" s="48"/>
      <c r="K743" s="48"/>
      <c r="L743" s="48"/>
    </row>
    <row r="744" spans="3:12" ht="12.75" customHeight="1" x14ac:dyDescent="0.35">
      <c r="C744" s="48"/>
      <c r="K744" s="48"/>
      <c r="L744" s="48"/>
    </row>
    <row r="745" spans="3:12" ht="12.75" customHeight="1" x14ac:dyDescent="0.35">
      <c r="C745" s="48"/>
      <c r="K745" s="48"/>
      <c r="L745" s="48"/>
    </row>
    <row r="746" spans="3:12" ht="12.75" customHeight="1" x14ac:dyDescent="0.35">
      <c r="C746" s="48"/>
      <c r="K746" s="48"/>
      <c r="L746" s="48"/>
    </row>
    <row r="747" spans="3:12" ht="12.75" customHeight="1" x14ac:dyDescent="0.35">
      <c r="C747" s="48"/>
      <c r="K747" s="48"/>
      <c r="L747" s="48"/>
    </row>
    <row r="748" spans="3:12" ht="12.75" customHeight="1" x14ac:dyDescent="0.35">
      <c r="C748" s="48"/>
      <c r="K748" s="48"/>
      <c r="L748" s="48"/>
    </row>
    <row r="749" spans="3:12" ht="12.75" customHeight="1" x14ac:dyDescent="0.35">
      <c r="C749" s="48"/>
      <c r="K749" s="48"/>
      <c r="L749" s="48"/>
    </row>
    <row r="750" spans="3:12" ht="12.75" customHeight="1" x14ac:dyDescent="0.35">
      <c r="C750" s="48"/>
      <c r="K750" s="48"/>
      <c r="L750" s="48"/>
    </row>
    <row r="751" spans="3:12" ht="12.75" customHeight="1" x14ac:dyDescent="0.35">
      <c r="C751" s="48"/>
      <c r="K751" s="48"/>
      <c r="L751" s="48"/>
    </row>
    <row r="752" spans="3:12" ht="12.75" customHeight="1" x14ac:dyDescent="0.35">
      <c r="C752" s="48"/>
      <c r="K752" s="48"/>
      <c r="L752" s="48"/>
    </row>
    <row r="753" spans="3:12" ht="12.75" customHeight="1" x14ac:dyDescent="0.35">
      <c r="C753" s="48"/>
      <c r="K753" s="48"/>
      <c r="L753" s="48"/>
    </row>
    <row r="754" spans="3:12" ht="12.75" customHeight="1" x14ac:dyDescent="0.35">
      <c r="C754" s="48"/>
      <c r="K754" s="48"/>
      <c r="L754" s="48"/>
    </row>
    <row r="755" spans="3:12" ht="12.75" customHeight="1" x14ac:dyDescent="0.35">
      <c r="C755" s="48"/>
      <c r="K755" s="48"/>
      <c r="L755" s="48"/>
    </row>
    <row r="756" spans="3:12" ht="12.75" customHeight="1" x14ac:dyDescent="0.35">
      <c r="C756" s="48"/>
      <c r="K756" s="48"/>
      <c r="L756" s="48"/>
    </row>
    <row r="757" spans="3:12" ht="12.75" customHeight="1" x14ac:dyDescent="0.35">
      <c r="C757" s="48"/>
      <c r="K757" s="48"/>
      <c r="L757" s="48"/>
    </row>
    <row r="758" spans="3:12" ht="12.75" customHeight="1" x14ac:dyDescent="0.35">
      <c r="C758" s="48"/>
      <c r="K758" s="48"/>
      <c r="L758" s="48"/>
    </row>
    <row r="759" spans="3:12" ht="12.75" customHeight="1" x14ac:dyDescent="0.35">
      <c r="C759" s="48"/>
      <c r="K759" s="48"/>
      <c r="L759" s="48"/>
    </row>
    <row r="760" spans="3:12" ht="12.75" customHeight="1" x14ac:dyDescent="0.35">
      <c r="C760" s="48"/>
      <c r="K760" s="48"/>
      <c r="L760" s="48"/>
    </row>
    <row r="761" spans="3:12" ht="12.75" customHeight="1" x14ac:dyDescent="0.35">
      <c r="C761" s="48"/>
      <c r="K761" s="48"/>
      <c r="L761" s="48"/>
    </row>
    <row r="762" spans="3:12" ht="12.75" customHeight="1" x14ac:dyDescent="0.35">
      <c r="C762" s="48"/>
      <c r="K762" s="48"/>
      <c r="L762" s="48"/>
    </row>
    <row r="763" spans="3:12" ht="12.75" customHeight="1" x14ac:dyDescent="0.35">
      <c r="C763" s="48"/>
      <c r="K763" s="48"/>
      <c r="L763" s="48"/>
    </row>
    <row r="764" spans="3:12" ht="12.75" customHeight="1" x14ac:dyDescent="0.35">
      <c r="C764" s="48"/>
      <c r="K764" s="48"/>
      <c r="L764" s="48"/>
    </row>
    <row r="765" spans="3:12" ht="12.75" customHeight="1" x14ac:dyDescent="0.35">
      <c r="C765" s="48"/>
      <c r="K765" s="48"/>
      <c r="L765" s="48"/>
    </row>
    <row r="766" spans="3:12" ht="12.75" customHeight="1" x14ac:dyDescent="0.35">
      <c r="C766" s="48"/>
      <c r="K766" s="48"/>
      <c r="L766" s="48"/>
    </row>
    <row r="767" spans="3:12" ht="12.75" customHeight="1" x14ac:dyDescent="0.35">
      <c r="C767" s="48"/>
      <c r="K767" s="48"/>
      <c r="L767" s="48"/>
    </row>
    <row r="768" spans="3:12" ht="12.75" customHeight="1" x14ac:dyDescent="0.35">
      <c r="C768" s="48"/>
      <c r="K768" s="48"/>
      <c r="L768" s="48"/>
    </row>
    <row r="769" spans="3:12" ht="12.75" customHeight="1" x14ac:dyDescent="0.35">
      <c r="C769" s="48"/>
      <c r="K769" s="48"/>
      <c r="L769" s="48"/>
    </row>
    <row r="770" spans="3:12" ht="12.75" customHeight="1" x14ac:dyDescent="0.35">
      <c r="C770" s="48"/>
      <c r="K770" s="48"/>
      <c r="L770" s="48"/>
    </row>
    <row r="771" spans="3:12" ht="12.75" customHeight="1" x14ac:dyDescent="0.35">
      <c r="C771" s="48"/>
      <c r="K771" s="48"/>
      <c r="L771" s="48"/>
    </row>
    <row r="772" spans="3:12" ht="12.75" customHeight="1" x14ac:dyDescent="0.35">
      <c r="C772" s="48"/>
      <c r="K772" s="48"/>
      <c r="L772" s="48"/>
    </row>
    <row r="773" spans="3:12" ht="12.75" customHeight="1" x14ac:dyDescent="0.35">
      <c r="C773" s="48"/>
      <c r="K773" s="48"/>
      <c r="L773" s="48"/>
    </row>
    <row r="774" spans="3:12" ht="12.75" customHeight="1" x14ac:dyDescent="0.35">
      <c r="C774" s="48"/>
      <c r="K774" s="48"/>
      <c r="L774" s="48"/>
    </row>
    <row r="775" spans="3:12" ht="12.75" customHeight="1" x14ac:dyDescent="0.35">
      <c r="C775" s="48"/>
      <c r="K775" s="48"/>
      <c r="L775" s="48"/>
    </row>
    <row r="776" spans="3:12" ht="12.75" customHeight="1" x14ac:dyDescent="0.35">
      <c r="C776" s="48"/>
      <c r="K776" s="48"/>
      <c r="L776" s="48"/>
    </row>
    <row r="777" spans="3:12" ht="12.75" customHeight="1" x14ac:dyDescent="0.35">
      <c r="C777" s="48"/>
      <c r="K777" s="48"/>
      <c r="L777" s="48"/>
    </row>
  </sheetData>
  <sheetProtection password="C71F" sheet="1" objects="1" scenarios="1"/>
  <mergeCells count="4">
    <mergeCell ref="A1:A2"/>
    <mergeCell ref="B1:B2"/>
    <mergeCell ref="C1:I1"/>
    <mergeCell ref="N1:N2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6"/>
  <sheetViews>
    <sheetView workbookViewId="0">
      <selection activeCell="B11" sqref="B11:B12"/>
    </sheetView>
  </sheetViews>
  <sheetFormatPr defaultColWidth="9.1796875" defaultRowHeight="13" x14ac:dyDescent="0.35"/>
  <cols>
    <col min="1" max="1" width="39" style="77" customWidth="1"/>
    <col min="2" max="2" width="27.453125" style="77" customWidth="1"/>
    <col min="3" max="3" width="36.26953125" style="77" customWidth="1"/>
    <col min="4" max="4" width="15.81640625" style="77" customWidth="1"/>
    <col min="5" max="16384" width="9.1796875" style="77"/>
  </cols>
  <sheetData>
    <row r="1" spans="1:4" ht="24" customHeight="1" x14ac:dyDescent="0.35">
      <c r="A1" s="178" t="s">
        <v>155</v>
      </c>
      <c r="B1" s="178"/>
      <c r="C1" s="178"/>
      <c r="D1" s="178"/>
    </row>
    <row r="2" spans="1:4" ht="27" customHeight="1" x14ac:dyDescent="0.35">
      <c r="A2" s="80" t="s">
        <v>153</v>
      </c>
      <c r="B2" s="80" t="s">
        <v>154</v>
      </c>
      <c r="C2" s="80" t="s">
        <v>151</v>
      </c>
      <c r="D2" s="80" t="s">
        <v>150</v>
      </c>
    </row>
    <row r="3" spans="1:4" ht="52" x14ac:dyDescent="0.35">
      <c r="A3" s="174" t="s">
        <v>521</v>
      </c>
      <c r="B3" s="172" t="s">
        <v>539</v>
      </c>
      <c r="C3" s="79" t="s">
        <v>152</v>
      </c>
      <c r="D3" s="128" t="s">
        <v>496</v>
      </c>
    </row>
    <row r="4" spans="1:4" ht="26" x14ac:dyDescent="0.35">
      <c r="A4" s="175"/>
      <c r="B4" s="173"/>
      <c r="C4" s="79" t="s">
        <v>156</v>
      </c>
      <c r="D4" s="128" t="s">
        <v>497</v>
      </c>
    </row>
    <row r="5" spans="1:4" ht="52" x14ac:dyDescent="0.35">
      <c r="A5" s="174" t="s">
        <v>485</v>
      </c>
      <c r="B5" s="172" t="s">
        <v>540</v>
      </c>
      <c r="C5" s="79" t="s">
        <v>152</v>
      </c>
      <c r="D5" s="128" t="s">
        <v>498</v>
      </c>
    </row>
    <row r="6" spans="1:4" ht="26" x14ac:dyDescent="0.35">
      <c r="A6" s="175"/>
      <c r="B6" s="173"/>
      <c r="C6" s="79" t="s">
        <v>156</v>
      </c>
      <c r="D6" s="128" t="s">
        <v>499</v>
      </c>
    </row>
    <row r="7" spans="1:4" ht="53.25" customHeight="1" x14ac:dyDescent="0.35">
      <c r="A7" s="174" t="s">
        <v>486</v>
      </c>
      <c r="B7" s="172" t="s">
        <v>541</v>
      </c>
      <c r="C7" s="79" t="s">
        <v>152</v>
      </c>
      <c r="D7" s="128" t="s">
        <v>500</v>
      </c>
    </row>
    <row r="8" spans="1:4" ht="26" x14ac:dyDescent="0.35">
      <c r="A8" s="175"/>
      <c r="B8" s="173"/>
      <c r="C8" s="79" t="s">
        <v>156</v>
      </c>
      <c r="D8" s="128" t="s">
        <v>501</v>
      </c>
    </row>
    <row r="9" spans="1:4" ht="52" x14ac:dyDescent="0.35">
      <c r="A9" s="174" t="s">
        <v>494</v>
      </c>
      <c r="B9" s="172" t="s">
        <v>542</v>
      </c>
      <c r="C9" s="79" t="s">
        <v>152</v>
      </c>
      <c r="D9" s="128" t="s">
        <v>502</v>
      </c>
    </row>
    <row r="10" spans="1:4" ht="26" x14ac:dyDescent="0.35">
      <c r="A10" s="175"/>
      <c r="B10" s="173"/>
      <c r="C10" s="79" t="s">
        <v>156</v>
      </c>
      <c r="D10" s="128" t="s">
        <v>503</v>
      </c>
    </row>
    <row r="11" spans="1:4" ht="52" x14ac:dyDescent="0.35">
      <c r="A11" s="174" t="s">
        <v>493</v>
      </c>
      <c r="B11" s="176" t="s">
        <v>516</v>
      </c>
      <c r="C11" s="79" t="s">
        <v>152</v>
      </c>
      <c r="D11" s="128" t="s">
        <v>504</v>
      </c>
    </row>
    <row r="12" spans="1:4" ht="26" x14ac:dyDescent="0.35">
      <c r="A12" s="175"/>
      <c r="B12" s="177"/>
      <c r="C12" s="79" t="s">
        <v>156</v>
      </c>
      <c r="D12" s="128" t="s">
        <v>505</v>
      </c>
    </row>
    <row r="13" spans="1:4" ht="29.25" customHeight="1" x14ac:dyDescent="0.35">
      <c r="A13" s="78" t="s">
        <v>3</v>
      </c>
      <c r="B13" s="78" t="s">
        <v>3</v>
      </c>
      <c r="C13" s="79" t="s">
        <v>158</v>
      </c>
      <c r="D13" s="128" t="s">
        <v>506</v>
      </c>
    </row>
    <row r="14" spans="1:4" ht="26.25" customHeight="1" x14ac:dyDescent="0.35">
      <c r="A14" s="78" t="s">
        <v>3</v>
      </c>
      <c r="B14" s="78" t="s">
        <v>3</v>
      </c>
      <c r="C14" s="79" t="s">
        <v>159</v>
      </c>
      <c r="D14" s="128" t="s">
        <v>507</v>
      </c>
    </row>
    <row r="15" spans="1:4" ht="40.5" customHeight="1" x14ac:dyDescent="0.35">
      <c r="A15" s="78" t="s">
        <v>3</v>
      </c>
      <c r="B15" s="78" t="s">
        <v>3</v>
      </c>
      <c r="C15" s="79" t="s">
        <v>160</v>
      </c>
      <c r="D15" s="128" t="s">
        <v>162</v>
      </c>
    </row>
    <row r="16" spans="1:4" ht="40.5" customHeight="1" x14ac:dyDescent="0.35">
      <c r="A16" s="79" t="s">
        <v>161</v>
      </c>
      <c r="B16" s="78" t="s">
        <v>3</v>
      </c>
      <c r="C16" s="78" t="s">
        <v>3</v>
      </c>
      <c r="D16" s="128" t="s">
        <v>508</v>
      </c>
    </row>
  </sheetData>
  <sheetProtection password="C71F" sheet="1" objects="1" scenarios="1"/>
  <mergeCells count="11">
    <mergeCell ref="B9:B10"/>
    <mergeCell ref="A11:A12"/>
    <mergeCell ref="B11:B12"/>
    <mergeCell ref="A9:A10"/>
    <mergeCell ref="A1:D1"/>
    <mergeCell ref="A3:A4"/>
    <mergeCell ref="A5:A6"/>
    <mergeCell ref="A7:A8"/>
    <mergeCell ref="B7:B8"/>
    <mergeCell ref="B5:B6"/>
    <mergeCell ref="B3:B4"/>
  </mergeCells>
  <phoneticPr fontId="18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352"/>
  <sheetViews>
    <sheetView view="pageBreakPreview" zoomScale="85" zoomScaleNormal="100" zoomScaleSheetLayoutView="85" workbookViewId="0">
      <selection activeCell="A2" sqref="A2:XFD2"/>
    </sheetView>
  </sheetViews>
  <sheetFormatPr defaultColWidth="8.81640625" defaultRowHeight="13" outlineLevelRow="3" x14ac:dyDescent="0.3"/>
  <cols>
    <col min="1" max="1" width="30.7265625" style="53" customWidth="1"/>
    <col min="2" max="2" width="28.81640625" style="53" customWidth="1"/>
    <col min="3" max="4" width="30.7265625" style="53" customWidth="1"/>
    <col min="5" max="16384" width="8.81640625" style="53"/>
  </cols>
  <sheetData>
    <row r="1" spans="1:4" ht="14.5" customHeight="1" x14ac:dyDescent="0.3">
      <c r="D1" s="157" t="s">
        <v>119</v>
      </c>
    </row>
    <row r="2" spans="1:4" ht="59" customHeight="1" x14ac:dyDescent="0.3">
      <c r="D2" s="158" t="s">
        <v>557</v>
      </c>
    </row>
    <row r="4" spans="1:4" x14ac:dyDescent="0.3">
      <c r="A4" s="182" t="s">
        <v>69</v>
      </c>
      <c r="B4" s="182"/>
      <c r="C4" s="182"/>
      <c r="D4" s="182"/>
    </row>
    <row r="5" spans="1:4" x14ac:dyDescent="0.3">
      <c r="A5" s="182" t="s">
        <v>70</v>
      </c>
      <c r="B5" s="182"/>
      <c r="C5" s="182"/>
      <c r="D5" s="182"/>
    </row>
    <row r="6" spans="1:4" x14ac:dyDescent="0.3">
      <c r="A6" s="182" t="s">
        <v>71</v>
      </c>
      <c r="B6" s="182"/>
      <c r="C6" s="182"/>
      <c r="D6" s="182"/>
    </row>
    <row r="7" spans="1:4" x14ac:dyDescent="0.3">
      <c r="A7" s="182" t="s">
        <v>72</v>
      </c>
      <c r="B7" s="182"/>
      <c r="C7" s="182"/>
      <c r="D7" s="182"/>
    </row>
    <row r="8" spans="1:4" x14ac:dyDescent="0.3">
      <c r="A8" s="8"/>
    </row>
    <row r="9" spans="1:4" ht="16.5" customHeight="1" x14ac:dyDescent="0.3">
      <c r="A9" s="56" t="s">
        <v>73</v>
      </c>
      <c r="B9" s="56" t="s">
        <v>74</v>
      </c>
      <c r="C9" s="56" t="s">
        <v>75</v>
      </c>
      <c r="D9" s="56" t="s">
        <v>76</v>
      </c>
    </row>
    <row r="10" spans="1:4" x14ac:dyDescent="0.3">
      <c r="A10" s="56">
        <v>1</v>
      </c>
      <c r="B10" s="56">
        <v>2</v>
      </c>
      <c r="C10" s="56">
        <v>3</v>
      </c>
      <c r="D10" s="56">
        <v>4</v>
      </c>
    </row>
    <row r="11" spans="1:4" x14ac:dyDescent="0.3">
      <c r="A11" s="184" t="s">
        <v>77</v>
      </c>
      <c r="B11" s="184"/>
      <c r="C11" s="184"/>
      <c r="D11" s="184"/>
    </row>
    <row r="12" spans="1:4" x14ac:dyDescent="0.3">
      <c r="A12" s="185" t="s">
        <v>521</v>
      </c>
      <c r="B12" s="185"/>
      <c r="C12" s="185"/>
      <c r="D12" s="185"/>
    </row>
    <row r="13" spans="1:4" x14ac:dyDescent="0.3">
      <c r="A13" s="184" t="s">
        <v>78</v>
      </c>
      <c r="B13" s="184"/>
      <c r="C13" s="184"/>
      <c r="D13" s="184"/>
    </row>
    <row r="14" spans="1:4" ht="55.9" customHeight="1" x14ac:dyDescent="0.3">
      <c r="A14" s="186" t="s">
        <v>543</v>
      </c>
      <c r="B14" s="186"/>
      <c r="C14" s="186"/>
      <c r="D14" s="186"/>
    </row>
    <row r="15" spans="1:4" x14ac:dyDescent="0.3">
      <c r="A15" s="183" t="s">
        <v>79</v>
      </c>
      <c r="B15" s="183"/>
      <c r="C15" s="183"/>
      <c r="D15" s="183"/>
    </row>
    <row r="16" spans="1:4" ht="12.75" customHeight="1" outlineLevel="1" x14ac:dyDescent="0.3">
      <c r="A16" s="183" t="s">
        <v>80</v>
      </c>
      <c r="B16" s="183"/>
      <c r="C16" s="183"/>
      <c r="D16" s="183"/>
    </row>
    <row r="17" spans="1:4" ht="12.75" customHeight="1" outlineLevel="2" x14ac:dyDescent="0.3">
      <c r="A17" s="57" t="s">
        <v>510</v>
      </c>
      <c r="B17" s="57" t="s">
        <v>513</v>
      </c>
      <c r="C17" s="64">
        <f>57.33/943</f>
        <v>6.0795334040296925E-2</v>
      </c>
      <c r="D17" s="57"/>
    </row>
    <row r="18" spans="1:4" ht="12.75" customHeight="1" outlineLevel="2" x14ac:dyDescent="0.3">
      <c r="A18" s="57"/>
      <c r="B18" s="57"/>
      <c r="C18" s="57"/>
      <c r="D18" s="57"/>
    </row>
    <row r="19" spans="1:4" ht="12.75" customHeight="1" outlineLevel="1" x14ac:dyDescent="0.3">
      <c r="A19" s="183" t="s">
        <v>81</v>
      </c>
      <c r="B19" s="183"/>
      <c r="C19" s="183"/>
      <c r="D19" s="183"/>
    </row>
    <row r="20" spans="1:4" s="60" customFormat="1" ht="12.75" customHeight="1" outlineLevel="2" x14ac:dyDescent="0.3">
      <c r="A20" s="33" t="s">
        <v>56</v>
      </c>
      <c r="B20" s="34" t="s">
        <v>3</v>
      </c>
      <c r="C20" s="34" t="s">
        <v>3</v>
      </c>
      <c r="D20" s="180" t="s">
        <v>135</v>
      </c>
    </row>
    <row r="21" spans="1:4" ht="25.5" customHeight="1" outlineLevel="3" x14ac:dyDescent="0.3">
      <c r="A21" s="26" t="str">
        <f>'БазНорм (обр)'!A9</f>
        <v xml:space="preserve">Журнал: Воспитание школьников и духовно-нравственное воспитание </v>
      </c>
      <c r="B21" s="27" t="str">
        <f>'БазНорм (обр)'!B9</f>
        <v>комп.</v>
      </c>
      <c r="C21" s="52">
        <f>'БазНорм (обр)'!C9</f>
        <v>2.4006721882126993E-3</v>
      </c>
      <c r="D21" s="181"/>
    </row>
    <row r="22" spans="1:4" ht="25.5" customHeight="1" outlineLevel="3" x14ac:dyDescent="0.3">
      <c r="A22" s="26" t="str">
        <f>'БазНорм (обр)'!A10</f>
        <v>Инновационные проекты и программы в оьразовании</v>
      </c>
      <c r="B22" s="27" t="str">
        <f>'БазНорм (обр)'!B10</f>
        <v>комп.</v>
      </c>
      <c r="C22" s="52">
        <f>'БазНорм (обр)'!C10</f>
        <v>2.4006721882126993E-3</v>
      </c>
      <c r="D22" s="181"/>
    </row>
    <row r="23" spans="1:4" ht="25.5" customHeight="1" outlineLevel="3" x14ac:dyDescent="0.3">
      <c r="A23" s="26" t="str">
        <f>'БазНорм (обр)'!A11</f>
        <v>Журнал: Льготный комплект "Эксперт"</v>
      </c>
      <c r="B23" s="27" t="str">
        <f>'БазНорм (обр)'!B11</f>
        <v>комп.</v>
      </c>
      <c r="C23" s="52">
        <f>'БазНорм (обр)'!C11</f>
        <v>2.4006721882126993E-3</v>
      </c>
      <c r="D23" s="181"/>
    </row>
    <row r="24" spans="1:4" ht="12.75" customHeight="1" outlineLevel="3" x14ac:dyDescent="0.3">
      <c r="A24" s="26" t="str">
        <f>'БазНорм (обр)'!A12</f>
        <v>Журнал: Профильная школа</v>
      </c>
      <c r="B24" s="27" t="str">
        <f>'БазНорм (обр)'!B12</f>
        <v>комп.</v>
      </c>
      <c r="C24" s="52">
        <f>'БазНорм (обр)'!C12</f>
        <v>2.4006721882126993E-3</v>
      </c>
      <c r="D24" s="181"/>
    </row>
    <row r="25" spans="1:4" ht="25.5" customHeight="1" outlineLevel="3" x14ac:dyDescent="0.3">
      <c r="A25" s="26" t="str">
        <f>'БазНорм (обр)'!A13</f>
        <v xml:space="preserve">Журнал: Путешествие на зеленый свет </v>
      </c>
      <c r="B25" s="27" t="str">
        <f>'БазНорм (обр)'!B13</f>
        <v>комп.</v>
      </c>
      <c r="C25" s="52">
        <f>'БазНорм (обр)'!C13</f>
        <v>1.2003360941063496E-3</v>
      </c>
      <c r="D25" s="181"/>
    </row>
    <row r="26" spans="1:4" ht="51" customHeight="1" outlineLevel="3" x14ac:dyDescent="0.3">
      <c r="A26" s="26" t="str">
        <f>'БазНорм (обр)'!A14</f>
        <v>Журнал: Школа управления образовательным учреждением. опыт. практика. лучшие рещения (+CD)</v>
      </c>
      <c r="B26" s="27" t="str">
        <f>'БазНорм (обр)'!B14</f>
        <v>комп.</v>
      </c>
      <c r="C26" s="52">
        <f>'БазНорм (обр)'!C14</f>
        <v>2.4006721882126993E-3</v>
      </c>
      <c r="D26" s="181"/>
    </row>
    <row r="27" spans="1:4" ht="12.75" customHeight="1" outlineLevel="3" x14ac:dyDescent="0.3">
      <c r="A27" s="26" t="str">
        <f>'БазНорм (обр)'!A15</f>
        <v>Журнал: Вестник образования</v>
      </c>
      <c r="B27" s="27" t="str">
        <f>'БазНорм (обр)'!B15</f>
        <v>комп.</v>
      </c>
      <c r="C27" s="52">
        <f>'БазНорм (обр)'!C15</f>
        <v>1.2003360941063496E-3</v>
      </c>
      <c r="D27" s="181"/>
    </row>
    <row r="28" spans="1:4" ht="12.75" customHeight="1" outlineLevel="3" x14ac:dyDescent="0.3">
      <c r="A28" s="26" t="str">
        <f>'БазНорм (обр)'!A16</f>
        <v>Учительская газета</v>
      </c>
      <c r="B28" s="27" t="str">
        <f>'БазНорм (обр)'!B16</f>
        <v>комп.</v>
      </c>
      <c r="C28" s="52">
        <f>'БазНорм (обр)'!C16</f>
        <v>1.2003360941063496E-3</v>
      </c>
      <c r="D28" s="181"/>
    </row>
    <row r="29" spans="1:4" ht="25.5" customHeight="1" outlineLevel="3" x14ac:dyDescent="0.3">
      <c r="A29" s="26" t="str">
        <f>'БазНорм (обр)'!A17</f>
        <v>Журнал: Управление современной школой. завуч.</v>
      </c>
      <c r="B29" s="27" t="str">
        <f>'БазНорм (обр)'!B17</f>
        <v>комп.</v>
      </c>
      <c r="C29" s="52">
        <f>'БазНорм (обр)'!C17</f>
        <v>1.2003360941063496E-3</v>
      </c>
      <c r="D29" s="181"/>
    </row>
    <row r="30" spans="1:4" ht="38.25" customHeight="1" outlineLevel="3" x14ac:dyDescent="0.3">
      <c r="A30" s="26" t="str">
        <f>'БазНорм (обр)'!A18</f>
        <v>Журнал: Управление образовательным учреждением в вопросах и ответах</v>
      </c>
      <c r="B30" s="27" t="str">
        <f>'БазНорм (обр)'!B18</f>
        <v>комп.</v>
      </c>
      <c r="C30" s="52">
        <f>'БазНорм (обр)'!C18</f>
        <v>1.2003360941063496E-3</v>
      </c>
      <c r="D30" s="181"/>
    </row>
    <row r="31" spans="1:4" ht="12.75" customHeight="1" outlineLevel="3" x14ac:dyDescent="0.3">
      <c r="A31" s="26" t="str">
        <f>'БазНорм (обр)'!A19</f>
        <v>Журнал: Лучик</v>
      </c>
      <c r="B31" s="27" t="str">
        <f>'БазНорм (обр)'!B19</f>
        <v>комп.</v>
      </c>
      <c r="C31" s="52">
        <f>'БазНорм (обр)'!C19</f>
        <v>1.2003360941063496E-3</v>
      </c>
      <c r="D31" s="181"/>
    </row>
    <row r="32" spans="1:4" ht="12.75" customHeight="1" outlineLevel="3" x14ac:dyDescent="0.3">
      <c r="A32" s="26" t="str">
        <f>'БазНорм (обр)'!A20</f>
        <v>Журнал: Дефектология</v>
      </c>
      <c r="B32" s="27" t="str">
        <f>'БазНорм (обр)'!B20</f>
        <v>комп.</v>
      </c>
      <c r="C32" s="52">
        <f>'БазНорм (обр)'!C20</f>
        <v>0</v>
      </c>
      <c r="D32" s="181"/>
    </row>
    <row r="33" spans="1:4" ht="12.75" customHeight="1" outlineLevel="3" x14ac:dyDescent="0.3">
      <c r="A33" s="26" t="str">
        <f>'БазНорм (обр)'!A21</f>
        <v>Журнал: Лена рукоделия</v>
      </c>
      <c r="B33" s="27" t="str">
        <f>'БазНорм (обр)'!B21</f>
        <v>комп.</v>
      </c>
      <c r="C33" s="52">
        <f>'БазНорм (обр)'!C21</f>
        <v>0</v>
      </c>
      <c r="D33" s="181"/>
    </row>
    <row r="34" spans="1:4" ht="25.5" customHeight="1" outlineLevel="3" x14ac:dyDescent="0.3">
      <c r="A34" s="26" t="str">
        <f>'БазНорм (обр)'!A22</f>
        <v>Нормативные документы образовательного учреждения</v>
      </c>
      <c r="B34" s="27" t="str">
        <f>'БазНорм (обр)'!B22</f>
        <v>комп.</v>
      </c>
      <c r="C34" s="52">
        <f>'БазНорм (обр)'!C22</f>
        <v>1.2003360941063496E-3</v>
      </c>
      <c r="D34" s="181"/>
    </row>
    <row r="35" spans="1:4" ht="12.75" customHeight="1" outlineLevel="3" x14ac:dyDescent="0.3">
      <c r="A35" s="26" t="str">
        <f>'БазНорм (обр)'!A23</f>
        <v>Журнал: Практика работы в школе</v>
      </c>
      <c r="B35" s="27" t="str">
        <f>'БазНорм (обр)'!B23</f>
        <v>комп.</v>
      </c>
      <c r="C35" s="52">
        <f>'БазНорм (обр)'!C23</f>
        <v>0</v>
      </c>
      <c r="D35" s="181"/>
    </row>
    <row r="36" spans="1:4" ht="25.5" customHeight="1" outlineLevel="3" x14ac:dyDescent="0.3">
      <c r="A36" s="26" t="str">
        <f>'БазНорм (обр)'!A24</f>
        <v>Журнал: Профессиональная библиотека</v>
      </c>
      <c r="B36" s="27" t="str">
        <f>'БазНорм (обр)'!B24</f>
        <v>комп.</v>
      </c>
      <c r="C36" s="52">
        <f>'БазНорм (обр)'!C24</f>
        <v>0</v>
      </c>
      <c r="D36" s="181"/>
    </row>
    <row r="37" spans="1:4" ht="12.75" customHeight="1" outlineLevel="3" x14ac:dyDescent="0.3">
      <c r="A37" s="26" t="str">
        <f>'БазНорм (обр)'!A25</f>
        <v>Справочник руководителя</v>
      </c>
      <c r="B37" s="27" t="str">
        <f>'БазНорм (обр)'!B25</f>
        <v>комп.</v>
      </c>
      <c r="C37" s="52">
        <f>'БазНорм (обр)'!C25</f>
        <v>1.2003360941063496E-3</v>
      </c>
      <c r="D37" s="181"/>
    </row>
    <row r="38" spans="1:4" ht="25.5" customHeight="1" outlineLevel="3" x14ac:dyDescent="0.3">
      <c r="A38" s="26" t="str">
        <f>'БазНорм (обр)'!A26</f>
        <v>Юридический журнал директора школы</v>
      </c>
      <c r="B38" s="27" t="str">
        <f>'БазНорм (обр)'!B26</f>
        <v>комп.</v>
      </c>
      <c r="C38" s="52">
        <f>'БазНорм (обр)'!C26</f>
        <v>1.2003360941063496E-3</v>
      </c>
      <c r="D38" s="181"/>
    </row>
    <row r="39" spans="1:4" ht="12.75" customHeight="1" outlineLevel="3" x14ac:dyDescent="0.3">
      <c r="A39" s="26" t="str">
        <f>'БазНорм (обр)'!A27</f>
        <v xml:space="preserve">Детская энциклопедия </v>
      </c>
      <c r="B39" s="27" t="str">
        <f>'БазНорм (обр)'!B27</f>
        <v>комп.</v>
      </c>
      <c r="C39" s="52">
        <f>'БазНорм (обр)'!C27</f>
        <v>0</v>
      </c>
      <c r="D39" s="181"/>
    </row>
    <row r="40" spans="1:4" ht="12.75" customHeight="1" outlineLevel="3" x14ac:dyDescent="0.3">
      <c r="A40" s="26" t="str">
        <f>'БазНорм (обр)'!A28</f>
        <v>Журнал: Добрая дорога детства</v>
      </c>
      <c r="B40" s="27" t="str">
        <f>'БазНорм (обр)'!B28</f>
        <v>комп.</v>
      </c>
      <c r="C40" s="52">
        <f>'БазНорм (обр)'!C28</f>
        <v>0</v>
      </c>
      <c r="D40" s="181"/>
    </row>
    <row r="41" spans="1:4" ht="25.5" customHeight="1" outlineLevel="3" x14ac:dyDescent="0.3">
      <c r="A41" s="26" t="str">
        <f>'БазНорм (обр)'!A29</f>
        <v>Справочник классного руководителя</v>
      </c>
      <c r="B41" s="27" t="str">
        <f>'БазНорм (обр)'!B29</f>
        <v>комп.</v>
      </c>
      <c r="C41" s="52">
        <f>'БазНорм (обр)'!C29</f>
        <v>0</v>
      </c>
      <c r="D41" s="181"/>
    </row>
    <row r="42" spans="1:4" ht="25.5" customHeight="1" outlineLevel="3" x14ac:dyDescent="0.3">
      <c r="A42" s="26" t="str">
        <f>'БазНорм (обр)'!A30</f>
        <v>Справочник заместителя директора школы</v>
      </c>
      <c r="B42" s="27" t="str">
        <f>'БазНорм (обр)'!B30</f>
        <v>комп.</v>
      </c>
      <c r="C42" s="52">
        <f>'БазНорм (обр)'!C30</f>
        <v>1.2003360941063496E-3</v>
      </c>
      <c r="D42" s="181"/>
    </row>
    <row r="43" spans="1:4" ht="12.75" customHeight="1" outlineLevel="3" x14ac:dyDescent="0.3">
      <c r="A43" s="26" t="str">
        <f>'БазНорм (обр)'!A31</f>
        <v>Журнал: Школьный психолог</v>
      </c>
      <c r="B43" s="27" t="str">
        <f>'БазНорм (обр)'!B31</f>
        <v>комп.</v>
      </c>
      <c r="C43" s="52">
        <f>'БазНорм (обр)'!C31</f>
        <v>0</v>
      </c>
      <c r="D43" s="181"/>
    </row>
    <row r="44" spans="1:4" ht="12.75" customHeight="1" outlineLevel="3" x14ac:dyDescent="0.3">
      <c r="A44" s="26" t="str">
        <f>'БазНорм (обр)'!A32</f>
        <v>Журнал: Последний звонок</v>
      </c>
      <c r="B44" s="27" t="str">
        <f>'БазНорм (обр)'!B32</f>
        <v>комп.</v>
      </c>
      <c r="C44" s="52">
        <f>'БазНорм (обр)'!C32</f>
        <v>0</v>
      </c>
      <c r="D44" s="181"/>
    </row>
    <row r="45" spans="1:4" ht="12.75" customHeight="1" outlineLevel="3" x14ac:dyDescent="0.3">
      <c r="A45" s="26" t="str">
        <f>'БазНорм (обр)'!A33</f>
        <v>Журнал: Шишкин лес</v>
      </c>
      <c r="B45" s="27" t="str">
        <f>'БазНорм (обр)'!B33</f>
        <v>комп.</v>
      </c>
      <c r="C45" s="52">
        <f>'БазНорм (обр)'!C33</f>
        <v>0</v>
      </c>
      <c r="D45" s="181"/>
    </row>
    <row r="46" spans="1:4" ht="12.75" customHeight="1" outlineLevel="3" x14ac:dyDescent="0.3">
      <c r="A46" s="26" t="str">
        <f>'БазНорм (обр)'!A34</f>
        <v>Журнал: ГЕОленок</v>
      </c>
      <c r="B46" s="27" t="str">
        <f>'БазНорм (обр)'!B34</f>
        <v>комп.</v>
      </c>
      <c r="C46" s="52">
        <f>'БазНорм (обр)'!C34</f>
        <v>0</v>
      </c>
      <c r="D46" s="181"/>
    </row>
    <row r="47" spans="1:4" ht="12.75" customHeight="1" outlineLevel="3" x14ac:dyDescent="0.3">
      <c r="A47" s="26" t="str">
        <f>'БазНорм (обр)'!A35</f>
        <v>Журнал: Добрята</v>
      </c>
      <c r="B47" s="27" t="str">
        <f>'БазНорм (обр)'!B35</f>
        <v>комп.</v>
      </c>
      <c r="C47" s="52">
        <f>'БазНорм (обр)'!C35</f>
        <v>0</v>
      </c>
      <c r="D47" s="181"/>
    </row>
    <row r="48" spans="1:4" ht="12.75" customHeight="1" outlineLevel="3" x14ac:dyDescent="0.3">
      <c r="A48" s="26" t="str">
        <f>'БазНорм (обр)'!A36</f>
        <v>Журнал: Бумеранг</v>
      </c>
      <c r="B48" s="27" t="str">
        <f>'БазНорм (обр)'!B36</f>
        <v>комп.</v>
      </c>
      <c r="C48" s="52">
        <f>'БазНорм (обр)'!C36</f>
        <v>0</v>
      </c>
      <c r="D48" s="181"/>
    </row>
    <row r="49" spans="1:4" ht="12.75" customHeight="1" outlineLevel="3" x14ac:dyDescent="0.3">
      <c r="A49" s="26" t="str">
        <f>'БазНорм (обр)'!A37</f>
        <v>Журнал :Веселые животные</v>
      </c>
      <c r="B49" s="27" t="str">
        <f>'БазНорм (обр)'!B37</f>
        <v>комп.</v>
      </c>
      <c r="C49" s="52">
        <f>'БазНорм (обр)'!C37</f>
        <v>0</v>
      </c>
      <c r="D49" s="181"/>
    </row>
    <row r="50" spans="1:4" ht="12.75" customHeight="1" outlineLevel="3" x14ac:dyDescent="0.3">
      <c r="A50" s="26" t="str">
        <f>'БазНорм (обр)'!A38</f>
        <v>Журнал: Весёлый затейник</v>
      </c>
      <c r="B50" s="27" t="str">
        <f>'БазНорм (обр)'!B38</f>
        <v>комп.</v>
      </c>
      <c r="C50" s="52">
        <f>'БазНорм (обр)'!C38</f>
        <v>0</v>
      </c>
      <c r="D50" s="181"/>
    </row>
    <row r="51" spans="1:4" ht="12.75" customHeight="1" outlineLevel="3" x14ac:dyDescent="0.3">
      <c r="A51" s="26" t="str">
        <f>'БазНорм (обр)'!A39</f>
        <v>Журнал: Все звёзды</v>
      </c>
      <c r="B51" s="27" t="str">
        <f>'БазНорм (обр)'!B39</f>
        <v>комп.</v>
      </c>
      <c r="C51" s="52">
        <f>'БазНорм (обр)'!C39</f>
        <v>0</v>
      </c>
      <c r="D51" s="181"/>
    </row>
    <row r="52" spans="1:4" ht="25.5" customHeight="1" outlineLevel="3" x14ac:dyDescent="0.3">
      <c r="A52" s="26" t="str">
        <f>'БазНорм (обр)'!A40</f>
        <v>Журнал: Девчонки-мальчишки. Школа ремесел</v>
      </c>
      <c r="B52" s="27" t="str">
        <f>'БазНорм (обр)'!B40</f>
        <v>комп.</v>
      </c>
      <c r="C52" s="52">
        <f>'БазНорм (обр)'!C40</f>
        <v>0</v>
      </c>
      <c r="D52" s="181"/>
    </row>
    <row r="53" spans="1:4" ht="25.5" customHeight="1" outlineLevel="3" x14ac:dyDescent="0.3">
      <c r="A53" s="26" t="str">
        <f>'БазНорм (обр)'!A41</f>
        <v>Журнал: Управление современной школой</v>
      </c>
      <c r="B53" s="27" t="str">
        <f>'БазНорм (обр)'!B41</f>
        <v>комп.</v>
      </c>
      <c r="C53" s="52">
        <f>'БазНорм (обр)'!C41</f>
        <v>0</v>
      </c>
      <c r="D53" s="181"/>
    </row>
    <row r="54" spans="1:4" ht="12.75" customHeight="1" outlineLevel="3" x14ac:dyDescent="0.3">
      <c r="A54" s="26" t="str">
        <f>'БазНорм (обр)'!A42</f>
        <v>Журнал : Клёпа</v>
      </c>
      <c r="B54" s="27" t="str">
        <f>'БазНорм (обр)'!B42</f>
        <v>комп.</v>
      </c>
      <c r="C54" s="52">
        <f>'БазНорм (обр)'!C42</f>
        <v>0</v>
      </c>
      <c r="D54" s="181"/>
    </row>
    <row r="55" spans="1:4" ht="12.75" customHeight="1" outlineLevel="3" x14ac:dyDescent="0.3">
      <c r="A55" s="26" t="str">
        <f>'БазНорм (обр)'!A43</f>
        <v>Журнал: Компьютер MOUSE</v>
      </c>
      <c r="B55" s="27" t="str">
        <f>'БазНорм (обр)'!B43</f>
        <v>комп.</v>
      </c>
      <c r="C55" s="52">
        <f>'БазНорм (обр)'!C43</f>
        <v>0</v>
      </c>
      <c r="D55" s="181"/>
    </row>
    <row r="56" spans="1:4" ht="12.75" customHeight="1" outlineLevel="3" x14ac:dyDescent="0.3">
      <c r="A56" s="26" t="str">
        <f>'БазНорм (обр)'!A44</f>
        <v>Журнал: Спасайкин</v>
      </c>
      <c r="B56" s="27" t="str">
        <f>'БазНорм (обр)'!B44</f>
        <v>комп.</v>
      </c>
      <c r="C56" s="52">
        <f>'БазНорм (обр)'!C44</f>
        <v>1.2003360941063496E-3</v>
      </c>
      <c r="D56" s="181"/>
    </row>
    <row r="57" spans="1:4" ht="12.75" customHeight="1" outlineLevel="3" x14ac:dyDescent="0.3">
      <c r="A57" s="26" t="str">
        <f>'БазНорм (обр)'!A45</f>
        <v>Журнал: Мир техники для детей</v>
      </c>
      <c r="B57" s="27" t="str">
        <f>'БазНорм (обр)'!B45</f>
        <v>комп.</v>
      </c>
      <c r="C57" s="52">
        <f>'БазНорм (обр)'!C45</f>
        <v>0</v>
      </c>
      <c r="D57" s="181"/>
    </row>
    <row r="58" spans="1:4" ht="12.75" customHeight="1" outlineLevel="3" x14ac:dyDescent="0.3">
      <c r="A58" s="26" t="str">
        <f>'БазНорм (обр)'!A46</f>
        <v>Журнал: Читайка</v>
      </c>
      <c r="B58" s="27" t="str">
        <f>'БазНорм (обр)'!B46</f>
        <v>комп.</v>
      </c>
      <c r="C58" s="52">
        <f>'БазНорм (обр)'!C46</f>
        <v>0</v>
      </c>
      <c r="D58" s="181"/>
    </row>
    <row r="59" spans="1:4" ht="25.5" customHeight="1" outlineLevel="3" x14ac:dyDescent="0.3">
      <c r="A59" s="26" t="str">
        <f>'БазНорм (обр)'!A47</f>
        <v>Журнал: Чудеса и приключения-детям-ЧИП</v>
      </c>
      <c r="B59" s="27" t="str">
        <f>'БазНорм (обр)'!B47</f>
        <v>комп.</v>
      </c>
      <c r="C59" s="52">
        <f>'БазНорм (обр)'!C47</f>
        <v>0</v>
      </c>
      <c r="D59" s="181"/>
    </row>
    <row r="60" spans="1:4" ht="12.75" customHeight="1" outlineLevel="3" x14ac:dyDescent="0.3">
      <c r="A60" s="26" t="str">
        <f>'БазНорм (обр)'!A48</f>
        <v>Журнал: Юный краевед</v>
      </c>
      <c r="B60" s="27" t="str">
        <f>'БазНорм (обр)'!B48</f>
        <v>комп.</v>
      </c>
      <c r="C60" s="52">
        <f>'БазНорм (обр)'!C48</f>
        <v>0</v>
      </c>
      <c r="D60" s="181"/>
    </row>
    <row r="61" spans="1:4" ht="12.75" customHeight="1" outlineLevel="3" x14ac:dyDescent="0.3">
      <c r="A61" s="26" t="str">
        <f>'БазНорм (обр)'!A49</f>
        <v>Журнал: Игровая библиотека</v>
      </c>
      <c r="B61" s="27" t="str">
        <f>'БазНорм (обр)'!B49</f>
        <v>комп.</v>
      </c>
      <c r="C61" s="52">
        <f>'БазНорм (обр)'!C49</f>
        <v>0</v>
      </c>
      <c r="D61" s="181"/>
    </row>
    <row r="62" spans="1:4" ht="12.75" customHeight="1" outlineLevel="3" x14ac:dyDescent="0.3">
      <c r="A62" s="26" t="str">
        <f>'БазНорм (обр)'!A50</f>
        <v>Журнал: Школа и производство</v>
      </c>
      <c r="B62" s="27" t="str">
        <f>'БазНорм (обр)'!B50</f>
        <v>комп.</v>
      </c>
      <c r="C62" s="52">
        <f>'БазНорм (обр)'!C50</f>
        <v>0</v>
      </c>
      <c r="D62" s="181"/>
    </row>
    <row r="63" spans="1:4" ht="12.75" customHeight="1" outlineLevel="3" x14ac:dyDescent="0.3">
      <c r="A63" s="26" t="str">
        <f>'БазНорм (обр)'!A51</f>
        <v>Журнал: Веселый урок</v>
      </c>
      <c r="B63" s="27" t="str">
        <f>'БазНорм (обр)'!B51</f>
        <v>комп.</v>
      </c>
      <c r="C63" s="52">
        <f>'БазНорм (обр)'!C51</f>
        <v>0</v>
      </c>
      <c r="D63" s="181"/>
    </row>
    <row r="64" spans="1:4" ht="12.75" customHeight="1" outlineLevel="3" x14ac:dyDescent="0.3">
      <c r="A64" s="26" t="str">
        <f>'БазНорм (обр)'!A52</f>
        <v>Журнал: ОБЖ</v>
      </c>
      <c r="B64" s="27" t="str">
        <f>'БазНорм (обр)'!B52</f>
        <v>комп.</v>
      </c>
      <c r="C64" s="52">
        <f>'БазНорм (обр)'!C52</f>
        <v>0</v>
      </c>
      <c r="D64" s="181"/>
    </row>
    <row r="65" spans="1:4" ht="12.75" customHeight="1" outlineLevel="3" x14ac:dyDescent="0.3">
      <c r="A65" s="26" t="str">
        <f>'БазНорм (обр)'!A53</f>
        <v>Журнал: Мурзилка</v>
      </c>
      <c r="B65" s="27" t="str">
        <f>'БазНорм (обр)'!B53</f>
        <v>комп.</v>
      </c>
      <c r="C65" s="52">
        <f>'БазНорм (обр)'!C53</f>
        <v>0</v>
      </c>
      <c r="D65" s="181"/>
    </row>
    <row r="66" spans="1:4" ht="12.75" customHeight="1" outlineLevel="3" x14ac:dyDescent="0.3">
      <c r="A66" s="26" t="str">
        <f>'БазНорм (обр)'!A54</f>
        <v>Журнал: Юный эрудит</v>
      </c>
      <c r="B66" s="27" t="str">
        <f>'БазНорм (обр)'!B54</f>
        <v>комп.</v>
      </c>
      <c r="C66" s="52">
        <f>'БазНорм (обр)'!C54</f>
        <v>0</v>
      </c>
      <c r="D66" s="181"/>
    </row>
    <row r="67" spans="1:4" ht="12.75" customHeight="1" outlineLevel="3" x14ac:dyDescent="0.3">
      <c r="A67" s="26" t="str">
        <f>'БазНорм (обр)'!A55</f>
        <v>Журнал: Педсовет</v>
      </c>
      <c r="B67" s="27" t="str">
        <f>'БазНорм (обр)'!B55</f>
        <v>комп.</v>
      </c>
      <c r="C67" s="52">
        <f>'БазНорм (обр)'!C55</f>
        <v>0</v>
      </c>
      <c r="D67" s="181"/>
    </row>
    <row r="68" spans="1:4" ht="12.75" customHeight="1" outlineLevel="3" x14ac:dyDescent="0.3">
      <c r="A68" s="26" t="str">
        <f>'БазНорм (обр)'!A56</f>
        <v>Журнал: Методист</v>
      </c>
      <c r="B68" s="27" t="str">
        <f>'БазНорм (обр)'!B56</f>
        <v>комп.</v>
      </c>
      <c r="C68" s="52">
        <f>'БазНорм (обр)'!C56</f>
        <v>0</v>
      </c>
      <c r="D68" s="181"/>
    </row>
    <row r="69" spans="1:4" ht="12.75" customHeight="1" outlineLevel="3" x14ac:dyDescent="0.3">
      <c r="A69" s="26" t="str">
        <f>'БазНорм (обр)'!A57</f>
        <v>Журнал: Огонек</v>
      </c>
      <c r="B69" s="27" t="str">
        <f>'БазНорм (обр)'!B57</f>
        <v>комп.</v>
      </c>
      <c r="C69" s="52">
        <f>'БазНорм (обр)'!C57</f>
        <v>0</v>
      </c>
      <c r="D69" s="181"/>
    </row>
    <row r="70" spans="1:4" ht="12.75" customHeight="1" outlineLevel="3" x14ac:dyDescent="0.3">
      <c r="A70" s="26" t="str">
        <f>'БазНорм (обр)'!A58</f>
        <v>Журнал: Отчего и почему</v>
      </c>
      <c r="B70" s="27" t="str">
        <f>'БазНорм (обр)'!B58</f>
        <v>комп.</v>
      </c>
      <c r="C70" s="52">
        <f>'БазНорм (обр)'!C58</f>
        <v>0</v>
      </c>
      <c r="D70" s="181"/>
    </row>
    <row r="71" spans="1:4" s="60" customFormat="1" ht="12.75" customHeight="1" outlineLevel="2" x14ac:dyDescent="0.3">
      <c r="A71" s="33" t="s">
        <v>478</v>
      </c>
      <c r="B71" s="34" t="s">
        <v>3</v>
      </c>
      <c r="C71" s="51" t="s">
        <v>3</v>
      </c>
      <c r="D71" s="181"/>
    </row>
    <row r="72" spans="1:4" ht="12.75" customHeight="1" outlineLevel="3" x14ac:dyDescent="0.3">
      <c r="A72" s="26" t="str">
        <f>'БазНорм (обр)'!A60</f>
        <v>Шкаф для документов</v>
      </c>
      <c r="B72" s="27" t="str">
        <f>'БазНорм (обр)'!B60</f>
        <v>шт.</v>
      </c>
      <c r="C72" s="52">
        <f>'БазНорм (обр)'!C60</f>
        <v>0</v>
      </c>
      <c r="D72" s="181"/>
    </row>
    <row r="73" spans="1:4" ht="12.75" customHeight="1" outlineLevel="3" x14ac:dyDescent="0.3">
      <c r="A73" s="26" t="str">
        <f>'БазНорм (обр)'!A61</f>
        <v>Шкаф книжный</v>
      </c>
      <c r="B73" s="27" t="str">
        <f>'БазНорм (обр)'!B61</f>
        <v>шт.</v>
      </c>
      <c r="C73" s="52">
        <f>'БазНорм (обр)'!C61</f>
        <v>0</v>
      </c>
      <c r="D73" s="181"/>
    </row>
    <row r="74" spans="1:4" ht="12.75" customHeight="1" outlineLevel="3" x14ac:dyDescent="0.3">
      <c r="A74" s="26" t="str">
        <f>'БазНорм (обр)'!A62</f>
        <v>Шкаф под ключи</v>
      </c>
      <c r="B74" s="27" t="str">
        <f>'БазНорм (обр)'!B62</f>
        <v>шт.</v>
      </c>
      <c r="C74" s="52">
        <f>'БазНорм (обр)'!C62</f>
        <v>0</v>
      </c>
      <c r="D74" s="181"/>
    </row>
    <row r="75" spans="1:4" ht="12.75" customHeight="1" outlineLevel="3" x14ac:dyDescent="0.3">
      <c r="A75" s="26" t="str">
        <f>'БазНорм (обр)'!A63</f>
        <v>Шкаф для одежды</v>
      </c>
      <c r="B75" s="27" t="str">
        <f>'БазНорм (обр)'!B63</f>
        <v>шт.</v>
      </c>
      <c r="C75" s="52">
        <f>'БазНорм (обр)'!C63</f>
        <v>0</v>
      </c>
      <c r="D75" s="181"/>
    </row>
    <row r="76" spans="1:4" ht="12.75" customHeight="1" outlineLevel="3" x14ac:dyDescent="0.3">
      <c r="A76" s="26" t="str">
        <f>'БазНорм (обр)'!A64</f>
        <v>Стеллаж для библиотеки</v>
      </c>
      <c r="B76" s="27" t="str">
        <f>'БазНорм (обр)'!B64</f>
        <v>шт.</v>
      </c>
      <c r="C76" s="52">
        <f>'БазНорм (обр)'!C64</f>
        <v>0</v>
      </c>
      <c r="D76" s="181"/>
    </row>
    <row r="77" spans="1:4" ht="12.75" customHeight="1" outlineLevel="3" x14ac:dyDescent="0.3">
      <c r="A77" s="26" t="str">
        <f>'БазНорм (обр)'!A65</f>
        <v>Стеллаж библиотечный 2х сторон</v>
      </c>
      <c r="B77" s="27" t="str">
        <f>'БазНорм (обр)'!B65</f>
        <v>шт.</v>
      </c>
      <c r="C77" s="52">
        <f>'БазНорм (обр)'!C65</f>
        <v>0</v>
      </c>
      <c r="D77" s="181"/>
    </row>
    <row r="78" spans="1:4" ht="25.5" customHeight="1" outlineLevel="3" x14ac:dyDescent="0.3">
      <c r="A78" s="26" t="str">
        <f>'БазНорм (обр)'!A66</f>
        <v>Стеллаж библиотечный односторонний</v>
      </c>
      <c r="B78" s="27" t="str">
        <f>'БазНорм (обр)'!B66</f>
        <v>шт.</v>
      </c>
      <c r="C78" s="52">
        <f>'БазНорм (обр)'!C66</f>
        <v>0</v>
      </c>
      <c r="D78" s="181"/>
    </row>
    <row r="79" spans="1:4" ht="12.75" customHeight="1" outlineLevel="3" x14ac:dyDescent="0.3">
      <c r="A79" s="26" t="str">
        <f>'БазНорм (обр)'!A67</f>
        <v>Полка для раз. досок</v>
      </c>
      <c r="B79" s="27" t="str">
        <f>'БазНорм (обр)'!B67</f>
        <v>шт.</v>
      </c>
      <c r="C79" s="52">
        <f>'БазНорм (обр)'!C67</f>
        <v>0</v>
      </c>
      <c r="D79" s="181"/>
    </row>
    <row r="80" spans="1:4" ht="12.75" customHeight="1" outlineLevel="3" x14ac:dyDescent="0.3">
      <c r="A80" s="26" t="str">
        <f>'БазНорм (обр)'!A68</f>
        <v>Доска аудиторная</v>
      </c>
      <c r="B80" s="27" t="str">
        <f>'БазНорм (обр)'!B68</f>
        <v>шт.</v>
      </c>
      <c r="C80" s="52">
        <f>'БазНорм (обр)'!C68</f>
        <v>0</v>
      </c>
      <c r="D80" s="181"/>
    </row>
    <row r="81" spans="1:4" ht="12.75" customHeight="1" outlineLevel="3" x14ac:dyDescent="0.3">
      <c r="A81" s="26" t="str">
        <f>'БазНорм (обр)'!A69</f>
        <v>Доска пробковая</v>
      </c>
      <c r="B81" s="27" t="str">
        <f>'БазНорм (обр)'!B69</f>
        <v>шт.</v>
      </c>
      <c r="C81" s="52">
        <f>'БазНорм (обр)'!C69</f>
        <v>0</v>
      </c>
      <c r="D81" s="181"/>
    </row>
    <row r="82" spans="1:4" ht="12.75" customHeight="1" outlineLevel="3" x14ac:dyDescent="0.3">
      <c r="A82" s="26" t="str">
        <f>'БазНорм (обр)'!A70</f>
        <v>Стол эргономичный</v>
      </c>
      <c r="B82" s="27" t="str">
        <f>'БазНорм (обр)'!B70</f>
        <v>шт.</v>
      </c>
      <c r="C82" s="52">
        <f>'БазНорм (обр)'!C70</f>
        <v>0</v>
      </c>
      <c r="D82" s="181"/>
    </row>
    <row r="83" spans="1:4" ht="12.75" customHeight="1" outlineLevel="3" x14ac:dyDescent="0.3">
      <c r="A83" s="26" t="str">
        <f>'БазНорм (обр)'!A71</f>
        <v>Стол ученический</v>
      </c>
      <c r="B83" s="27" t="str">
        <f>'БазНорм (обр)'!B71</f>
        <v>шт.</v>
      </c>
      <c r="C83" s="52">
        <f>'БазНорм (обр)'!C71</f>
        <v>0</v>
      </c>
      <c r="D83" s="181"/>
    </row>
    <row r="84" spans="1:4" ht="12.75" customHeight="1" outlineLevel="3" x14ac:dyDescent="0.3">
      <c r="A84" s="26" t="str">
        <f>'БазНорм (обр)'!A72</f>
        <v>Стул офисный</v>
      </c>
      <c r="B84" s="27" t="str">
        <f>'БазНорм (обр)'!B72</f>
        <v>шт.</v>
      </c>
      <c r="C84" s="52">
        <f>'БазНорм (обр)'!C72</f>
        <v>0</v>
      </c>
      <c r="D84" s="181"/>
    </row>
    <row r="85" spans="1:4" ht="12.75" customHeight="1" outlineLevel="3" x14ac:dyDescent="0.3">
      <c r="A85" s="26" t="str">
        <f>'БазНорм (обр)'!A73</f>
        <v>Стул ученический</v>
      </c>
      <c r="B85" s="27" t="str">
        <f>'БазНорм (обр)'!B73</f>
        <v>шт.</v>
      </c>
      <c r="C85" s="52">
        <f>'БазНорм (обр)'!C73</f>
        <v>0</v>
      </c>
      <c r="D85" s="181"/>
    </row>
    <row r="86" spans="1:4" ht="12.75" customHeight="1" outlineLevel="3" x14ac:dyDescent="0.3">
      <c r="A86" s="26" t="str">
        <f>'БазНорм (обр)'!A74</f>
        <v>Тумба подкатная</v>
      </c>
      <c r="B86" s="27" t="str">
        <f>'БазНорм (обр)'!B74</f>
        <v>шт.</v>
      </c>
      <c r="C86" s="52">
        <f>'БазНорм (обр)'!C74</f>
        <v>0</v>
      </c>
      <c r="D86" s="181"/>
    </row>
    <row r="87" spans="1:4" ht="12.75" customHeight="1" outlineLevel="3" x14ac:dyDescent="0.3">
      <c r="A87" s="26" t="str">
        <f>'БазНорм (обр)'!A75</f>
        <v>Скамейка 3- местная</v>
      </c>
      <c r="B87" s="27" t="str">
        <f>'БазНорм (обр)'!B75</f>
        <v>шт.</v>
      </c>
      <c r="C87" s="52">
        <f>'БазНорм (обр)'!C75</f>
        <v>0</v>
      </c>
      <c r="D87" s="181"/>
    </row>
    <row r="88" spans="1:4" ht="25.5" customHeight="1" outlineLevel="3" x14ac:dyDescent="0.3">
      <c r="A88" s="26" t="str">
        <f>'БазНорм (обр)'!A76</f>
        <v>Скамья для раздевалок одностопрнняя</v>
      </c>
      <c r="B88" s="27" t="str">
        <f>'БазНорм (обр)'!B76</f>
        <v>шт.</v>
      </c>
      <c r="C88" s="52">
        <f>'БазНорм (обр)'!C76</f>
        <v>0</v>
      </c>
      <c r="D88" s="181"/>
    </row>
    <row r="89" spans="1:4" ht="12.75" customHeight="1" outlineLevel="2" x14ac:dyDescent="0.3">
      <c r="A89" s="26" t="str">
        <f>'БазНорм (обр)'!A77</f>
        <v>Грамоты</v>
      </c>
      <c r="B89" s="27" t="str">
        <f>'БазНорм (обр)'!B77</f>
        <v>шт.</v>
      </c>
      <c r="C89" s="52">
        <f>'БазНорм (обр)'!C77</f>
        <v>1.3323730644580483</v>
      </c>
      <c r="D89" s="181"/>
    </row>
    <row r="90" spans="1:4" ht="38.25" customHeight="1" outlineLevel="2" x14ac:dyDescent="0.3">
      <c r="A90" s="26" t="str">
        <f>'БазНорм (обр)'!A78</f>
        <v>Медали "За особые успехи в учении", аттестаты, приложения к аттестату</v>
      </c>
      <c r="B90" s="27" t="str">
        <f>'БазНорм (обр)'!B78</f>
        <v>шт.</v>
      </c>
      <c r="C90" s="52">
        <f>'БазНорм (обр)'!C78</f>
        <v>0.23646621053895089</v>
      </c>
      <c r="D90" s="181"/>
    </row>
    <row r="91" spans="1:4" ht="12.75" customHeight="1" outlineLevel="1" x14ac:dyDescent="0.3">
      <c r="A91" s="183" t="s">
        <v>82</v>
      </c>
      <c r="B91" s="183"/>
      <c r="C91" s="183"/>
      <c r="D91" s="183"/>
    </row>
    <row r="92" spans="1:4" s="60" customFormat="1" ht="12.75" customHeight="1" outlineLevel="2" x14ac:dyDescent="0.3">
      <c r="A92" s="33" t="s">
        <v>475</v>
      </c>
      <c r="B92" s="34" t="s">
        <v>3</v>
      </c>
      <c r="C92" s="59" t="s">
        <v>3</v>
      </c>
      <c r="D92" s="180" t="s">
        <v>135</v>
      </c>
    </row>
    <row r="93" spans="1:4" ht="12.75" customHeight="1" outlineLevel="3" x14ac:dyDescent="0.3">
      <c r="A93" s="26" t="str">
        <f>'БазНорм (обр)'!A81</f>
        <v>Вода питьевая</v>
      </c>
      <c r="B93" s="27" t="str">
        <f>'БазНорм (обр)'!B81</f>
        <v>л.</v>
      </c>
      <c r="C93" s="52">
        <f>'БазНорм (обр)'!C81</f>
        <v>10.568766513697677</v>
      </c>
      <c r="D93" s="181"/>
    </row>
    <row r="94" spans="1:4" ht="25.5" customHeight="1" outlineLevel="3" x14ac:dyDescent="0.3">
      <c r="A94" s="26" t="str">
        <f>'БазНорм (обр)'!A82</f>
        <v>Одноразовые стаканы</v>
      </c>
      <c r="B94" s="27" t="str">
        <f>'БазНорм (обр)'!B82</f>
        <v>шт.</v>
      </c>
      <c r="C94" s="52">
        <f>'БазНорм (обр)'!C82</f>
        <v>52.843832568488388</v>
      </c>
      <c r="D94" s="181"/>
    </row>
    <row r="95" spans="1:4" s="60" customFormat="1" ht="25.5" customHeight="1" outlineLevel="2" x14ac:dyDescent="0.3">
      <c r="A95" s="33" t="s">
        <v>474</v>
      </c>
      <c r="B95" s="34" t="s">
        <v>3</v>
      </c>
      <c r="C95" s="59" t="s">
        <v>3</v>
      </c>
      <c r="D95" s="181"/>
    </row>
    <row r="96" spans="1:4" ht="12.75" customHeight="1" outlineLevel="3" x14ac:dyDescent="0.3">
      <c r="A96" s="26" t="str">
        <f>'БазНорм (обр)'!A84</f>
        <v>Антивирус</v>
      </c>
      <c r="B96" s="27" t="str">
        <f>'БазНорм (обр)'!B84</f>
        <v>усл. ед.</v>
      </c>
      <c r="C96" s="52">
        <f>'БазНорм (обр)'!C84</f>
        <v>0.13906271728549574</v>
      </c>
      <c r="D96" s="181"/>
    </row>
    <row r="97" spans="1:4" ht="12.75" customHeight="1" outlineLevel="3" x14ac:dyDescent="0.3">
      <c r="A97" s="26" t="str">
        <f>'БазНорм (обр)'!A85</f>
        <v>WebFiltre UserGate</v>
      </c>
      <c r="B97" s="27" t="str">
        <f>'БазНорм (обр)'!B85</f>
        <v>усл. ед.</v>
      </c>
      <c r="C97" s="52">
        <f>'БазНорм (обр)'!C85</f>
        <v>0.13906271728549574</v>
      </c>
      <c r="D97" s="181"/>
    </row>
    <row r="98" spans="1:4" ht="25.5" customHeight="1" outlineLevel="3" x14ac:dyDescent="0.3">
      <c r="A98" s="26" t="str">
        <f>'БазНорм (обр)'!A86</f>
        <v>Сопровождение ПО Vipnet Client</v>
      </c>
      <c r="B98" s="27" t="str">
        <f>'БазНорм (обр)'!B86</f>
        <v>усл. ед.</v>
      </c>
      <c r="C98" s="52">
        <f>'БазНорм (обр)'!C86</f>
        <v>1.3906271728549575E-3</v>
      </c>
      <c r="D98" s="181"/>
    </row>
    <row r="99" spans="1:4" s="60" customFormat="1" ht="25.5" customHeight="1" outlineLevel="2" x14ac:dyDescent="0.3">
      <c r="A99" s="33" t="s">
        <v>65</v>
      </c>
      <c r="B99" s="34" t="s">
        <v>3</v>
      </c>
      <c r="C99" s="59" t="s">
        <v>3</v>
      </c>
      <c r="D99" s="181"/>
    </row>
    <row r="100" spans="1:4" ht="25.5" customHeight="1" outlineLevel="3" x14ac:dyDescent="0.3">
      <c r="A100" s="26" t="str">
        <f>'БазНорм (обр)'!A88</f>
        <v>Медицинский осмотр</v>
      </c>
      <c r="B100" s="27" t="str">
        <f>'БазНорм (обр)'!B88</f>
        <v>чел.</v>
      </c>
      <c r="C100" s="52">
        <f>'БазНорм (обр)'!C88</f>
        <v>3.0593797802809065E-2</v>
      </c>
      <c r="D100" s="181"/>
    </row>
    <row r="101" spans="1:4" ht="12.75" customHeight="1" outlineLevel="3" x14ac:dyDescent="0.3">
      <c r="A101" s="26" t="str">
        <f>'БазНорм (обр)'!A89</f>
        <v>Гигиеническая аттестация</v>
      </c>
      <c r="B101" s="27" t="str">
        <f>'БазНорм (обр)'!B89</f>
        <v>чел.</v>
      </c>
      <c r="C101" s="52">
        <f>'БазНорм (обр)'!C89</f>
        <v>0.1015157836184119</v>
      </c>
      <c r="D101" s="181"/>
    </row>
    <row r="102" spans="1:4" ht="12.75" customHeight="1" outlineLevel="3" x14ac:dyDescent="0.3">
      <c r="A102" s="26" t="str">
        <f>'БазНорм (обр)'!A90</f>
        <v>Оценка условий труда</v>
      </c>
      <c r="B102" s="27" t="str">
        <f>'БазНорм (обр)'!B90</f>
        <v>усл. ед.</v>
      </c>
      <c r="C102" s="52">
        <f>'БазНорм (обр)'!C90</f>
        <v>7.7412513255567333E-2</v>
      </c>
      <c r="D102" s="181"/>
    </row>
    <row r="103" spans="1:4" ht="12.75" customHeight="1" outlineLevel="3" x14ac:dyDescent="0.3">
      <c r="A103" s="26" t="str">
        <f>'БазНорм (обр)'!A91</f>
        <v>Аттестация рабочих мест</v>
      </c>
      <c r="B103" s="27" t="str">
        <f>'БазНорм (обр)'!B91</f>
        <v>усл. ед.</v>
      </c>
      <c r="C103" s="52">
        <f>'БазНорм (обр)'!C91</f>
        <v>7.4231177094379638E-2</v>
      </c>
      <c r="D103" s="181"/>
    </row>
    <row r="104" spans="1:4" ht="12.75" customHeight="1" outlineLevel="3" x14ac:dyDescent="0.3">
      <c r="A104" s="26" t="str">
        <f>'БазНорм (обр)'!A92</f>
        <v>Заправка картриджей</v>
      </c>
      <c r="B104" s="27" t="str">
        <f>'БазНорм (обр)'!B92</f>
        <v>усл. ед.</v>
      </c>
      <c r="C104" s="52">
        <f>'БазНорм (обр)'!C92</f>
        <v>0.20859407592824364</v>
      </c>
      <c r="D104" s="181"/>
    </row>
    <row r="105" spans="1:4" ht="12.75" customHeight="1" outlineLevel="3" x14ac:dyDescent="0.3">
      <c r="A105" s="26" t="str">
        <f>'БазНорм (обр)'!A93</f>
        <v>Приобритение картриджей</v>
      </c>
      <c r="B105" s="27" t="str">
        <f>'БазНорм (обр)'!B93</f>
        <v>шт.</v>
      </c>
      <c r="C105" s="52">
        <f>'БазНорм (обр)'!C93</f>
        <v>2.7812543457099152E-2</v>
      </c>
      <c r="D105" s="181"/>
    </row>
    <row r="106" spans="1:4" ht="12.75" customHeight="1" outlineLevel="3" x14ac:dyDescent="0.3">
      <c r="A106" s="26" t="str">
        <f>'БазНорм (обр)'!A94</f>
        <v>Хостинг сайта</v>
      </c>
      <c r="B106" s="27">
        <f>'БазНорм (обр)'!B94</f>
        <v>0</v>
      </c>
      <c r="C106" s="52">
        <f>'БазНорм (обр)'!C94</f>
        <v>1.3906271728549575E-3</v>
      </c>
      <c r="D106" s="181"/>
    </row>
    <row r="107" spans="1:4" s="60" customFormat="1" ht="12.75" customHeight="1" outlineLevel="3" x14ac:dyDescent="0.3">
      <c r="A107" s="33" t="s">
        <v>66</v>
      </c>
      <c r="B107" s="34" t="s">
        <v>3</v>
      </c>
      <c r="C107" s="51" t="s">
        <v>3</v>
      </c>
      <c r="D107" s="181"/>
    </row>
    <row r="108" spans="1:4" ht="12.75" customHeight="1" outlineLevel="3" x14ac:dyDescent="0.3">
      <c r="A108" s="26" t="str">
        <f>'БазНорм (обр)'!A96</f>
        <v>Бумага А4</v>
      </c>
      <c r="B108" s="27" t="str">
        <f>'БазНорм (обр)'!B96</f>
        <v>пач.</v>
      </c>
      <c r="C108" s="52">
        <f>'БазНорм (обр)'!C96</f>
        <v>0.29692470837751855</v>
      </c>
      <c r="D108" s="181"/>
    </row>
    <row r="109" spans="1:4" ht="12.75" customHeight="1" outlineLevel="3" x14ac:dyDescent="0.3">
      <c r="A109" s="26" t="str">
        <f>'БазНорм (обр)'!A97</f>
        <v>Блок для записей</v>
      </c>
      <c r="B109" s="27" t="str">
        <f>'БазНорм (обр)'!B97</f>
        <v>шт.</v>
      </c>
      <c r="C109" s="52">
        <f>'БазНорм (обр)'!C97</f>
        <v>6.0016804705317485E-2</v>
      </c>
      <c r="D109" s="181"/>
    </row>
    <row r="110" spans="1:4" ht="12.75" customHeight="1" outlineLevel="3" x14ac:dyDescent="0.3">
      <c r="A110" s="26" t="str">
        <f>'БазНорм (обр)'!A98</f>
        <v>Блок липкий</v>
      </c>
      <c r="B110" s="27" t="str">
        <f>'БазНорм (обр)'!B98</f>
        <v>шт.</v>
      </c>
      <c r="C110" s="52">
        <f>'БазНорм (обр)'!C98</f>
        <v>6.0016804705317485E-2</v>
      </c>
      <c r="D110" s="181"/>
    </row>
    <row r="111" spans="1:4" ht="12.75" customHeight="1" outlineLevel="3" x14ac:dyDescent="0.3">
      <c r="A111" s="26" t="str">
        <f>'БазНорм (обр)'!A99</f>
        <v>Мел школьный</v>
      </c>
      <c r="B111" s="27" t="str">
        <f>'БазНорм (обр)'!B99</f>
        <v>упак.</v>
      </c>
      <c r="C111" s="52">
        <f>'БазНорм (обр)'!C99</f>
        <v>2.4006721882126995E-2</v>
      </c>
      <c r="D111" s="181"/>
    </row>
    <row r="112" spans="1:4" ht="12.75" customHeight="1" outlineLevel="3" x14ac:dyDescent="0.3">
      <c r="A112" s="26" t="str">
        <f>'БазНорм (обр)'!A100</f>
        <v>Ластик (резинка)</v>
      </c>
      <c r="B112" s="27" t="str">
        <f>'БазНорм (обр)'!B100</f>
        <v>шт.</v>
      </c>
      <c r="C112" s="52">
        <f>'БазНорм (обр)'!C100</f>
        <v>3.0008402352658742E-2</v>
      </c>
      <c r="D112" s="181"/>
    </row>
    <row r="113" spans="1:4" ht="12.75" customHeight="1" outlineLevel="3" x14ac:dyDescent="0.3">
      <c r="A113" s="26" t="str">
        <f>'БазНорм (обр)'!A101</f>
        <v>Карандаш ч/гр</v>
      </c>
      <c r="B113" s="27" t="str">
        <f>'БазНорм (обр)'!B101</f>
        <v>шт.</v>
      </c>
      <c r="C113" s="52">
        <f>'БазНорм (обр)'!C101</f>
        <v>8.402352658744448E-3</v>
      </c>
      <c r="D113" s="181"/>
    </row>
    <row r="114" spans="1:4" ht="12.75" customHeight="1" outlineLevel="3" x14ac:dyDescent="0.3">
      <c r="A114" s="26" t="str">
        <f>'БазНорм (обр)'!A102</f>
        <v>Ручка гелевая черная</v>
      </c>
      <c r="B114" s="27" t="str">
        <f>'БазНорм (обр)'!B102</f>
        <v>шт.</v>
      </c>
      <c r="C114" s="52">
        <f>'БазНорм (обр)'!C102</f>
        <v>0.14404033129276198</v>
      </c>
      <c r="D114" s="181"/>
    </row>
    <row r="115" spans="1:4" ht="12.75" customHeight="1" outlineLevel="3" x14ac:dyDescent="0.3">
      <c r="A115" s="26" t="str">
        <f>'БазНорм (обр)'!A103</f>
        <v>Ручка шариковая</v>
      </c>
      <c r="B115" s="27" t="str">
        <f>'БазНорм (обр)'!B103</f>
        <v>шт.</v>
      </c>
      <c r="C115" s="52">
        <f>'БазНорм (обр)'!C103</f>
        <v>6.0016804705317485E-2</v>
      </c>
      <c r="D115" s="181"/>
    </row>
    <row r="116" spans="1:4" ht="12.75" customHeight="1" outlineLevel="3" x14ac:dyDescent="0.3">
      <c r="A116" s="26" t="str">
        <f>'БазНорм (обр)'!A104</f>
        <v>Текстовый маркер</v>
      </c>
      <c r="B116" s="27" t="str">
        <f>'БазНорм (обр)'!B104</f>
        <v>шт.</v>
      </c>
      <c r="C116" s="52">
        <f>'БазНорм (обр)'!C104</f>
        <v>5.4015124234785737E-2</v>
      </c>
      <c r="D116" s="181"/>
    </row>
    <row r="117" spans="1:4" ht="12.75" customHeight="1" outlineLevel="3" x14ac:dyDescent="0.3">
      <c r="A117" s="26" t="str">
        <f>'БазНорм (обр)'!A105</f>
        <v>Маркеры для доски</v>
      </c>
      <c r="B117" s="27" t="str">
        <f>'БазНорм (обр)'!B105</f>
        <v>шт.</v>
      </c>
      <c r="C117" s="52">
        <f>'БазНорм (обр)'!C105</f>
        <v>0.27812543457099148</v>
      </c>
      <c r="D117" s="181"/>
    </row>
    <row r="118" spans="1:4" ht="12.75" customHeight="1" outlineLevel="3" x14ac:dyDescent="0.3">
      <c r="A118" s="26" t="str">
        <f>'БазНорм (обр)'!A106</f>
        <v xml:space="preserve">Корректор </v>
      </c>
      <c r="B118" s="27" t="str">
        <f>'БазНорм (обр)'!B106</f>
        <v>шт.</v>
      </c>
      <c r="C118" s="52">
        <f>'БазНорм (обр)'!C106</f>
        <v>2.225003476567932E-2</v>
      </c>
      <c r="D118" s="181"/>
    </row>
    <row r="119" spans="1:4" ht="12.75" customHeight="1" outlineLevel="3" x14ac:dyDescent="0.3">
      <c r="A119" s="26" t="str">
        <f>'БазНорм (обр)'!A107</f>
        <v>Кнопки</v>
      </c>
      <c r="B119" s="27" t="str">
        <f>'БазНорм (обр)'!B107</f>
        <v>упак.</v>
      </c>
      <c r="C119" s="52">
        <f>'БазНорм (обр)'!C107</f>
        <v>1.3906271728549576E-2</v>
      </c>
      <c r="D119" s="181"/>
    </row>
    <row r="120" spans="1:4" ht="12.75" customHeight="1" outlineLevel="3" x14ac:dyDescent="0.3">
      <c r="A120" s="26" t="str">
        <f>'БазНорм (обр)'!A108</f>
        <v>Разделители листов, картонные</v>
      </c>
      <c r="B120" s="27" t="str">
        <f>'БазНорм (обр)'!B108</f>
        <v>упак.</v>
      </c>
      <c r="C120" s="52">
        <f>'БазНорм (обр)'!C108</f>
        <v>6.0016804705317485E-2</v>
      </c>
      <c r="D120" s="181"/>
    </row>
    <row r="121" spans="1:4" ht="12.75" customHeight="1" outlineLevel="3" x14ac:dyDescent="0.3">
      <c r="A121" s="26" t="str">
        <f>'БазНорм (обр)'!A109</f>
        <v>Скоросшиватель пластик 150мкм</v>
      </c>
      <c r="B121" s="27" t="str">
        <f>'БазНорм (обр)'!B109</f>
        <v>шт.</v>
      </c>
      <c r="C121" s="52">
        <f>'БазНорм (обр)'!C109</f>
        <v>0.13906271728549574</v>
      </c>
      <c r="D121" s="181"/>
    </row>
    <row r="122" spans="1:4" ht="12.75" customHeight="1" outlineLevel="3" x14ac:dyDescent="0.3">
      <c r="A122" s="26" t="str">
        <f>'БазНорм (обр)'!A110</f>
        <v>Файл А4 прозрачный</v>
      </c>
      <c r="B122" s="27" t="str">
        <f>'БазНорм (обр)'!B110</f>
        <v>шт.</v>
      </c>
      <c r="C122" s="52">
        <f>'БазНорм (обр)'!C110</f>
        <v>3.5624476110645431</v>
      </c>
      <c r="D122" s="181"/>
    </row>
    <row r="123" spans="1:4" ht="12.75" customHeight="1" outlineLevel="3" x14ac:dyDescent="0.3">
      <c r="A123" s="26" t="str">
        <f>'БазНорм (обр)'!A111</f>
        <v xml:space="preserve">Папки файлы </v>
      </c>
      <c r="B123" s="27" t="str">
        <f>'БазНорм (обр)'!B111</f>
        <v>упак.</v>
      </c>
      <c r="C123" s="52">
        <f>'БазНорм (обр)'!C111</f>
        <v>3.6010082823190494E-2</v>
      </c>
      <c r="D123" s="181"/>
    </row>
    <row r="124" spans="1:4" ht="12.75" customHeight="1" outlineLevel="3" x14ac:dyDescent="0.3">
      <c r="A124" s="26" t="str">
        <f>'БазНорм (обр)'!A112</f>
        <v xml:space="preserve">Клей-карандаш </v>
      </c>
      <c r="B124" s="27" t="str">
        <f>'БазНорм (обр)'!B112</f>
        <v>шт.</v>
      </c>
      <c r="C124" s="52">
        <f>'БазНорм (обр)'!C112</f>
        <v>2.7812543457099152E-2</v>
      </c>
      <c r="D124" s="181"/>
    </row>
    <row r="125" spans="1:4" ht="12.75" customHeight="1" outlineLevel="3" x14ac:dyDescent="0.3">
      <c r="A125" s="26" t="str">
        <f>'БазНорм (обр)'!A113</f>
        <v>Клей ПВА</v>
      </c>
      <c r="B125" s="27" t="str">
        <f>'БазНорм (обр)'!B113</f>
        <v>шт.</v>
      </c>
      <c r="C125" s="52">
        <f>'БазНорм (обр)'!C113</f>
        <v>1.3906271728549576E-2</v>
      </c>
      <c r="D125" s="181"/>
    </row>
    <row r="126" spans="1:4" ht="12.75" customHeight="1" outlineLevel="3" x14ac:dyDescent="0.3">
      <c r="A126" s="26" t="str">
        <f>'БазНорм (обр)'!A114</f>
        <v>Скотч 19*33</v>
      </c>
      <c r="B126" s="27" t="str">
        <f>'БазНорм (обр)'!B114</f>
        <v>шт.</v>
      </c>
      <c r="C126" s="52">
        <f>'БазНорм (обр)'!C114</f>
        <v>2.7242246437552388E-2</v>
      </c>
      <c r="D126" s="181"/>
    </row>
    <row r="127" spans="1:4" ht="12.75" customHeight="1" outlineLevel="3" x14ac:dyDescent="0.3">
      <c r="A127" s="26" t="str">
        <f>'БазНорм (обр)'!A115</f>
        <v>Скотч 50*66</v>
      </c>
      <c r="B127" s="27" t="str">
        <f>'БазНорм (обр)'!B115</f>
        <v>шт.</v>
      </c>
      <c r="C127" s="52">
        <f>'БазНорм (обр)'!C115</f>
        <v>2.9337803855825649E-2</v>
      </c>
      <c r="D127" s="181"/>
    </row>
    <row r="128" spans="1:4" ht="12.75" customHeight="1" outlineLevel="3" x14ac:dyDescent="0.3">
      <c r="A128" s="26" t="str">
        <f>'БазНорм (обр)'!A116</f>
        <v>Скотч 48*100</v>
      </c>
      <c r="B128" s="27" t="str">
        <f>'БазНорм (обр)'!B116</f>
        <v>шт.</v>
      </c>
      <c r="C128" s="52">
        <f>'БазНорм (обр)'!C116</f>
        <v>0</v>
      </c>
      <c r="D128" s="181"/>
    </row>
    <row r="129" spans="1:4" ht="12.75" customHeight="1" outlineLevel="3" x14ac:dyDescent="0.3">
      <c r="A129" s="26" t="str">
        <f>'БазНорм (обр)'!A117</f>
        <v>Клейкая лента 48*100</v>
      </c>
      <c r="B129" s="27" t="str">
        <f>'БазНорм (обр)'!B117</f>
        <v>шт.</v>
      </c>
      <c r="C129" s="52">
        <f>'БазНорм (обр)'!C117</f>
        <v>2.1606049693914296E-2</v>
      </c>
      <c r="D129" s="181"/>
    </row>
    <row r="130" spans="1:4" ht="12.75" customHeight="1" outlineLevel="3" x14ac:dyDescent="0.3">
      <c r="A130" s="26" t="str">
        <f>'БазНорм (обр)'!A118</f>
        <v>Клейкая лента 48*66</v>
      </c>
      <c r="B130" s="27" t="str">
        <f>'БазНорм (обр)'!B118</f>
        <v>шт.</v>
      </c>
      <c r="C130" s="52">
        <f>'БазНорм (обр)'!C118</f>
        <v>0.17382839660686969</v>
      </c>
      <c r="D130" s="181"/>
    </row>
    <row r="131" spans="1:4" ht="12.75" customHeight="1" outlineLevel="3" x14ac:dyDescent="0.3">
      <c r="A131" s="26" t="str">
        <f>'БазНорм (обр)'!A119</f>
        <v>Регистратор 50 мм</v>
      </c>
      <c r="B131" s="27" t="str">
        <f>'БазНорм (обр)'!B119</f>
        <v>шт.</v>
      </c>
      <c r="C131" s="52">
        <f>'БазНорм (обр)'!C119</f>
        <v>3.143336127409891E-2</v>
      </c>
      <c r="D131" s="181"/>
    </row>
    <row r="132" spans="1:4" ht="12.75" customHeight="1" outlineLevel="3" x14ac:dyDescent="0.3">
      <c r="A132" s="26" t="str">
        <f>'БазНорм (обр)'!A120</f>
        <v>Накопитель документов Лоток-коробка 150мм</v>
      </c>
      <c r="B132" s="27" t="str">
        <f>'БазНорм (обр)'!B120</f>
        <v>шт.</v>
      </c>
      <c r="C132" s="52">
        <f>'БазНорм (обр)'!C120</f>
        <v>1.2003360941063497E-2</v>
      </c>
      <c r="D132" s="181"/>
    </row>
    <row r="133" spans="1:4" ht="12.75" customHeight="1" outlineLevel="3" x14ac:dyDescent="0.3">
      <c r="A133" s="26" t="str">
        <f>'БазНорм (обр)'!A121</f>
        <v>Накопитель документов Лоток-коробка 75мм</v>
      </c>
      <c r="B133" s="27" t="str">
        <f>'БазНорм (обр)'!B121</f>
        <v>шт.</v>
      </c>
      <c r="C133" s="52">
        <f>'БазНорм (обр)'!C121</f>
        <v>2.4006721882126995E-2</v>
      </c>
      <c r="D133" s="181"/>
    </row>
    <row r="134" spans="1:4" ht="12.75" customHeight="1" outlineLevel="3" x14ac:dyDescent="0.3">
      <c r="A134" s="26" t="str">
        <f>'БазНорм (обр)'!A122</f>
        <v>Тетрадь 48л.</v>
      </c>
      <c r="B134" s="27" t="str">
        <f>'БазНорм (обр)'!B122</f>
        <v>шт.</v>
      </c>
      <c r="C134" s="52">
        <f>'БазНорм (обр)'!C122</f>
        <v>3.6010082823190494E-3</v>
      </c>
      <c r="D134" s="181"/>
    </row>
    <row r="135" spans="1:4" ht="12.75" customHeight="1" outlineLevel="3" x14ac:dyDescent="0.3">
      <c r="A135" s="26" t="str">
        <f>'БазНорм (обр)'!A123</f>
        <v>Скрепки 28 мм</v>
      </c>
      <c r="B135" s="27" t="str">
        <f>'БазНорм (обр)'!B123</f>
        <v>упак.</v>
      </c>
      <c r="C135" s="52">
        <f>'БазНорм (обр)'!C123</f>
        <v>2.7812543457099152E-2</v>
      </c>
      <c r="D135" s="181"/>
    </row>
    <row r="136" spans="1:4" ht="12.75" customHeight="1" outlineLevel="3" x14ac:dyDescent="0.3">
      <c r="A136" s="26" t="str">
        <f>'БазНорм (обр)'!A124</f>
        <v>Скобы № 10</v>
      </c>
      <c r="B136" s="27" t="str">
        <f>'БазНорм (обр)'!B124</f>
        <v>упак.</v>
      </c>
      <c r="C136" s="52">
        <f>'БазНорм (обр)'!C124</f>
        <v>4.8013443764253989E-2</v>
      </c>
      <c r="D136" s="181"/>
    </row>
    <row r="137" spans="1:4" ht="12.75" customHeight="1" outlineLevel="3" x14ac:dyDescent="0.3">
      <c r="A137" s="26" t="str">
        <f>'БазНорм (обр)'!A125</f>
        <v>Скобы № 24</v>
      </c>
      <c r="B137" s="27" t="str">
        <f>'БазНорм (обр)'!B125</f>
        <v>упак.</v>
      </c>
      <c r="C137" s="52">
        <f>'БазНорм (обр)'!C125</f>
        <v>2.4006721882126995E-2</v>
      </c>
      <c r="D137" s="181"/>
    </row>
    <row r="138" spans="1:4" ht="12.75" customHeight="1" outlineLevel="3" x14ac:dyDescent="0.3">
      <c r="A138" s="26" t="str">
        <f>'БазНорм (обр)'!A126</f>
        <v>Папка с файлами</v>
      </c>
      <c r="B138" s="27" t="str">
        <f>'БазНорм (обр)'!B126</f>
        <v>шт.</v>
      </c>
      <c r="C138" s="52">
        <f>'БазНорм (обр)'!C126</f>
        <v>6.953135864274787E-2</v>
      </c>
      <c r="D138" s="181"/>
    </row>
    <row r="139" spans="1:4" ht="12.75" customHeight="1" outlineLevel="3" x14ac:dyDescent="0.3">
      <c r="A139" s="26" t="str">
        <f>'БазНорм (обр)'!A127</f>
        <v>Папка - регистратор</v>
      </c>
      <c r="B139" s="27" t="str">
        <f>'БазНорм (обр)'!B127</f>
        <v>шт.</v>
      </c>
      <c r="C139" s="52">
        <f>'БазНорм (обр)'!C127</f>
        <v>4.1718815185648725E-2</v>
      </c>
      <c r="D139" s="181"/>
    </row>
    <row r="140" spans="1:4" ht="12.75" customHeight="1" outlineLevel="3" x14ac:dyDescent="0.3">
      <c r="A140" s="26" t="str">
        <f>'БазНорм (обр)'!A128</f>
        <v>Папка - уголок</v>
      </c>
      <c r="B140" s="27" t="str">
        <f>'БазНорм (обр)'!B128</f>
        <v>шт.</v>
      </c>
      <c r="C140" s="52">
        <f>'БазНорм (обр)'!C128</f>
        <v>6.953135864274787E-2</v>
      </c>
      <c r="D140" s="181"/>
    </row>
    <row r="141" spans="1:4" ht="12.75" customHeight="1" outlineLevel="3" x14ac:dyDescent="0.3">
      <c r="A141" s="26" t="str">
        <f>'БазНорм (обр)'!A129</f>
        <v>Папка с завязками карт</v>
      </c>
      <c r="B141" s="27" t="str">
        <f>'БазНорм (обр)'!B129</f>
        <v>упак.</v>
      </c>
      <c r="C141" s="52">
        <f>'БазНорм (обр)'!C129</f>
        <v>0.13906271728549574</v>
      </c>
      <c r="D141" s="181"/>
    </row>
    <row r="142" spans="1:4" ht="12.75" customHeight="1" outlineLevel="3" x14ac:dyDescent="0.3">
      <c r="A142" s="26" t="str">
        <f>'БазНорм (обр)'!A130</f>
        <v>Папка с мет. приж. 0,6 мм</v>
      </c>
      <c r="B142" s="27" t="str">
        <f>'БазНорм (обр)'!B130</f>
        <v>шт.</v>
      </c>
      <c r="C142" s="52">
        <f>'БазНорм (обр)'!C130</f>
        <v>2.4006721882126995E-2</v>
      </c>
      <c r="D142" s="181"/>
    </row>
    <row r="143" spans="1:4" ht="12.75" customHeight="1" outlineLevel="3" x14ac:dyDescent="0.3">
      <c r="A143" s="26" t="str">
        <f>'БазНорм (обр)'!A131</f>
        <v>Папка с мет. приж 0,7мм</v>
      </c>
      <c r="B143" s="27" t="str">
        <f>'БазНорм (обр)'!B131</f>
        <v>шт.</v>
      </c>
      <c r="C143" s="52">
        <f>'БазНорм (обр)'!C131</f>
        <v>1.2003360941063497E-2</v>
      </c>
      <c r="D143" s="181"/>
    </row>
    <row r="144" spans="1:4" ht="12.75" customHeight="1" outlineLevel="3" x14ac:dyDescent="0.3">
      <c r="A144" s="26" t="str">
        <f>'БазНорм (обр)'!A132</f>
        <v>Нож канцелярский</v>
      </c>
      <c r="B144" s="27" t="str">
        <f>'БазНорм (обр)'!B132</f>
        <v>шт.</v>
      </c>
      <c r="C144" s="52">
        <f>'БазНорм (обр)'!C132</f>
        <v>1.3906271728549576E-2</v>
      </c>
      <c r="D144" s="181"/>
    </row>
    <row r="145" spans="1:4" ht="12.75" customHeight="1" outlineLevel="3" x14ac:dyDescent="0.3">
      <c r="A145" s="26" t="str">
        <f>'БазНорм (обр)'!A133</f>
        <v>Ножницы канц.</v>
      </c>
      <c r="B145" s="27" t="str">
        <f>'БазНорм (обр)'!B133</f>
        <v>шт.</v>
      </c>
      <c r="C145" s="52">
        <f>'БазНорм (обр)'!C133</f>
        <v>6.9531358642747881E-3</v>
      </c>
      <c r="D145" s="181"/>
    </row>
    <row r="146" spans="1:4" ht="12.75" customHeight="1" outlineLevel="3" x14ac:dyDescent="0.3">
      <c r="A146" s="26" t="str">
        <f>'БазНорм (обр)'!A134</f>
        <v>Степлер</v>
      </c>
      <c r="B146" s="27" t="str">
        <f>'БазНорм (обр)'!B134</f>
        <v>шт.</v>
      </c>
      <c r="C146" s="52">
        <f>'БазНорм (обр)'!C134</f>
        <v>6.9531358642747881E-3</v>
      </c>
      <c r="D146" s="181"/>
    </row>
    <row r="147" spans="1:4" s="60" customFormat="1" ht="12.75" customHeight="1" outlineLevel="2" x14ac:dyDescent="0.3">
      <c r="A147" s="33" t="s">
        <v>67</v>
      </c>
      <c r="B147" s="34" t="s">
        <v>3</v>
      </c>
      <c r="C147" s="51" t="s">
        <v>3</v>
      </c>
      <c r="D147" s="181"/>
    </row>
    <row r="148" spans="1:4" ht="12.75" customHeight="1" outlineLevel="3" x14ac:dyDescent="0.3">
      <c r="A148" s="26" t="str">
        <f>'БазНорм (обр)'!A136</f>
        <v>Йод р-р 5%-10 мл.</v>
      </c>
      <c r="B148" s="27" t="str">
        <f>'БазНорм (обр)'!B136</f>
        <v>шт.</v>
      </c>
      <c r="C148" s="52">
        <f>'БазНорм (обр)'!C136</f>
        <v>2.4006721882126995E-2</v>
      </c>
      <c r="D148" s="181"/>
    </row>
    <row r="149" spans="1:4" ht="12.75" customHeight="1" outlineLevel="3" x14ac:dyDescent="0.3">
      <c r="A149" s="26" t="str">
        <f>'БазНорм (обр)'!A137</f>
        <v>Перекись водорода 3% 40 мл.</v>
      </c>
      <c r="B149" s="27" t="str">
        <f>'БазНорм (обр)'!B137</f>
        <v>шт.</v>
      </c>
      <c r="C149" s="52">
        <f>'БазНорм (обр)'!C137</f>
        <v>3.6010082823190494E-2</v>
      </c>
      <c r="D149" s="181"/>
    </row>
    <row r="150" spans="1:4" ht="12.75" customHeight="1" outlineLevel="3" x14ac:dyDescent="0.3">
      <c r="A150" s="26" t="str">
        <f>'БазНорм (обр)'!A138</f>
        <v>Аммиака р-р-100 мл</v>
      </c>
      <c r="B150" s="27" t="str">
        <f>'БазНорм (обр)'!B138</f>
        <v>шт.</v>
      </c>
      <c r="C150" s="52">
        <f>'БазНорм (обр)'!C138</f>
        <v>3.6010082823190494E-3</v>
      </c>
      <c r="D150" s="181"/>
    </row>
    <row r="151" spans="1:4" ht="12.75" customHeight="1" outlineLevel="3" x14ac:dyDescent="0.3">
      <c r="A151" s="26" t="str">
        <f>'БазНорм (обр)'!A139</f>
        <v>Уголь активированный 250мг №10</v>
      </c>
      <c r="B151" s="27" t="str">
        <f>'БазНорм (обр)'!B139</f>
        <v>шт.</v>
      </c>
      <c r="C151" s="52">
        <f>'БазНорм (обр)'!C139</f>
        <v>1.2003360941063497E-2</v>
      </c>
      <c r="D151" s="181"/>
    </row>
    <row r="152" spans="1:4" ht="12.75" customHeight="1" outlineLevel="3" x14ac:dyDescent="0.3">
      <c r="A152" s="26" t="str">
        <f>'БазНорм (обр)'!A140</f>
        <v>Бинт стерильный 5*10 см</v>
      </c>
      <c r="B152" s="27" t="str">
        <f>'БазНорм (обр)'!B140</f>
        <v>шт.</v>
      </c>
      <c r="C152" s="52">
        <f>'БазНорм (обр)'!C140</f>
        <v>4.2011763293722242E-2</v>
      </c>
      <c r="D152" s="181"/>
    </row>
    <row r="153" spans="1:4" ht="12.75" customHeight="1" outlineLevel="3" x14ac:dyDescent="0.3">
      <c r="A153" s="26" t="str">
        <f>'БазНорм (обр)'!A141</f>
        <v>Бинт стерильный 7-14 см</v>
      </c>
      <c r="B153" s="27" t="str">
        <f>'БазНорм (обр)'!B141</f>
        <v>шт.</v>
      </c>
      <c r="C153" s="52">
        <f>'БазНорм (обр)'!C141</f>
        <v>4.2011763293722242E-2</v>
      </c>
      <c r="D153" s="181"/>
    </row>
    <row r="154" spans="1:4" ht="12.75" customHeight="1" outlineLevel="3" x14ac:dyDescent="0.3">
      <c r="A154" s="26" t="str">
        <f>'БазНорм (обр)'!A142</f>
        <v>Вата хирург. стерильн. 250г</v>
      </c>
      <c r="B154" s="27" t="str">
        <f>'БазНорм (обр)'!B142</f>
        <v>шт.</v>
      </c>
      <c r="C154" s="52">
        <f>'БазНорм (обр)'!C142</f>
        <v>2.4006721882126993E-3</v>
      </c>
      <c r="D154" s="181"/>
    </row>
    <row r="155" spans="1:4" ht="12.75" customHeight="1" outlineLevel="3" x14ac:dyDescent="0.3">
      <c r="A155" s="26" t="str">
        <f>'БазНорм (обр)'!A143</f>
        <v>Салфетки стрерильные 16*14 №20</v>
      </c>
      <c r="B155" s="27" t="str">
        <f>'БазНорм (обр)'!B143</f>
        <v>шт.</v>
      </c>
      <c r="C155" s="52">
        <f>'БазНорм (обр)'!C143</f>
        <v>2.4006721882126995E-2</v>
      </c>
      <c r="D155" s="181"/>
    </row>
    <row r="156" spans="1:4" ht="12.75" customHeight="1" outlineLevel="3" x14ac:dyDescent="0.3">
      <c r="A156" s="26" t="str">
        <f>'БазНорм (обр)'!A144</f>
        <v>Л/пласт. бактериц. 2,5*7,2 №1</v>
      </c>
      <c r="B156" s="27" t="str">
        <f>'БазНорм (обр)'!B144</f>
        <v>шт.</v>
      </c>
      <c r="C156" s="52">
        <f>'БазНорм (обр)'!C144</f>
        <v>0.24006721882126994</v>
      </c>
      <c r="D156" s="181"/>
    </row>
    <row r="157" spans="1:4" ht="12.75" customHeight="1" outlineLevel="3" x14ac:dyDescent="0.3">
      <c r="A157" s="26" t="str">
        <f>'БазНорм (обр)'!A145</f>
        <v>Л/пласт,3*500</v>
      </c>
      <c r="B157" s="27" t="str">
        <f>'БазНорм (обр)'!B145</f>
        <v>шт.</v>
      </c>
      <c r="C157" s="52">
        <f>'БазНорм (обр)'!C145</f>
        <v>2.4006721882126993E-3</v>
      </c>
      <c r="D157" s="181"/>
    </row>
    <row r="158" spans="1:4" ht="12.75" customHeight="1" outlineLevel="3" x14ac:dyDescent="0.3">
      <c r="A158" s="26" t="str">
        <f>'БазНорм (обр)'!A146</f>
        <v>Маска трехсл.мед.№50</v>
      </c>
      <c r="B158" s="27" t="str">
        <f>'БазНорм (обр)'!B146</f>
        <v>шт.</v>
      </c>
      <c r="C158" s="52">
        <f>'БазНорм (обр)'!C146</f>
        <v>2.4006721882126993E-3</v>
      </c>
      <c r="D158" s="181"/>
    </row>
    <row r="159" spans="1:4" ht="12.75" customHeight="1" outlineLevel="3" x14ac:dyDescent="0.3">
      <c r="A159" s="26" t="str">
        <f>'БазНорм (обр)'!A147</f>
        <v>Губка гемостатическая 5*5</v>
      </c>
      <c r="B159" s="27" t="str">
        <f>'БазНорм (обр)'!B147</f>
        <v>шт.</v>
      </c>
      <c r="C159" s="52">
        <f>'БазНорм (обр)'!C147</f>
        <v>2.4006721882126993E-3</v>
      </c>
      <c r="D159" s="181"/>
    </row>
    <row r="160" spans="1:4" ht="12.75" customHeight="1" outlineLevel="3" x14ac:dyDescent="0.3">
      <c r="A160" s="26" t="str">
        <f>'БазНорм (обр)'!A148</f>
        <v>Левомеколь мазь 40г.</v>
      </c>
      <c r="B160" s="27" t="str">
        <f>'БазНорм (обр)'!B148</f>
        <v>шт.</v>
      </c>
      <c r="C160" s="52">
        <f>'БазНорм (обр)'!C148</f>
        <v>3.6010082823190494E-3</v>
      </c>
      <c r="D160" s="181"/>
    </row>
    <row r="161" spans="1:4" ht="12.75" customHeight="1" outlineLevel="3" x14ac:dyDescent="0.3">
      <c r="A161" s="26" t="str">
        <f>'БазНорм (обр)'!A149</f>
        <v>Напальчник резиновый №5</v>
      </c>
      <c r="B161" s="27" t="str">
        <f>'БазНорм (обр)'!B149</f>
        <v>упак.</v>
      </c>
      <c r="C161" s="52">
        <f>'БазНорм (обр)'!C149</f>
        <v>9.6026887528507972E-3</v>
      </c>
      <c r="D161" s="181"/>
    </row>
    <row r="162" spans="1:4" ht="12.75" customHeight="1" outlineLevel="3" x14ac:dyDescent="0.3">
      <c r="A162" s="26" t="str">
        <f>'БазНорм (обр)'!A150</f>
        <v>Пакет гипотермич. "Снежок"</v>
      </c>
      <c r="B162" s="27" t="str">
        <f>'БазНорм (обр)'!B150</f>
        <v>шт.</v>
      </c>
      <c r="C162" s="52">
        <f>'БазНорм (обр)'!C150</f>
        <v>0.18005041411595246</v>
      </c>
      <c r="D162" s="181"/>
    </row>
    <row r="163" spans="1:4" ht="12.75" customHeight="1" outlineLevel="3" x14ac:dyDescent="0.3">
      <c r="A163" s="26" t="str">
        <f>'БазНорм (обр)'!A151</f>
        <v>Сульфацил-натрия 20%-5мл</v>
      </c>
      <c r="B163" s="27" t="str">
        <f>'БазНорм (обр)'!B151</f>
        <v>шт.</v>
      </c>
      <c r="C163" s="52">
        <f>'БазНорм (обр)'!C151</f>
        <v>4.8013443764253986E-3</v>
      </c>
      <c r="D163" s="181"/>
    </row>
    <row r="164" spans="1:4" ht="12.75" customHeight="1" outlineLevel="3" x14ac:dyDescent="0.3">
      <c r="A164" s="26" t="str">
        <f>'БазНорм (обр)'!A152</f>
        <v>Перчатки латексные хир.стер.</v>
      </c>
      <c r="B164" s="27" t="str">
        <f>'БазНорм (обр)'!B152</f>
        <v>упак.</v>
      </c>
      <c r="C164" s="52">
        <f>'БазНорм (обр)'!C152</f>
        <v>2.4006721882126995E-2</v>
      </c>
      <c r="D164" s="181"/>
    </row>
    <row r="165" spans="1:4" ht="12.75" customHeight="1" outlineLevel="3" x14ac:dyDescent="0.3">
      <c r="A165" s="26" t="str">
        <f>'БазНорм (обр)'!A153</f>
        <v>Бриллиантовый зелен. 1%-10мл</v>
      </c>
      <c r="B165" s="27" t="str">
        <f>'БазНорм (обр)'!B153</f>
        <v>шт.</v>
      </c>
      <c r="C165" s="52">
        <f>'БазНорм (обр)'!C153</f>
        <v>1.2003360941063497E-2</v>
      </c>
      <c r="D165" s="181"/>
    </row>
    <row r="166" spans="1:4" ht="12.75" customHeight="1" x14ac:dyDescent="0.3">
      <c r="A166" s="179" t="s">
        <v>83</v>
      </c>
      <c r="B166" s="179"/>
      <c r="C166" s="179"/>
      <c r="D166" s="179"/>
    </row>
    <row r="167" spans="1:4" outlineLevel="1" x14ac:dyDescent="0.3">
      <c r="A167" s="179" t="s">
        <v>84</v>
      </c>
      <c r="B167" s="179"/>
      <c r="C167" s="179"/>
      <c r="D167" s="179"/>
    </row>
    <row r="168" spans="1:4" outlineLevel="2" x14ac:dyDescent="0.3">
      <c r="A168" s="26" t="str">
        <f>'БазНорм (обр)'!A156</f>
        <v>Теплоэнергия (город)</v>
      </c>
      <c r="B168" s="27" t="str">
        <f>'БазНорм (обр)'!B156</f>
        <v>Гкал</v>
      </c>
      <c r="C168" s="52">
        <f>'БазНорм (обр)'!C156</f>
        <v>1.6197030752916226</v>
      </c>
      <c r="D168" s="180" t="s">
        <v>135</v>
      </c>
    </row>
    <row r="169" spans="1:4" outlineLevel="2" x14ac:dyDescent="0.3">
      <c r="A169" s="26" t="str">
        <f>'БазНорм (обр)'!A157</f>
        <v>Теплоэнергия в горячей воде</v>
      </c>
      <c r="B169" s="27" t="str">
        <f>'БазНорм (обр)'!B157</f>
        <v>Гкал</v>
      </c>
      <c r="C169" s="52">
        <f>'БазНорм (обр)'!C157</f>
        <v>0</v>
      </c>
      <c r="D169" s="181"/>
    </row>
    <row r="170" spans="1:4" outlineLevel="2" x14ac:dyDescent="0.3">
      <c r="A170" s="26" t="str">
        <f>'БазНорм (обр)'!A158</f>
        <v>Теплоноситель</v>
      </c>
      <c r="B170" s="27" t="str">
        <f>'БазНорм (обр)'!B158</f>
        <v>м3</v>
      </c>
      <c r="C170" s="52">
        <f>'БазНорм (обр)'!C158</f>
        <v>3.4638388123011667</v>
      </c>
      <c r="D170" s="181"/>
    </row>
    <row r="171" spans="1:4" outlineLevel="2" x14ac:dyDescent="0.3">
      <c r="A171" s="26" t="str">
        <f>'БазНорм (обр)'!A159</f>
        <v>Электроэнергия (до 150)</v>
      </c>
      <c r="B171" s="27" t="str">
        <f>'БазНорм (обр)'!B159</f>
        <v>Квт*ч</v>
      </c>
      <c r="C171" s="52">
        <f>'БазНорм (обр)'!C159</f>
        <v>113.65853658536585</v>
      </c>
      <c r="D171" s="181"/>
    </row>
    <row r="172" spans="1:4" outlineLevel="2" x14ac:dyDescent="0.3">
      <c r="A172" s="26" t="str">
        <f>'БазНорм (обр)'!A160</f>
        <v>Электроэнергия (от 150 до 670)</v>
      </c>
      <c r="B172" s="27" t="str">
        <f>'БазНорм (обр)'!B160</f>
        <v>Квт*ч</v>
      </c>
      <c r="C172" s="52">
        <f>'БазНорм (обр)'!C160</f>
        <v>57.739130434782609</v>
      </c>
      <c r="D172" s="181"/>
    </row>
    <row r="173" spans="1:4" outlineLevel="2" x14ac:dyDescent="0.3">
      <c r="A173" s="26" t="str">
        <f>'БазНорм (обр)'!A161</f>
        <v>Холодное водоснабжение</v>
      </c>
      <c r="B173" s="27" t="str">
        <f>'БазНорм (обр)'!B161</f>
        <v>м3</v>
      </c>
      <c r="C173" s="52">
        <f>'БазНорм (обр)'!C161</f>
        <v>4.1823966065747618</v>
      </c>
      <c r="D173" s="181"/>
    </row>
    <row r="174" spans="1:4" outlineLevel="2" x14ac:dyDescent="0.3">
      <c r="A174" s="26" t="str">
        <f>'БазНорм (обр)'!A162</f>
        <v>Водоотведение</v>
      </c>
      <c r="B174" s="27" t="str">
        <f>'БазНорм (обр)'!B162</f>
        <v>м3</v>
      </c>
      <c r="C174" s="52">
        <f>'БазНорм (обр)'!C162</f>
        <v>6.7815482502651117</v>
      </c>
      <c r="D174" s="181"/>
    </row>
    <row r="175" spans="1:4" outlineLevel="2" x14ac:dyDescent="0.3">
      <c r="A175" s="26" t="str">
        <f>'БазНорм (обр)'!A163</f>
        <v>Сбросы загрязнений</v>
      </c>
      <c r="B175" s="27" t="str">
        <f>'БазНорм (обр)'!B163</f>
        <v>м3</v>
      </c>
      <c r="C175" s="52">
        <f>'БазНорм (обр)'!C163</f>
        <v>5.7232237539766704</v>
      </c>
      <c r="D175" s="187"/>
    </row>
    <row r="176" spans="1:4" ht="12.75" customHeight="1" outlineLevel="1" x14ac:dyDescent="0.3">
      <c r="A176" s="179" t="s">
        <v>85</v>
      </c>
      <c r="B176" s="179"/>
      <c r="C176" s="179"/>
      <c r="D176" s="179"/>
    </row>
    <row r="177" spans="1:4" ht="13.5" customHeight="1" outlineLevel="2" x14ac:dyDescent="0.3">
      <c r="A177" s="26" t="str">
        <f>'БазНорм (обр)'!A165</f>
        <v>Дератизация</v>
      </c>
      <c r="B177" s="27" t="str">
        <f>'БазНорм (обр)'!B165</f>
        <v>м2</v>
      </c>
      <c r="C177" s="52">
        <f>'БазНорм (обр)'!C165</f>
        <v>0.93864262990455993</v>
      </c>
      <c r="D177" s="180" t="s">
        <v>135</v>
      </c>
    </row>
    <row r="178" spans="1:4" ht="13.5" customHeight="1" outlineLevel="2" x14ac:dyDescent="0.3">
      <c r="A178" s="26" t="str">
        <f>'БазНорм (обр)'!A166</f>
        <v>Дезинсекция</v>
      </c>
      <c r="B178" s="27" t="str">
        <f>'БазНорм (обр)'!B166</f>
        <v>м2</v>
      </c>
      <c r="C178" s="52">
        <f>'БазНорм (обр)'!C166</f>
        <v>0.42417815482502652</v>
      </c>
      <c r="D178" s="181"/>
    </row>
    <row r="179" spans="1:4" ht="13.5" customHeight="1" outlineLevel="2" x14ac:dyDescent="0.3">
      <c r="A179" s="26" t="str">
        <f>'БазНорм (обр)'!A167</f>
        <v>ТО КТС</v>
      </c>
      <c r="B179" s="27" t="str">
        <f>'БазНорм (обр)'!B167</f>
        <v>усл. ед.</v>
      </c>
      <c r="C179" s="52">
        <f>'БазНорм (обр)'!C167</f>
        <v>2.1208907741251328E-3</v>
      </c>
      <c r="D179" s="181"/>
    </row>
    <row r="180" spans="1:4" ht="13.5" customHeight="1" outlineLevel="2" x14ac:dyDescent="0.3">
      <c r="A180" s="26" t="str">
        <f>'БазНорм (обр)'!A168</f>
        <v>Охрана КТС</v>
      </c>
      <c r="B180" s="27" t="str">
        <f>'БазНорм (обр)'!B168</f>
        <v>усл. ед.</v>
      </c>
      <c r="C180" s="52">
        <f>'БазНорм (обр)'!C168</f>
        <v>0</v>
      </c>
      <c r="D180" s="181"/>
    </row>
    <row r="181" spans="1:4" ht="13.5" customHeight="1" outlineLevel="2" x14ac:dyDescent="0.3">
      <c r="A181" s="26" t="str">
        <f>'БазНорм (обр)'!A169</f>
        <v>Охрана КТС</v>
      </c>
      <c r="B181" s="27" t="str">
        <f>'БазНорм (обр)'!B169</f>
        <v>усл. ед.</v>
      </c>
      <c r="C181" s="52">
        <f>'БазНорм (обр)'!C169</f>
        <v>18.579003181336162</v>
      </c>
      <c r="D181" s="181"/>
    </row>
    <row r="182" spans="1:4" ht="13.5" customHeight="1" outlineLevel="2" x14ac:dyDescent="0.3">
      <c r="A182" s="26" t="str">
        <f>'БазНорм (обр)'!A170</f>
        <v>Охрана КТС</v>
      </c>
      <c r="B182" s="27" t="str">
        <f>'БазНорм (обр)'!B170</f>
        <v>усл. ед.</v>
      </c>
      <c r="C182" s="52">
        <f>'БазНорм (обр)'!C170</f>
        <v>0</v>
      </c>
      <c r="D182" s="181"/>
    </row>
    <row r="183" spans="1:4" ht="13.5" customHeight="1" outlineLevel="2" x14ac:dyDescent="0.3">
      <c r="A183" s="26" t="str">
        <f>'БазНорм (обр)'!A171</f>
        <v>Охрана КТС</v>
      </c>
      <c r="B183" s="27" t="str">
        <f>'БазНорм (обр)'!B171</f>
        <v>усл. ед.</v>
      </c>
      <c r="C183" s="52">
        <f>'БазНорм (обр)'!C171</f>
        <v>0</v>
      </c>
      <c r="D183" s="181"/>
    </row>
    <row r="184" spans="1:4" ht="13.5" customHeight="1" outlineLevel="2" x14ac:dyDescent="0.3">
      <c r="A184" s="26" t="str">
        <f>'БазНорм (обр)'!A172</f>
        <v>Охрана КТС</v>
      </c>
      <c r="B184" s="27" t="str">
        <f>'БазНорм (обр)'!B172</f>
        <v>усл. ед.</v>
      </c>
      <c r="C184" s="52">
        <f>'БазНорм (обр)'!C172</f>
        <v>0</v>
      </c>
      <c r="D184" s="181"/>
    </row>
    <row r="185" spans="1:4" ht="13.5" customHeight="1" outlineLevel="2" x14ac:dyDescent="0.3">
      <c r="A185" s="26" t="str">
        <f>'БазНорм (обр)'!A173</f>
        <v>Пожарная охрана</v>
      </c>
      <c r="B185" s="27" t="str">
        <f>'БазНорм (обр)'!B173</f>
        <v>усл. ед.</v>
      </c>
      <c r="C185" s="52">
        <f>'БазНорм (обр)'!C173</f>
        <v>18.579003181336162</v>
      </c>
      <c r="D185" s="181"/>
    </row>
    <row r="186" spans="1:4" ht="13.5" customHeight="1" outlineLevel="2" x14ac:dyDescent="0.3">
      <c r="A186" s="26" t="str">
        <f>'БазНорм (обр)'!A174</f>
        <v>ТО пожарной сигнализации</v>
      </c>
      <c r="B186" s="27" t="str">
        <f>'БазНорм (обр)'!B174</f>
        <v>усл. ед.</v>
      </c>
      <c r="C186" s="52">
        <f>'БазНорм (обр)'!C174</f>
        <v>0</v>
      </c>
      <c r="D186" s="181"/>
    </row>
    <row r="187" spans="1:4" ht="13.5" customHeight="1" outlineLevel="2" x14ac:dyDescent="0.3">
      <c r="A187" s="26" t="str">
        <f>'БазНорм (обр)'!A175</f>
        <v>ТО пожарной сигнализации</v>
      </c>
      <c r="B187" s="27" t="str">
        <f>'БазНорм (обр)'!B175</f>
        <v>усл. ед.</v>
      </c>
      <c r="C187" s="52">
        <f>'БазНорм (обр)'!C175</f>
        <v>0</v>
      </c>
      <c r="D187" s="181"/>
    </row>
    <row r="188" spans="1:4" ht="13.5" customHeight="1" outlineLevel="2" x14ac:dyDescent="0.3">
      <c r="A188" s="26" t="str">
        <f>'БазНорм (обр)'!A176</f>
        <v>ТО пожарной сигнализации</v>
      </c>
      <c r="B188" s="27" t="str">
        <f>'БазНорм (обр)'!B176</f>
        <v>усл. ед.</v>
      </c>
      <c r="C188" s="52">
        <f>'БазНорм (обр)'!C176</f>
        <v>1.0604453870625664E-3</v>
      </c>
      <c r="D188" s="181"/>
    </row>
    <row r="189" spans="1:4" ht="13.5" customHeight="1" outlineLevel="2" x14ac:dyDescent="0.3">
      <c r="A189" s="26" t="str">
        <f>'БазНорм (обр)'!A177</f>
        <v>ТО пожарной сигнализации</v>
      </c>
      <c r="B189" s="27" t="str">
        <f>'БазНорм (обр)'!B177</f>
        <v>усл. ед.</v>
      </c>
      <c r="C189" s="52">
        <f>'БазНорм (обр)'!C177</f>
        <v>0</v>
      </c>
      <c r="D189" s="181"/>
    </row>
    <row r="190" spans="1:4" ht="13.5" customHeight="1" outlineLevel="2" x14ac:dyDescent="0.3">
      <c r="A190" s="26" t="str">
        <f>'БазНорм (обр)'!A178</f>
        <v>ТО пожарной сигнализации</v>
      </c>
      <c r="B190" s="27" t="str">
        <f>'БазНорм (обр)'!B178</f>
        <v>усл. ед.</v>
      </c>
      <c r="C190" s="52">
        <f>'БазНорм (обр)'!C178</f>
        <v>0</v>
      </c>
      <c r="D190" s="181"/>
    </row>
    <row r="191" spans="1:4" ht="13.5" customHeight="1" outlineLevel="2" x14ac:dyDescent="0.3">
      <c r="A191" s="26" t="str">
        <f>'БазНорм (обр)'!A179</f>
        <v>ТО пожарной сигнализации</v>
      </c>
      <c r="B191" s="27" t="str">
        <f>'БазНорм (обр)'!B179</f>
        <v>усл. ед.</v>
      </c>
      <c r="C191" s="52">
        <f>'БазНорм (обр)'!C179</f>
        <v>0</v>
      </c>
      <c r="D191" s="181"/>
    </row>
    <row r="192" spans="1:4" ht="13.5" customHeight="1" outlineLevel="2" x14ac:dyDescent="0.3">
      <c r="A192" s="26" t="str">
        <f>'БазНорм (обр)'!A180</f>
        <v>GSM Контакт</v>
      </c>
      <c r="B192" s="27" t="str">
        <f>'БазНорм (обр)'!B180</f>
        <v>усл. ед.</v>
      </c>
      <c r="C192" s="52">
        <f>'БазНорм (обр)'!C180</f>
        <v>0</v>
      </c>
      <c r="D192" s="181"/>
    </row>
    <row r="193" spans="1:4" ht="13.5" customHeight="1" outlineLevel="2" x14ac:dyDescent="0.3">
      <c r="A193" s="26" t="str">
        <f>'БазНорм (обр)'!A181</f>
        <v>ТО приборов учета тепла</v>
      </c>
      <c r="B193" s="27" t="str">
        <f>'БазНорм (обр)'!B181</f>
        <v>усл. ед.</v>
      </c>
      <c r="C193" s="52">
        <f>'БазНорм (обр)'!C181</f>
        <v>2.1208907741251328E-3</v>
      </c>
      <c r="D193" s="181"/>
    </row>
    <row r="194" spans="1:4" ht="13.5" customHeight="1" outlineLevel="2" x14ac:dyDescent="0.3">
      <c r="A194" s="26" t="str">
        <f>'БазНорм (обр)'!A182</f>
        <v>ТО автоматизированного теплового пункта</v>
      </c>
      <c r="B194" s="27" t="str">
        <f>'БазНорм (обр)'!B182</f>
        <v>усл. ед.</v>
      </c>
      <c r="C194" s="52">
        <f>'БазНорм (обр)'!C182</f>
        <v>2.1208907741251328E-3</v>
      </c>
      <c r="D194" s="181"/>
    </row>
    <row r="195" spans="1:4" ht="13.5" customHeight="1" outlineLevel="2" x14ac:dyDescent="0.3">
      <c r="A195" s="26" t="str">
        <f>'БазНорм (обр)'!A183</f>
        <v>ТО системы видеонаблюдения</v>
      </c>
      <c r="B195" s="27" t="str">
        <f>'БазНорм (обр)'!B183</f>
        <v>усл. ед.</v>
      </c>
      <c r="C195" s="52">
        <f>'БазНорм (обр)'!C183</f>
        <v>1.0604453870625664E-3</v>
      </c>
      <c r="D195" s="181"/>
    </row>
    <row r="196" spans="1:4" ht="13.5" customHeight="1" outlineLevel="2" x14ac:dyDescent="0.3">
      <c r="A196" s="26" t="str">
        <f>'БазНорм (обр)'!A184</f>
        <v>ТО системы видеонаблюдения</v>
      </c>
      <c r="B196" s="27" t="str">
        <f>'БазНорм (обр)'!B184</f>
        <v>усл. ед.</v>
      </c>
      <c r="C196" s="52">
        <f>'БазНорм (обр)'!C184</f>
        <v>0</v>
      </c>
      <c r="D196" s="181"/>
    </row>
    <row r="197" spans="1:4" ht="13.5" customHeight="1" outlineLevel="2" x14ac:dyDescent="0.3">
      <c r="A197" s="26" t="str">
        <f>'БазНорм (обр)'!A185</f>
        <v>ТО системы видеонаблюдения</v>
      </c>
      <c r="B197" s="27" t="str">
        <f>'БазНорм (обр)'!B185</f>
        <v>усл. ед.</v>
      </c>
      <c r="C197" s="52">
        <f>'БазНорм (обр)'!C185</f>
        <v>0</v>
      </c>
      <c r="D197" s="181"/>
    </row>
    <row r="198" spans="1:4" ht="13.5" customHeight="1" outlineLevel="2" x14ac:dyDescent="0.3">
      <c r="A198" s="26" t="str">
        <f>'БазНорм (обр)'!A186</f>
        <v>Вывоз ТБО</v>
      </c>
      <c r="B198" s="27" t="str">
        <f>'БазНорм (обр)'!B186</f>
        <v>м3</v>
      </c>
      <c r="C198" s="52">
        <f>'БазНорм (обр)'!C186</f>
        <v>0.30965005302226933</v>
      </c>
      <c r="D198" s="181"/>
    </row>
    <row r="199" spans="1:4" ht="13.5" customHeight="1" outlineLevel="2" x14ac:dyDescent="0.3">
      <c r="A199" s="26" t="str">
        <f>'БазНорм (обр)'!A187</f>
        <v>Уборка снега</v>
      </c>
      <c r="B199" s="27" t="str">
        <f>'БазНорм (обр)'!B187</f>
        <v>м2</v>
      </c>
      <c r="C199" s="52">
        <f>'БазНорм (обр)'!C187</f>
        <v>0</v>
      </c>
      <c r="D199" s="181"/>
    </row>
    <row r="200" spans="1:4" ht="13.5" customHeight="1" outlineLevel="2" x14ac:dyDescent="0.3">
      <c r="A200" s="26" t="str">
        <f>'БазНорм (обр)'!A188</f>
        <v>Замеры сопротивлений изоляции проводки</v>
      </c>
      <c r="B200" s="27" t="str">
        <f>'БазНорм (обр)'!B188</f>
        <v>усл. ед.</v>
      </c>
      <c r="C200" s="52">
        <f>'БазНорм (обр)'!C188</f>
        <v>2.1208907741251328E-3</v>
      </c>
      <c r="D200" s="181"/>
    </row>
    <row r="201" spans="1:4" ht="13.5" customHeight="1" outlineLevel="2" x14ac:dyDescent="0.3">
      <c r="A201" s="26" t="str">
        <f>'БазНорм (обр)'!A189</f>
        <v>Техническое обслуживание силового электрооборудования</v>
      </c>
      <c r="B201" s="27" t="str">
        <f>'БазНорм (обр)'!B189</f>
        <v>усл. ед.</v>
      </c>
      <c r="C201" s="52">
        <f>'БазНорм (обр)'!C189</f>
        <v>0</v>
      </c>
      <c r="D201" s="181"/>
    </row>
    <row r="202" spans="1:4" ht="13.5" customHeight="1" outlineLevel="2" x14ac:dyDescent="0.3">
      <c r="A202" s="26" t="str">
        <f>'БазНорм (обр)'!A190</f>
        <v>Прочистка канализации</v>
      </c>
      <c r="B202" s="27" t="str">
        <f>'БазНорм (обр)'!B190</f>
        <v>усл. Ед.</v>
      </c>
      <c r="C202" s="52">
        <f>'БазНорм (обр)'!C190</f>
        <v>4.2417815482502655E-3</v>
      </c>
      <c r="D202" s="181"/>
    </row>
    <row r="203" spans="1:4" ht="13.5" customHeight="1" outlineLevel="2" x14ac:dyDescent="0.3">
      <c r="A203" s="26" t="str">
        <f>'БазНорм (обр)'!A191</f>
        <v>Проверка качества огнезащиты</v>
      </c>
      <c r="B203" s="27" t="str">
        <f>'БазНорм (обр)'!B191</f>
        <v>усл. ед.</v>
      </c>
      <c r="C203" s="52">
        <f>'БазНорм (обр)'!C191</f>
        <v>2.1208907741251328E-3</v>
      </c>
      <c r="D203" s="181"/>
    </row>
    <row r="204" spans="1:4" ht="13.5" customHeight="1" outlineLevel="2" x14ac:dyDescent="0.3">
      <c r="A204" s="26" t="str">
        <f>'БазНорм (обр)'!A192</f>
        <v>Огнезащитная обработка чердачных деревянных конструкций</v>
      </c>
      <c r="B204" s="27" t="str">
        <f>'БазНорм (обр)'!B192</f>
        <v>м2</v>
      </c>
      <c r="C204" s="52">
        <f>'БазНорм (обр)'!C192</f>
        <v>3.9236479321314954</v>
      </c>
      <c r="D204" s="181"/>
    </row>
    <row r="205" spans="1:4" ht="13.5" customHeight="1" outlineLevel="2" x14ac:dyDescent="0.3">
      <c r="A205" s="26" t="str">
        <f>'БазНорм (обр)'!A193</f>
        <v>ТО грузового лифта</v>
      </c>
      <c r="B205" s="27" t="str">
        <f>'БазНорм (обр)'!B193</f>
        <v>усл. ед.</v>
      </c>
      <c r="C205" s="52">
        <f>'БазНорм (обр)'!C193</f>
        <v>1.0604453870625664E-3</v>
      </c>
      <c r="D205" s="181"/>
    </row>
    <row r="206" spans="1:4" ht="12.75" customHeight="1" outlineLevel="1" x14ac:dyDescent="0.3">
      <c r="A206" s="179" t="s">
        <v>86</v>
      </c>
      <c r="B206" s="179"/>
      <c r="C206" s="179"/>
      <c r="D206" s="179"/>
    </row>
    <row r="207" spans="1:4" ht="12.75" customHeight="1" outlineLevel="2" x14ac:dyDescent="0.3">
      <c r="A207" s="26" t="str">
        <f>'БазНорм (обр)'!A195</f>
        <v>Ремонт МФУ</v>
      </c>
      <c r="B207" s="27" t="str">
        <f>'БазНорм (обр)'!B195</f>
        <v>шт.</v>
      </c>
      <c r="C207" s="52">
        <f>'БазНорм (обр)'!C195</f>
        <v>2.6511134676564158E-2</v>
      </c>
      <c r="D207" s="118" t="s">
        <v>135</v>
      </c>
    </row>
    <row r="208" spans="1:4" outlineLevel="1" x14ac:dyDescent="0.3">
      <c r="A208" s="179" t="s">
        <v>87</v>
      </c>
      <c r="B208" s="179"/>
      <c r="C208" s="179"/>
      <c r="D208" s="179"/>
    </row>
    <row r="209" spans="1:4" ht="12.75" customHeight="1" outlineLevel="2" x14ac:dyDescent="0.3">
      <c r="A209" s="26" t="str">
        <f>'БазНорм (обр)'!A197</f>
        <v>Местная связь</v>
      </c>
      <c r="B209" s="27" t="str">
        <f>'БазНорм (обр)'!B197</f>
        <v>усл. ед.</v>
      </c>
      <c r="C209" s="52">
        <f>'БазНорм (обр)'!C197</f>
        <v>1.2725344644750797E-2</v>
      </c>
      <c r="D209" s="180" t="s">
        <v>135</v>
      </c>
    </row>
    <row r="210" spans="1:4" ht="12.75" customHeight="1" outlineLevel="2" x14ac:dyDescent="0.3">
      <c r="A210" s="26" t="str">
        <f>'БазНорм (обр)'!A198</f>
        <v>Связь МН и МГ</v>
      </c>
      <c r="B210" s="27" t="str">
        <f>'БазНорм (обр)'!B198</f>
        <v>усл. ед.</v>
      </c>
      <c r="C210" s="52">
        <f>'БазНорм (обр)'!C198</f>
        <v>1.2725344644750797E-2</v>
      </c>
      <c r="D210" s="181"/>
    </row>
    <row r="211" spans="1:4" ht="12.75" customHeight="1" outlineLevel="2" x14ac:dyDescent="0.3">
      <c r="A211" s="26" t="str">
        <f>'БазНорм (обр)'!A199</f>
        <v>Интернет</v>
      </c>
      <c r="B211" s="27" t="str">
        <f>'БазНорм (обр)'!B199</f>
        <v>усл. ед.</v>
      </c>
      <c r="C211" s="52">
        <f>'БазНорм (обр)'!C199</f>
        <v>1.2725344644750797E-2</v>
      </c>
      <c r="D211" s="181"/>
    </row>
    <row r="212" spans="1:4" outlineLevel="1" x14ac:dyDescent="0.3">
      <c r="A212" s="179" t="s">
        <v>88</v>
      </c>
      <c r="B212" s="179"/>
      <c r="C212" s="179"/>
      <c r="D212" s="179"/>
    </row>
    <row r="213" spans="1:4" ht="12.75" customHeight="1" outlineLevel="2" x14ac:dyDescent="0.3">
      <c r="A213" s="57"/>
      <c r="B213" s="57"/>
      <c r="C213" s="57"/>
      <c r="D213" s="57"/>
    </row>
    <row r="214" spans="1:4" ht="12.75" customHeight="1" outlineLevel="2" x14ac:dyDescent="0.3">
      <c r="A214" s="57"/>
      <c r="B214" s="57"/>
      <c r="C214" s="57"/>
      <c r="D214" s="57"/>
    </row>
    <row r="215" spans="1:4" ht="12.75" customHeight="1" outlineLevel="2" x14ac:dyDescent="0.3">
      <c r="A215" s="57"/>
      <c r="B215" s="57"/>
      <c r="C215" s="57"/>
      <c r="D215" s="57"/>
    </row>
    <row r="216" spans="1:4" ht="12.75" customHeight="1" outlineLevel="1" x14ac:dyDescent="0.3">
      <c r="A216" s="179" t="s">
        <v>89</v>
      </c>
      <c r="B216" s="179"/>
      <c r="C216" s="179"/>
      <c r="D216" s="179"/>
    </row>
    <row r="217" spans="1:4" ht="13.5" customHeight="1" outlineLevel="2" x14ac:dyDescent="0.3">
      <c r="A217" s="57"/>
      <c r="B217" s="57"/>
      <c r="C217" s="57"/>
      <c r="D217" s="57"/>
    </row>
    <row r="218" spans="1:4" ht="13.5" customHeight="1" outlineLevel="2" x14ac:dyDescent="0.3">
      <c r="A218" s="57"/>
      <c r="B218" s="57"/>
      <c r="C218" s="57"/>
      <c r="D218" s="57"/>
    </row>
    <row r="219" spans="1:4" ht="13.5" customHeight="1" outlineLevel="2" x14ac:dyDescent="0.3">
      <c r="A219" s="57"/>
      <c r="B219" s="57"/>
      <c r="C219" s="57"/>
      <c r="D219" s="57"/>
    </row>
    <row r="220" spans="1:4" ht="12.75" customHeight="1" outlineLevel="1" x14ac:dyDescent="0.3">
      <c r="A220" s="179" t="s">
        <v>90</v>
      </c>
      <c r="B220" s="179"/>
      <c r="C220" s="179"/>
      <c r="D220" s="179"/>
    </row>
    <row r="221" spans="1:4" ht="12.75" customHeight="1" outlineLevel="2" x14ac:dyDescent="0.3">
      <c r="A221" s="26" t="str">
        <f>'БазНорм (обр)'!A209</f>
        <v>Исследование воды после гидропромывки</v>
      </c>
      <c r="B221" s="27" t="str">
        <f>'БазНорм (обр)'!B209</f>
        <v>усл. ед.</v>
      </c>
      <c r="C221" s="52">
        <f>'БазНорм (обр)'!C209</f>
        <v>2.1208907741251328E-3</v>
      </c>
      <c r="D221" s="180" t="s">
        <v>135</v>
      </c>
    </row>
    <row r="222" spans="1:4" ht="25.5" customHeight="1" outlineLevel="2" x14ac:dyDescent="0.3">
      <c r="A222" s="26" t="str">
        <f>'БазНорм (обр)'!A210</f>
        <v>Исследование воды</v>
      </c>
      <c r="B222" s="27" t="str">
        <f>'БазНорм (обр)'!B210</f>
        <v>усл. ед.</v>
      </c>
      <c r="C222" s="52">
        <f>'БазНорм (обр)'!C210</f>
        <v>2.1208907741251328E-3</v>
      </c>
      <c r="D222" s="181"/>
    </row>
    <row r="223" spans="1:4" ht="12.75" customHeight="1" outlineLevel="2" x14ac:dyDescent="0.3">
      <c r="A223" s="26" t="str">
        <f>'БазНорм (обр)'!A211</f>
        <v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v>
      </c>
      <c r="B223" s="27" t="str">
        <f>'БазНорм (обр)'!B211</f>
        <v>усл. ед.</v>
      </c>
      <c r="C223" s="52">
        <f>'БазНорм (обр)'!C211</f>
        <v>0</v>
      </c>
      <c r="D223" s="181"/>
    </row>
    <row r="224" spans="1:4" ht="12.75" customHeight="1" outlineLevel="2" x14ac:dyDescent="0.3">
      <c r="A224" s="26" t="str">
        <f>'БазНорм (обр)'!A212</f>
        <v>Замеры ЭМП</v>
      </c>
      <c r="B224" s="27" t="str">
        <f>'БазНорм (обр)'!B212</f>
        <v>усл. ед.</v>
      </c>
      <c r="C224" s="52">
        <f>'БазНорм (обр)'!C212</f>
        <v>0</v>
      </c>
      <c r="D224" s="181"/>
    </row>
    <row r="225" spans="1:4" ht="12.75" customHeight="1" outlineLevel="2" x14ac:dyDescent="0.3">
      <c r="A225" s="26" t="str">
        <f>'БазНорм (обр)'!A213</f>
        <v>Зарядка огнетушителей</v>
      </c>
      <c r="B225" s="27" t="str">
        <f>'БазНорм (обр)'!B213</f>
        <v>усл. ед.</v>
      </c>
      <c r="C225" s="52">
        <f>'БазНорм (обр)'!C213</f>
        <v>0</v>
      </c>
      <c r="D225" s="181"/>
    </row>
    <row r="226" spans="1:4" ht="12.75" customHeight="1" outlineLevel="2" x14ac:dyDescent="0.3">
      <c r="A226" s="26" t="str">
        <f>'БазНорм (обр)'!A214</f>
        <v>Испытание эл/защитных средств (перчатки)</v>
      </c>
      <c r="B226" s="27" t="str">
        <f>'БазНорм (обр)'!B214</f>
        <v>усл. ед.</v>
      </c>
      <c r="C226" s="52">
        <f>'БазНорм (обр)'!C214</f>
        <v>0</v>
      </c>
      <c r="D226" s="181"/>
    </row>
    <row r="227" spans="1:4" ht="12.75" customHeight="1" outlineLevel="2" x14ac:dyDescent="0.3">
      <c r="A227" s="26" t="str">
        <f>'БазНорм (обр)'!A215</f>
        <v>Демеркуризация ламп</v>
      </c>
      <c r="B227" s="27" t="str">
        <f>'БазНорм (обр)'!B215</f>
        <v>шт.</v>
      </c>
      <c r="C227" s="52">
        <f>'БазНорм (обр)'!C215</f>
        <v>0</v>
      </c>
      <c r="D227" s="181"/>
    </row>
    <row r="228" spans="1:4" ht="12.75" customHeight="1" outlineLevel="2" x14ac:dyDescent="0.3">
      <c r="A228" s="26" t="str">
        <f>'БазНорм (обр)'!A216</f>
        <v>Испытание пожарных кранов</v>
      </c>
      <c r="B228" s="27" t="str">
        <f>'БазНорм (обр)'!B216</f>
        <v>шт.</v>
      </c>
      <c r="C228" s="52">
        <f>'БазНорм (обр)'!C216</f>
        <v>0</v>
      </c>
      <c r="D228" s="181"/>
    </row>
    <row r="229" spans="1:4" ht="25.5" customHeight="1" outlineLevel="2" x14ac:dyDescent="0.3">
      <c r="A229" s="26" t="str">
        <f>'БазНорм (обр)'!A217</f>
        <v>Поверка ростомеры металл.</v>
      </c>
      <c r="B229" s="27" t="str">
        <f>'БазНорм (обр)'!B217</f>
        <v>шт.</v>
      </c>
      <c r="C229" s="52">
        <f>'БазНорм (обр)'!C217</f>
        <v>0</v>
      </c>
      <c r="D229" s="181"/>
    </row>
    <row r="230" spans="1:4" ht="25.5" customHeight="1" outlineLevel="2" x14ac:dyDescent="0.3">
      <c r="A230" s="26" t="str">
        <f>'БазНорм (обр)'!A218</f>
        <v>Поверка приборов учета тепловой энергии</v>
      </c>
      <c r="B230" s="27" t="str">
        <f>'БазНорм (обр)'!B218</f>
        <v>шт.</v>
      </c>
      <c r="C230" s="52">
        <f>'БазНорм (обр)'!C218</f>
        <v>0</v>
      </c>
      <c r="D230" s="181"/>
    </row>
    <row r="231" spans="1:4" ht="25.5" customHeight="1" outlineLevel="2" x14ac:dyDescent="0.3">
      <c r="A231" s="26" t="str">
        <f>'БазНорм (обр)'!A219</f>
        <v>Поверка весы торговые</v>
      </c>
      <c r="B231" s="27" t="str">
        <f>'БазНорм (обр)'!B219</f>
        <v>шт.</v>
      </c>
      <c r="C231" s="52">
        <f>'БазНорм (обр)'!C219</f>
        <v>0</v>
      </c>
      <c r="D231" s="181"/>
    </row>
    <row r="232" spans="1:4" ht="12.75" customHeight="1" outlineLevel="2" x14ac:dyDescent="0.3">
      <c r="A232" s="26" t="str">
        <f>'БазНорм (обр)'!A220</f>
        <v>Поверка весы медицинские</v>
      </c>
      <c r="B232" s="27" t="str">
        <f>'БазНорм (обр)'!B220</f>
        <v>шт.</v>
      </c>
      <c r="C232" s="52">
        <f>'БазНорм (обр)'!C220</f>
        <v>0</v>
      </c>
      <c r="D232" s="181"/>
    </row>
    <row r="233" spans="1:4" ht="38.25" customHeight="1" outlineLevel="2" x14ac:dyDescent="0.3">
      <c r="A233" s="26" t="str">
        <f>'БазНорм (обр)'!A221</f>
        <v>Весы настольные циферблатные</v>
      </c>
      <c r="B233" s="27" t="str">
        <f>'БазНорм (обр)'!B221</f>
        <v>шт.</v>
      </c>
      <c r="C233" s="52">
        <f>'БазНорм (обр)'!C221</f>
        <v>0</v>
      </c>
      <c r="D233" s="181"/>
    </row>
    <row r="234" spans="1:4" ht="25.5" customHeight="1" outlineLevel="2" x14ac:dyDescent="0.3">
      <c r="A234" s="26" t="str">
        <f>'БазНорм (обр)'!A222</f>
        <v>Поверка торговые гири 5 и 6 класса</v>
      </c>
      <c r="B234" s="27" t="str">
        <f>'БазНорм (обр)'!B222</f>
        <v>шт.</v>
      </c>
      <c r="C234" s="52">
        <f>'БазНорм (обр)'!C222</f>
        <v>0</v>
      </c>
      <c r="D234" s="181"/>
    </row>
    <row r="235" spans="1:4" ht="25.5" customHeight="1" outlineLevel="2" x14ac:dyDescent="0.3">
      <c r="A235" s="26" t="str">
        <f>'БазНорм (обр)'!A223</f>
        <v>Поверка манометры</v>
      </c>
      <c r="B235" s="27" t="str">
        <f>'БазНорм (обр)'!B223</f>
        <v>шт.</v>
      </c>
      <c r="C235" s="52">
        <f>'БазНорм (обр)'!C223</f>
        <v>0</v>
      </c>
      <c r="D235" s="181"/>
    </row>
    <row r="236" spans="1:4" ht="25.5" customHeight="1" outlineLevel="2" x14ac:dyDescent="0.3">
      <c r="A236" s="26" t="str">
        <f>'БазНорм (обр)'!A224</f>
        <v>ТО медицинской техники</v>
      </c>
      <c r="B236" s="27" t="str">
        <f>'БазНорм (обр)'!B224</f>
        <v>ед.</v>
      </c>
      <c r="C236" s="52">
        <f>'БазНорм (обр)'!C224</f>
        <v>0</v>
      </c>
      <c r="D236" s="181"/>
    </row>
    <row r="237" spans="1:4" ht="25.5" customHeight="1" outlineLevel="2" x14ac:dyDescent="0.3">
      <c r="A237" s="26" t="str">
        <f>'БазНорм (обр)'!A225</f>
        <v>Поверка Гигрометры психрометрические</v>
      </c>
      <c r="B237" s="27" t="str">
        <f>'БазНорм (обр)'!B225</f>
        <v>шт.</v>
      </c>
      <c r="C237" s="52">
        <f>'БазНорм (обр)'!C225</f>
        <v>0</v>
      </c>
      <c r="D237" s="181"/>
    </row>
    <row r="238" spans="1:4" ht="12.75" customHeight="1" outlineLevel="2" x14ac:dyDescent="0.3">
      <c r="A238" s="26" t="str">
        <f>'БазНорм (обр)'!A226</f>
        <v>Поверка тонометры</v>
      </c>
      <c r="B238" s="27" t="str">
        <f>'БазНорм (обр)'!B226</f>
        <v>шт.</v>
      </c>
      <c r="C238" s="52">
        <f>'БазНорм (обр)'!C226</f>
        <v>0</v>
      </c>
      <c r="D238" s="181"/>
    </row>
    <row r="239" spans="1:4" ht="25.5" customHeight="1" outlineLevel="2" x14ac:dyDescent="0.3">
      <c r="A239" s="26" t="str">
        <f>'БазНорм (обр)'!A227</f>
        <v>Поверка весы электронные напольные</v>
      </c>
      <c r="B239" s="27" t="str">
        <f>'БазНорм (обр)'!B227</f>
        <v>шт.</v>
      </c>
      <c r="C239" s="52">
        <f>'БазНорм (обр)'!C227</f>
        <v>0</v>
      </c>
      <c r="D239" s="181"/>
    </row>
    <row r="240" spans="1:4" ht="25.5" customHeight="1" outlineLevel="2" x14ac:dyDescent="0.3">
      <c r="A240" s="26" t="str">
        <f>'БазНорм (обр)'!A228</f>
        <v>Поверка весы напольные</v>
      </c>
      <c r="B240" s="27" t="str">
        <f>'БазНорм (обр)'!B228</f>
        <v>шт.</v>
      </c>
      <c r="C240" s="52">
        <f>'БазНорм (обр)'!C228</f>
        <v>0</v>
      </c>
      <c r="D240" s="181"/>
    </row>
    <row r="241" spans="1:4" ht="25.5" customHeight="1" outlineLevel="2" x14ac:dyDescent="0.3">
      <c r="A241" s="26" t="str">
        <f>'БазНорм (обр)'!A229</f>
        <v>Поверка секундомеры механические</v>
      </c>
      <c r="B241" s="27" t="str">
        <f>'БазНорм (обр)'!B229</f>
        <v>шт.</v>
      </c>
      <c r="C241" s="52">
        <f>'БазНорм (обр)'!C229</f>
        <v>0</v>
      </c>
      <c r="D241" s="181"/>
    </row>
    <row r="242" spans="1:4" ht="25.5" customHeight="1" outlineLevel="2" x14ac:dyDescent="0.3">
      <c r="A242" s="26" t="str">
        <f>'БазНорм (обр)'!A230</f>
        <v>Поверка динамометры кистевые</v>
      </c>
      <c r="B242" s="27" t="str">
        <f>'БазНорм (обр)'!B230</f>
        <v>шт.</v>
      </c>
      <c r="C242" s="52">
        <f>'БазНорм (обр)'!C230</f>
        <v>0</v>
      </c>
      <c r="D242" s="181"/>
    </row>
    <row r="243" spans="1:4" ht="25.5" customHeight="1" outlineLevel="2" x14ac:dyDescent="0.3">
      <c r="A243" s="26" t="str">
        <f>'БазНорм (обр)'!A231</f>
        <v>Курсы по теплоустановкам</v>
      </c>
      <c r="B243" s="27" t="str">
        <f>'БазНорм (обр)'!B231</f>
        <v>чел.</v>
      </c>
      <c r="C243" s="52">
        <f>'БазНорм (обр)'!C231</f>
        <v>4.2417815482502655E-3</v>
      </c>
      <c r="D243" s="181"/>
    </row>
    <row r="244" spans="1:4" s="60" customFormat="1" ht="25.5" customHeight="1" outlineLevel="2" x14ac:dyDescent="0.3">
      <c r="A244" s="33" t="s">
        <v>64</v>
      </c>
      <c r="B244" s="34" t="s">
        <v>3</v>
      </c>
      <c r="C244" s="51" t="s">
        <v>3</v>
      </c>
      <c r="D244" s="181"/>
    </row>
    <row r="245" spans="1:4" ht="25.5" customHeight="1" outlineLevel="3" x14ac:dyDescent="0.3">
      <c r="A245" s="26" t="str">
        <f>'БазНорм (обр)'!A233</f>
        <v>Доска разделочная</v>
      </c>
      <c r="B245" s="27" t="str">
        <f>'БазНорм (обр)'!B233</f>
        <v>шт.</v>
      </c>
      <c r="C245" s="52">
        <f>'БазНорм (обр)'!C233</f>
        <v>0</v>
      </c>
      <c r="D245" s="181"/>
    </row>
    <row r="246" spans="1:4" ht="25.5" customHeight="1" outlineLevel="3" x14ac:dyDescent="0.3">
      <c r="A246" s="26" t="str">
        <f>'БазНорм (обр)'!A234</f>
        <v xml:space="preserve">Блюдце </v>
      </c>
      <c r="B246" s="27" t="str">
        <f>'БазНорм (обр)'!B234</f>
        <v>шт.</v>
      </c>
      <c r="C246" s="52">
        <f>'БазНорм (обр)'!C234</f>
        <v>0</v>
      </c>
      <c r="D246" s="181"/>
    </row>
    <row r="247" spans="1:4" ht="25.5" customHeight="1" outlineLevel="3" x14ac:dyDescent="0.3">
      <c r="A247" s="26" t="str">
        <f>'БазНорм (обр)'!A235</f>
        <v>Тарелка маленькая</v>
      </c>
      <c r="B247" s="27" t="str">
        <f>'БазНорм (обр)'!B235</f>
        <v>шт.</v>
      </c>
      <c r="C247" s="52">
        <f>'БазНорм (обр)'!C235</f>
        <v>0</v>
      </c>
      <c r="D247" s="181"/>
    </row>
    <row r="248" spans="1:4" ht="25.5" customHeight="1" outlineLevel="3" x14ac:dyDescent="0.3">
      <c r="A248" s="26" t="str">
        <f>'БазНорм (обр)'!A236</f>
        <v>Тарелка мелкая</v>
      </c>
      <c r="B248" s="27" t="str">
        <f>'БазНорм (обр)'!B236</f>
        <v>шт.</v>
      </c>
      <c r="C248" s="52">
        <f>'БазНорм (обр)'!C236</f>
        <v>0.53022269353128315</v>
      </c>
      <c r="D248" s="181"/>
    </row>
    <row r="249" spans="1:4" ht="25.5" customHeight="1" outlineLevel="3" x14ac:dyDescent="0.3">
      <c r="A249" s="26" t="str">
        <f>'БазНорм (обр)'!A237</f>
        <v>Тарелка глубокая</v>
      </c>
      <c r="B249" s="27" t="str">
        <f>'БазНорм (обр)'!B237</f>
        <v>шт.</v>
      </c>
      <c r="C249" s="52">
        <f>'БазНорм (обр)'!C237</f>
        <v>0.33934252386002123</v>
      </c>
      <c r="D249" s="181"/>
    </row>
    <row r="250" spans="1:4" ht="25.5" customHeight="1" outlineLevel="3" x14ac:dyDescent="0.3">
      <c r="A250" s="26" t="str">
        <f>'БазНорм (обр)'!A238</f>
        <v>Ложка столовая</v>
      </c>
      <c r="B250" s="27" t="str">
        <f>'БазНорм (обр)'!B238</f>
        <v>шт.</v>
      </c>
      <c r="C250" s="52">
        <f>'БазНорм (обр)'!C238</f>
        <v>0.21633085896076351</v>
      </c>
      <c r="D250" s="181"/>
    </row>
    <row r="251" spans="1:4" ht="25.5" customHeight="1" outlineLevel="3" x14ac:dyDescent="0.3">
      <c r="A251" s="26" t="str">
        <f>'БазНорм (обр)'!A239</f>
        <v>Вилка столовая</v>
      </c>
      <c r="B251" s="27" t="str">
        <f>'БазНорм (обр)'!B239</f>
        <v>шт.</v>
      </c>
      <c r="C251" s="52">
        <f>'БазНорм (обр)'!C239</f>
        <v>0.21633085896076351</v>
      </c>
      <c r="D251" s="181"/>
    </row>
    <row r="252" spans="1:4" ht="25.5" customHeight="1" outlineLevel="3" x14ac:dyDescent="0.3">
      <c r="A252" s="26" t="str">
        <f>'БазНорм (обр)'!A240</f>
        <v>Таз 12 л.</v>
      </c>
      <c r="B252" s="27" t="str">
        <f>'БазНорм (обр)'!B240</f>
        <v>шт.</v>
      </c>
      <c r="C252" s="52">
        <f>'БазНорм (обр)'!C240</f>
        <v>0</v>
      </c>
      <c r="D252" s="181"/>
    </row>
    <row r="253" spans="1:4" ht="25.5" customHeight="1" outlineLevel="3" x14ac:dyDescent="0.3">
      <c r="A253" s="26" t="str">
        <f>'БазНорм (обр)'!A241</f>
        <v>Таз 5 л</v>
      </c>
      <c r="B253" s="27" t="str">
        <f>'БазНорм (обр)'!B241</f>
        <v>шт.</v>
      </c>
      <c r="C253" s="52">
        <f>'БазНорм (обр)'!C241</f>
        <v>0</v>
      </c>
      <c r="D253" s="181"/>
    </row>
    <row r="254" spans="1:4" ht="25.5" customHeight="1" outlineLevel="3" x14ac:dyDescent="0.3">
      <c r="A254" s="26" t="str">
        <f>'БазНорм (обр)'!A242</f>
        <v>Противень</v>
      </c>
      <c r="B254" s="27" t="str">
        <f>'БазНорм (обр)'!B242</f>
        <v>шт.</v>
      </c>
      <c r="C254" s="52">
        <f>'БазНорм (обр)'!C242</f>
        <v>0</v>
      </c>
      <c r="D254" s="181"/>
    </row>
    <row r="255" spans="1:4" ht="25.5" customHeight="1" outlineLevel="3" x14ac:dyDescent="0.3">
      <c r="A255" s="26" t="str">
        <f>'БазНорм (обр)'!A243</f>
        <v>Лоток для мяса</v>
      </c>
      <c r="B255" s="27" t="str">
        <f>'БазНорм (обр)'!B243</f>
        <v>шт.</v>
      </c>
      <c r="C255" s="52">
        <f>'БазНорм (обр)'!C243</f>
        <v>0</v>
      </c>
      <c r="D255" s="181"/>
    </row>
    <row r="256" spans="1:4" ht="25.5" customHeight="1" outlineLevel="3" x14ac:dyDescent="0.3">
      <c r="A256" s="26" t="str">
        <f>'БазНорм (обр)'!A244</f>
        <v>Лоток глубокий</v>
      </c>
      <c r="B256" s="27" t="str">
        <f>'БазНорм (обр)'!B244</f>
        <v>шт.</v>
      </c>
      <c r="C256" s="52">
        <f>'БазНорм (обр)'!C244</f>
        <v>0</v>
      </c>
      <c r="D256" s="181"/>
    </row>
    <row r="257" spans="1:4" ht="25.5" customHeight="1" outlineLevel="3" x14ac:dyDescent="0.3">
      <c r="A257" s="26" t="str">
        <f>'БазНорм (обр)'!A245</f>
        <v>Кастрюля 15 л.</v>
      </c>
      <c r="B257" s="27" t="str">
        <f>'БазНорм (обр)'!B245</f>
        <v>шт.</v>
      </c>
      <c r="C257" s="52">
        <f>'БазНорм (обр)'!C245</f>
        <v>0</v>
      </c>
      <c r="D257" s="181"/>
    </row>
    <row r="258" spans="1:4" ht="25.5" customHeight="1" outlineLevel="3" x14ac:dyDescent="0.3">
      <c r="A258" s="26" t="str">
        <f>'БазНорм (обр)'!A246</f>
        <v>Кастрюля 20 л.</v>
      </c>
      <c r="B258" s="27" t="str">
        <f>'БазНорм (обр)'!B246</f>
        <v>шт.</v>
      </c>
      <c r="C258" s="52">
        <f>'БазНорм (обр)'!C246</f>
        <v>0</v>
      </c>
      <c r="D258" s="181"/>
    </row>
    <row r="259" spans="1:4" ht="25.5" customHeight="1" outlineLevel="3" x14ac:dyDescent="0.3">
      <c r="A259" s="26" t="str">
        <f>'БазНорм (обр)'!A247</f>
        <v>Корзина для стаканов и чашек</v>
      </c>
      <c r="B259" s="27" t="str">
        <f>'БазНорм (обр)'!B247</f>
        <v>шт.</v>
      </c>
      <c r="C259" s="52">
        <f>'БазНорм (обр)'!C247</f>
        <v>0</v>
      </c>
      <c r="D259" s="181"/>
    </row>
    <row r="260" spans="1:4" ht="25.5" customHeight="1" outlineLevel="3" x14ac:dyDescent="0.3">
      <c r="A260" s="26" t="str">
        <f>'БазНорм (обр)'!A248</f>
        <v>Стакан граненый</v>
      </c>
      <c r="B260" s="27" t="str">
        <f>'БазНорм (обр)'!B248</f>
        <v>шт.</v>
      </c>
      <c r="C260" s="52">
        <f>'БазНорм (обр)'!C248</f>
        <v>0.22905620360551432</v>
      </c>
      <c r="D260" s="181"/>
    </row>
    <row r="261" spans="1:4" ht="25.5" customHeight="1" outlineLevel="3" x14ac:dyDescent="0.3">
      <c r="A261" s="26" t="str">
        <f>'БазНорм (обр)'!A249</f>
        <v>Сито</v>
      </c>
      <c r="B261" s="27" t="str">
        <f>'БазНорм (обр)'!B249</f>
        <v>шт.</v>
      </c>
      <c r="C261" s="52">
        <f>'БазНорм (обр)'!C249</f>
        <v>0</v>
      </c>
      <c r="D261" s="181"/>
    </row>
    <row r="262" spans="1:4" ht="25.5" customHeight="1" outlineLevel="3" x14ac:dyDescent="0.3">
      <c r="A262" s="26" t="str">
        <f>'БазНорм (обр)'!A250</f>
        <v>Нож повара</v>
      </c>
      <c r="B262" s="27" t="str">
        <f>'БазНорм (обр)'!B250</f>
        <v>шт.</v>
      </c>
      <c r="C262" s="52">
        <f>'БазНорм (обр)'!C250</f>
        <v>6.3626723223753979E-3</v>
      </c>
      <c r="D262" s="181"/>
    </row>
    <row r="263" spans="1:4" s="60" customFormat="1" ht="25.5" customHeight="1" outlineLevel="2" x14ac:dyDescent="0.3">
      <c r="A263" s="33" t="s">
        <v>480</v>
      </c>
      <c r="B263" s="34" t="s">
        <v>3</v>
      </c>
      <c r="C263" s="51" t="s">
        <v>3</v>
      </c>
      <c r="D263" s="181"/>
    </row>
    <row r="264" spans="1:4" ht="25.5" customHeight="1" outlineLevel="3" x14ac:dyDescent="0.3">
      <c r="A264" s="26" t="str">
        <f>'БазНорм (обр)'!A252</f>
        <v>Посудомоечная машина</v>
      </c>
      <c r="B264" s="27" t="str">
        <f>'БазНорм (обр)'!B252</f>
        <v>шт.</v>
      </c>
      <c r="C264" s="52">
        <f>'БазНорм (обр)'!C252</f>
        <v>0</v>
      </c>
      <c r="D264" s="181"/>
    </row>
    <row r="265" spans="1:4" ht="25.5" customHeight="1" outlineLevel="3" x14ac:dyDescent="0.3">
      <c r="A265" s="26" t="str">
        <f>'БазНорм (обр)'!A253</f>
        <v>Холодильная камера 2х дверная Полюс-R 1400"</v>
      </c>
      <c r="B265" s="27" t="str">
        <f>'БазНорм (обр)'!B253</f>
        <v>шт.</v>
      </c>
      <c r="C265" s="52">
        <f>'БазНорм (обр)'!C253</f>
        <v>0</v>
      </c>
      <c r="D265" s="181"/>
    </row>
    <row r="266" spans="1:4" ht="25.5" customHeight="1" outlineLevel="3" x14ac:dyDescent="0.3">
      <c r="A266" s="26" t="str">
        <f>'БазНорм (обр)'!A254</f>
        <v>Холодильная камера 1 дверная, "Полюс-R700"</v>
      </c>
      <c r="B266" s="27" t="str">
        <f>'БазНорм (обр)'!B254</f>
        <v>шт.</v>
      </c>
      <c r="C266" s="52">
        <f>'БазНорм (обр)'!C254</f>
        <v>0</v>
      </c>
      <c r="D266" s="181"/>
    </row>
    <row r="267" spans="1:4" s="60" customFormat="1" ht="25.5" customHeight="1" outlineLevel="2" x14ac:dyDescent="0.3">
      <c r="A267" s="33" t="s">
        <v>68</v>
      </c>
      <c r="B267" s="34" t="s">
        <v>3</v>
      </c>
      <c r="C267" s="51" t="s">
        <v>3</v>
      </c>
      <c r="D267" s="181"/>
    </row>
    <row r="268" spans="1:4" ht="25.5" customHeight="1" outlineLevel="3" x14ac:dyDescent="0.3">
      <c r="A268" s="26" t="str">
        <f>'БазНорм (обр)'!A256</f>
        <v>Мыло хозяйственное</v>
      </c>
      <c r="B268" s="27" t="str">
        <f>'БазНорм (обр)'!B256</f>
        <v>шт.</v>
      </c>
      <c r="C268" s="52">
        <f>'БазНорм (обр)'!C256</f>
        <v>0.41911148365465217</v>
      </c>
      <c r="D268" s="181"/>
    </row>
    <row r="269" spans="1:4" ht="25.5" customHeight="1" outlineLevel="3" x14ac:dyDescent="0.3">
      <c r="A269" s="26" t="str">
        <f>'БазНорм (обр)'!A257</f>
        <v>Мыло детское</v>
      </c>
      <c r="B269" s="27" t="str">
        <f>'БазНорм (обр)'!B257</f>
        <v>шт.</v>
      </c>
      <c r="C269" s="52">
        <f>'БазНорм (обр)'!C257</f>
        <v>0.41911148365465217</v>
      </c>
      <c r="D269" s="181"/>
    </row>
    <row r="270" spans="1:4" ht="25.5" customHeight="1" outlineLevel="3" x14ac:dyDescent="0.3">
      <c r="A270" s="26" t="str">
        <f>'БазНорм (обр)'!A258</f>
        <v>Порошок стиральный 0,4 кг.</v>
      </c>
      <c r="B270" s="27" t="str">
        <f>'БазНорм (обр)'!B258</f>
        <v>пач.</v>
      </c>
      <c r="C270" s="52">
        <f>'БазНорм (обр)'!C258</f>
        <v>0.15088013411567477</v>
      </c>
      <c r="D270" s="181"/>
    </row>
    <row r="271" spans="1:4" ht="25.5" customHeight="1" outlineLevel="3" x14ac:dyDescent="0.3">
      <c r="A271" s="26" t="str">
        <f>'БазНорм (обр)'!A259</f>
        <v>Порошок стиральный 1,8 кг.</v>
      </c>
      <c r="B271" s="27" t="str">
        <f>'БазНорм (обр)'!B259</f>
        <v>пач.</v>
      </c>
      <c r="C271" s="52">
        <f>'БазНорм (обр)'!C259</f>
        <v>0</v>
      </c>
      <c r="D271" s="181"/>
    </row>
    <row r="272" spans="1:4" ht="25.5" customHeight="1" outlineLevel="3" x14ac:dyDescent="0.3">
      <c r="A272" s="26" t="str">
        <f>'БазНорм (обр)'!A260</f>
        <v>Сода кальценированная 0,4 кг</v>
      </c>
      <c r="B272" s="27" t="str">
        <f>'БазНорм (обр)'!B260</f>
        <v>шт.</v>
      </c>
      <c r="C272" s="52">
        <f>'БазНорм (обр)'!C260</f>
        <v>0.25146689019279128</v>
      </c>
      <c r="D272" s="181"/>
    </row>
    <row r="273" spans="1:4" ht="25.5" customHeight="1" outlineLevel="3" x14ac:dyDescent="0.3">
      <c r="A273" s="26" t="str">
        <f>'БазНорм (обр)'!A261</f>
        <v>Паста чистящая</v>
      </c>
      <c r="B273" s="27" t="str">
        <f>'БазНорм (обр)'!B261</f>
        <v>шт.</v>
      </c>
      <c r="C273" s="52">
        <f>'БазНорм (обр)'!C261</f>
        <v>0.16764459346186086</v>
      </c>
      <c r="D273" s="181"/>
    </row>
    <row r="274" spans="1:4" ht="25.5" customHeight="1" outlineLevel="3" x14ac:dyDescent="0.3">
      <c r="A274" s="26" t="str">
        <f>'БазНорм (обр)'!A262</f>
        <v>Средство для мытья плит 0,75 л.</v>
      </c>
      <c r="B274" s="27" t="str">
        <f>'БазНорм (обр)'!B262</f>
        <v>бут.</v>
      </c>
      <c r="C274" s="52">
        <f>'БазНорм (обр)'!C262</f>
        <v>0</v>
      </c>
      <c r="D274" s="181"/>
    </row>
    <row r="275" spans="1:4" ht="25.5" customHeight="1" outlineLevel="3" x14ac:dyDescent="0.3">
      <c r="A275" s="26" t="str">
        <f>'БазНорм (обр)'!A263</f>
        <v xml:space="preserve">Средсто для мытья посуды </v>
      </c>
      <c r="B275" s="27" t="str">
        <f>'БазНорм (обр)'!B263</f>
        <v>л.</v>
      </c>
      <c r="C275" s="52">
        <f>'БазНорм (обр)'!C263</f>
        <v>0</v>
      </c>
      <c r="D275" s="181"/>
    </row>
    <row r="276" spans="1:4" ht="25.5" customHeight="1" outlineLevel="3" x14ac:dyDescent="0.3">
      <c r="A276" s="26" t="str">
        <f>'БазНорм (обр)'!A264</f>
        <v>Чистящий порошок Пемолюкс 0,45 кг</v>
      </c>
      <c r="B276" s="27" t="str">
        <f>'БазНорм (обр)'!B264</f>
        <v>шт.</v>
      </c>
      <c r="C276" s="52">
        <f>'БазНорм (обр)'!C264</f>
        <v>0.16764459346186086</v>
      </c>
      <c r="D276" s="181"/>
    </row>
    <row r="277" spans="1:4" ht="25.5" customHeight="1" outlineLevel="3" x14ac:dyDescent="0.3">
      <c r="A277" s="26" t="str">
        <f>'БазНорм (обр)'!A265</f>
        <v>Моющее средство для посудомоечной машины 2,5 кг.</v>
      </c>
      <c r="B277" s="27" t="str">
        <f>'БазНорм (обр)'!B265</f>
        <v>упак.</v>
      </c>
      <c r="C277" s="52">
        <f>'БазНорм (обр)'!C265</f>
        <v>0</v>
      </c>
      <c r="D277" s="181"/>
    </row>
    <row r="278" spans="1:4" ht="25.5" customHeight="1" outlineLevel="3" x14ac:dyDescent="0.3">
      <c r="A278" s="26" t="str">
        <f>'БазНорм (обр)'!A266</f>
        <v>Чистящий псредство Доместос 1 л.</v>
      </c>
      <c r="B278" s="27" t="str">
        <f>'БазНорм (обр)'!B266</f>
        <v>бут.</v>
      </c>
      <c r="C278" s="52">
        <f>'БазНорм (обр)'!C266</f>
        <v>0</v>
      </c>
      <c r="D278" s="181"/>
    </row>
    <row r="279" spans="1:4" ht="25.5" customHeight="1" outlineLevel="3" x14ac:dyDescent="0.3">
      <c r="A279" s="26" t="str">
        <f>'БазНорм (обр)'!A267</f>
        <v>Чистящее средство 0,6 л.</v>
      </c>
      <c r="B279" s="27" t="str">
        <f>'БазНорм (обр)'!B267</f>
        <v>бут.</v>
      </c>
      <c r="C279" s="52">
        <f>'БазНорм (обр)'!C267</f>
        <v>0</v>
      </c>
      <c r="D279" s="181"/>
    </row>
    <row r="280" spans="1:4" ht="25.5" customHeight="1" outlineLevel="3" x14ac:dyDescent="0.3">
      <c r="A280" s="26" t="str">
        <f>'БазНорм (обр)'!A268</f>
        <v>Средство для мытья стекол 0,5 л.</v>
      </c>
      <c r="B280" s="27" t="str">
        <f>'БазНорм (обр)'!B268</f>
        <v>бут.</v>
      </c>
      <c r="C280" s="52">
        <f>'БазНорм (обр)'!C268</f>
        <v>0</v>
      </c>
      <c r="D280" s="181"/>
    </row>
    <row r="281" spans="1:4" ht="25.5" customHeight="1" outlineLevel="3" x14ac:dyDescent="0.3">
      <c r="A281" s="26" t="str">
        <f>'БазНорм (обр)'!A269</f>
        <v>Кондиционер для белья Ленор 1 л.</v>
      </c>
      <c r="B281" s="27" t="str">
        <f>'БазНорм (обр)'!B269</f>
        <v>бут.</v>
      </c>
      <c r="C281" s="52">
        <f>'БазНорм (обр)'!C269</f>
        <v>0</v>
      </c>
      <c r="D281" s="181"/>
    </row>
    <row r="282" spans="1:4" ht="25.5" customHeight="1" outlineLevel="3" x14ac:dyDescent="0.3">
      <c r="A282" s="26" t="str">
        <f>'БазНорм (обр)'!A270</f>
        <v>Отбеливатель 1 л.</v>
      </c>
      <c r="B282" s="27" t="str">
        <f>'БазНорм (обр)'!B270</f>
        <v>бут.</v>
      </c>
      <c r="C282" s="52">
        <f>'БазНорм (обр)'!C270</f>
        <v>0</v>
      </c>
      <c r="D282" s="181"/>
    </row>
    <row r="283" spans="1:4" ht="25.5" customHeight="1" outlineLevel="3" x14ac:dyDescent="0.3">
      <c r="A283" s="26" t="str">
        <f>'БазНорм (обр)'!A271</f>
        <v>Чистящее средсво для ванн 1 л.</v>
      </c>
      <c r="B283" s="27" t="str">
        <f>'БазНорм (обр)'!B271</f>
        <v>бут.</v>
      </c>
      <c r="C283" s="52">
        <f>'БазНорм (обр)'!C271</f>
        <v>0</v>
      </c>
      <c r="D283" s="181"/>
    </row>
    <row r="284" spans="1:4" ht="25.5" customHeight="1" outlineLevel="3" x14ac:dyDescent="0.3">
      <c r="A284" s="26" t="str">
        <f>'БазНорм (обр)'!A272</f>
        <v>Жидкое мыло детское</v>
      </c>
      <c r="B284" s="27" t="str">
        <f>'БазНорм (обр)'!B272</f>
        <v>бут.</v>
      </c>
      <c r="C284" s="52">
        <f>'БазНорм (обр)'!C272</f>
        <v>6.286672254819782E-2</v>
      </c>
      <c r="D284" s="181"/>
    </row>
    <row r="285" spans="1:4" ht="25.5" customHeight="1" outlineLevel="3" x14ac:dyDescent="0.3">
      <c r="A285" s="26" t="str">
        <f>'БазНорм (обр)'!A273</f>
        <v>Жидкое мыло детское 5 л.</v>
      </c>
      <c r="B285" s="27" t="str">
        <f>'БазНорм (обр)'!B273</f>
        <v>бут.</v>
      </c>
      <c r="C285" s="52">
        <f>'БазНорм (обр)'!C273</f>
        <v>0</v>
      </c>
      <c r="D285" s="181"/>
    </row>
    <row r="286" spans="1:4" ht="25.5" customHeight="1" outlineLevel="3" x14ac:dyDescent="0.3">
      <c r="A286" s="26" t="str">
        <f>'БазНорм (обр)'!A274</f>
        <v>Освежитель воздуха</v>
      </c>
      <c r="B286" s="27" t="str">
        <f>'БазНорм (обр)'!B274</f>
        <v>бут.</v>
      </c>
      <c r="C286" s="52">
        <f>'БазНорм (обр)'!C274</f>
        <v>0</v>
      </c>
      <c r="D286" s="181"/>
    </row>
    <row r="287" spans="1:4" ht="25.5" customHeight="1" outlineLevel="3" x14ac:dyDescent="0.3">
      <c r="A287" s="26" t="str">
        <f>'БазНорм (обр)'!A275</f>
        <v>Ди-хлор 300 шт.</v>
      </c>
      <c r="B287" s="27" t="str">
        <f>'БазНорм (обр)'!B275</f>
        <v>бан.</v>
      </c>
      <c r="C287" s="52">
        <f>'БазНорм (обр)'!C275</f>
        <v>3.7720033528918694E-2</v>
      </c>
      <c r="D287" s="181"/>
    </row>
    <row r="288" spans="1:4" ht="25.5" customHeight="1" outlineLevel="3" x14ac:dyDescent="0.3">
      <c r="A288" s="26" t="str">
        <f>'БазНорм (обр)'!A276</f>
        <v>Хлорамин</v>
      </c>
      <c r="B288" s="27" t="str">
        <f>'БазНорм (обр)'!B276</f>
        <v>пач.</v>
      </c>
      <c r="C288" s="52">
        <f>'БазНорм (обр)'!C276</f>
        <v>0</v>
      </c>
      <c r="D288" s="181"/>
    </row>
    <row r="289" spans="1:4" ht="25.5" customHeight="1" outlineLevel="3" x14ac:dyDescent="0.3">
      <c r="A289" s="26" t="str">
        <f>'БазНорм (обр)'!A277</f>
        <v>Средство для мытья окон</v>
      </c>
      <c r="B289" s="27" t="str">
        <f>'БазНорм (обр)'!B277</f>
        <v>шт.</v>
      </c>
      <c r="C289" s="52">
        <f>'БазНорм (обр)'!C277</f>
        <v>3.143336127409891E-2</v>
      </c>
      <c r="D289" s="181"/>
    </row>
    <row r="290" spans="1:4" ht="25.5" customHeight="1" outlineLevel="3" x14ac:dyDescent="0.3">
      <c r="A290" s="26" t="str">
        <f>'БазНорм (обр)'!A278</f>
        <v>Оптимакс 1 л.</v>
      </c>
      <c r="B290" s="27" t="str">
        <f>'БазНорм (обр)'!B278</f>
        <v>бан.</v>
      </c>
      <c r="C290" s="52">
        <f>'БазНорм (обр)'!C278</f>
        <v>6.286672254819782E-2</v>
      </c>
      <c r="D290" s="181"/>
    </row>
    <row r="291" spans="1:4" ht="25.5" customHeight="1" outlineLevel="3" x14ac:dyDescent="0.3">
      <c r="A291" s="26" t="str">
        <f>'БазНорм (обр)'!A279</f>
        <v>Жавель солид</v>
      </c>
      <c r="B291" s="27" t="str">
        <f>'БазНорм (обр)'!B279</f>
        <v>бут.</v>
      </c>
      <c r="C291" s="52">
        <f>'БазНорм (обр)'!C279</f>
        <v>0</v>
      </c>
      <c r="D291" s="181"/>
    </row>
    <row r="292" spans="1:4" ht="25.5" customHeight="1" outlineLevel="3" x14ac:dyDescent="0.3">
      <c r="A292" s="26" t="str">
        <f>'БазНорм (обр)'!A280</f>
        <v>Химический индикатор 50 шт.</v>
      </c>
      <c r="B292" s="27" t="str">
        <f>'БазНорм (обр)'!B280</f>
        <v>упак.</v>
      </c>
      <c r="C292" s="52">
        <f>'БазНорм (обр)'!C280</f>
        <v>0</v>
      </c>
      <c r="D292" s="181"/>
    </row>
    <row r="293" spans="1:4" ht="25.5" customHeight="1" outlineLevel="3" x14ac:dyDescent="0.3">
      <c r="A293" s="26" t="str">
        <f>'БазНорм (обр)'!A281</f>
        <v>Средство САНФОР 750 мл</v>
      </c>
      <c r="B293" s="27" t="str">
        <f>'БазНорм (обр)'!B281</f>
        <v>шт.</v>
      </c>
      <c r="C293" s="52">
        <f>'БазНорм (обр)'!C281</f>
        <v>6.286672254819782E-2</v>
      </c>
      <c r="D293" s="181"/>
    </row>
    <row r="294" spans="1:4" ht="25.5" customHeight="1" outlineLevel="3" x14ac:dyDescent="0.3">
      <c r="A294" s="26" t="str">
        <f>'БазНорм (обр)'!A282</f>
        <v>Средство для чистки туалетов (САНОКС)</v>
      </c>
      <c r="B294" s="27" t="str">
        <f>'БазНорм (обр)'!B282</f>
        <v>шт.</v>
      </c>
      <c r="C294" s="52">
        <f>'БазНорм (обр)'!C282</f>
        <v>0</v>
      </c>
      <c r="D294" s="181"/>
    </row>
    <row r="295" spans="1:4" ht="25.5" customHeight="1" outlineLevel="3" x14ac:dyDescent="0.3">
      <c r="A295" s="26" t="str">
        <f>'БазНорм (обр)'!A283</f>
        <v>Средство дизенфицирующее Дихлор(300 таблеток)</v>
      </c>
      <c r="B295" s="27" t="str">
        <f>'БазНорм (обр)'!B283</f>
        <v>шт.</v>
      </c>
      <c r="C295" s="52">
        <f>'БазНорм (обр)'!C283</f>
        <v>3.143336127409891E-2</v>
      </c>
      <c r="D295" s="181"/>
    </row>
    <row r="296" spans="1:4" ht="25.5" customHeight="1" outlineLevel="3" x14ac:dyDescent="0.3">
      <c r="A296" s="26" t="str">
        <f>'БазНорм (обр)'!A284</f>
        <v>Средство для мытья пола 5 л</v>
      </c>
      <c r="B296" s="27" t="str">
        <f>'БазНорм (обр)'!B284</f>
        <v>шт.</v>
      </c>
      <c r="C296" s="52">
        <f>'БазНорм (обр)'!C284</f>
        <v>6.286672254819782E-2</v>
      </c>
      <c r="D296" s="181"/>
    </row>
    <row r="297" spans="1:4" s="60" customFormat="1" ht="25.5" customHeight="1" outlineLevel="2" x14ac:dyDescent="0.3">
      <c r="A297" s="33" t="s">
        <v>31</v>
      </c>
      <c r="B297" s="34" t="s">
        <v>3</v>
      </c>
      <c r="C297" s="51" t="s">
        <v>3</v>
      </c>
      <c r="D297" s="181"/>
    </row>
    <row r="298" spans="1:4" ht="25.5" customHeight="1" outlineLevel="3" x14ac:dyDescent="0.3">
      <c r="A298" s="26" t="str">
        <f>'БазНорм (обр)'!A286</f>
        <v>Спец одежда. Костюм мужской</v>
      </c>
      <c r="B298" s="27" t="str">
        <f>'БазНорм (обр)'!B286</f>
        <v>шт.</v>
      </c>
      <c r="C298" s="52">
        <f>'БазНорм (обр)'!C286</f>
        <v>0</v>
      </c>
      <c r="D298" s="181"/>
    </row>
    <row r="299" spans="1:4" ht="25.5" customHeight="1" outlineLevel="3" x14ac:dyDescent="0.3">
      <c r="A299" s="26" t="str">
        <f>'БазНорм (обр)'!A287</f>
        <v>Спец одежда. Халат женскй</v>
      </c>
      <c r="B299" s="27" t="str">
        <f>'БазНорм (обр)'!B287</f>
        <v>шт.</v>
      </c>
      <c r="C299" s="52">
        <f>'БазНорм (обр)'!C287</f>
        <v>0</v>
      </c>
      <c r="D299" s="181"/>
    </row>
    <row r="300" spans="1:4" ht="25.5" customHeight="1" outlineLevel="3" x14ac:dyDescent="0.3">
      <c r="A300" s="26" t="str">
        <f>'БазНорм (обр)'!A288</f>
        <v>Халат капроновый рабочий</v>
      </c>
      <c r="B300" s="27" t="str">
        <f>'БазНорм (обр)'!B288</f>
        <v>шт.</v>
      </c>
      <c r="C300" s="52">
        <f>'БазНорм (обр)'!C288</f>
        <v>0</v>
      </c>
      <c r="D300" s="181"/>
    </row>
    <row r="301" spans="1:4" s="60" customFormat="1" ht="25.5" customHeight="1" outlineLevel="2" x14ac:dyDescent="0.3">
      <c r="A301" s="33" t="s">
        <v>479</v>
      </c>
      <c r="B301" s="34" t="s">
        <v>3</v>
      </c>
      <c r="C301" s="51" t="s">
        <v>3</v>
      </c>
      <c r="D301" s="181"/>
    </row>
    <row r="302" spans="1:4" ht="25.5" customHeight="1" outlineLevel="3" x14ac:dyDescent="0.3">
      <c r="A302" s="26" t="str">
        <f>'БазНорм (обр)'!A290</f>
        <v>Ножовка по металлу 300мм(5 см,полотен)</v>
      </c>
      <c r="B302" s="27" t="str">
        <f>'БазНорм (обр)'!B290</f>
        <v>шт.</v>
      </c>
      <c r="C302" s="52">
        <f>'БазНорм (обр)'!C290</f>
        <v>0</v>
      </c>
      <c r="D302" s="181"/>
    </row>
    <row r="303" spans="1:4" ht="25.5" customHeight="1" outlineLevel="3" x14ac:dyDescent="0.3">
      <c r="A303" s="26" t="str">
        <f>'БазНорм (обр)'!A291</f>
        <v>Ножовка по дереву 350мм</v>
      </c>
      <c r="B303" s="27" t="str">
        <f>'БазНорм (обр)'!B291</f>
        <v>шт.</v>
      </c>
      <c r="C303" s="52">
        <f>'БазНорм (обр)'!C291</f>
        <v>0</v>
      </c>
      <c r="D303" s="181"/>
    </row>
    <row r="304" spans="1:4" ht="25.5" customHeight="1" outlineLevel="3" x14ac:dyDescent="0.3">
      <c r="A304" s="26" t="str">
        <f>'БазНорм (обр)'!A292</f>
        <v>Стамеска  16мм</v>
      </c>
      <c r="B304" s="27" t="str">
        <f>'БазНорм (обр)'!B292</f>
        <v>шт.</v>
      </c>
      <c r="C304" s="52">
        <f>'БазНорм (обр)'!C292</f>
        <v>0</v>
      </c>
      <c r="D304" s="181"/>
    </row>
    <row r="305" spans="1:4" ht="25.5" customHeight="1" outlineLevel="3" x14ac:dyDescent="0.3">
      <c r="A305" s="26" t="str">
        <f>'БазНорм (обр)'!A293</f>
        <v>Молоток</v>
      </c>
      <c r="B305" s="27" t="str">
        <f>'БазНорм (обр)'!B293</f>
        <v>шт.</v>
      </c>
      <c r="C305" s="52">
        <f>'БазНорм (обр)'!C293</f>
        <v>0</v>
      </c>
      <c r="D305" s="181"/>
    </row>
    <row r="306" spans="1:4" ht="25.5" customHeight="1" outlineLevel="3" x14ac:dyDescent="0.3">
      <c r="A306" s="26" t="str">
        <f>'БазНорм (обр)'!A294</f>
        <v>Набор напильников</v>
      </c>
      <c r="B306" s="27" t="str">
        <f>'БазНорм (обр)'!B294</f>
        <v>шт.</v>
      </c>
      <c r="C306" s="52">
        <f>'БазНорм (обр)'!C294</f>
        <v>0</v>
      </c>
      <c r="D306" s="181"/>
    </row>
    <row r="307" spans="1:4" ht="25.5" customHeight="1" outlineLevel="3" x14ac:dyDescent="0.3">
      <c r="A307" s="26" t="str">
        <f>'БазНорм (обр)'!A295</f>
        <v>Ведро пластик 10л</v>
      </c>
      <c r="B307" s="27" t="str">
        <f>'БазНорм (обр)'!B295</f>
        <v>шт.</v>
      </c>
      <c r="C307" s="52">
        <f>'БазНорм (обр)'!C295</f>
        <v>0</v>
      </c>
      <c r="D307" s="181"/>
    </row>
    <row r="308" spans="1:4" ht="25.5" customHeight="1" outlineLevel="3" x14ac:dyDescent="0.3">
      <c r="A308" s="26" t="str">
        <f>'БазНорм (обр)'!A296</f>
        <v>Ведро оцинкованное 15л</v>
      </c>
      <c r="B308" s="27" t="str">
        <f>'БазНорм (обр)'!B296</f>
        <v>шт.</v>
      </c>
      <c r="C308" s="52">
        <f>'БазНорм (обр)'!C296</f>
        <v>0</v>
      </c>
      <c r="D308" s="181"/>
    </row>
    <row r="309" spans="1:4" ht="25.5" customHeight="1" outlineLevel="3" x14ac:dyDescent="0.3">
      <c r="A309" s="26" t="str">
        <f>'БазНорм (обр)'!A297</f>
        <v>Ерш унитазный</v>
      </c>
      <c r="B309" s="27" t="str">
        <f>'БазНорм (обр)'!B297</f>
        <v>шт.</v>
      </c>
      <c r="C309" s="52">
        <f>'БазНорм (обр)'!C297</f>
        <v>0</v>
      </c>
      <c r="D309" s="181"/>
    </row>
    <row r="310" spans="1:4" ht="25.5" customHeight="1" outlineLevel="3" x14ac:dyDescent="0.3">
      <c r="A310" s="26" t="str">
        <f>'БазНорм (обр)'!A298</f>
        <v xml:space="preserve">Замок врезной </v>
      </c>
      <c r="B310" s="27" t="str">
        <f>'БазНорм (обр)'!B298</f>
        <v>шт.</v>
      </c>
      <c r="C310" s="52">
        <f>'БазНорм (обр)'!C298</f>
        <v>0</v>
      </c>
      <c r="D310" s="181"/>
    </row>
    <row r="311" spans="1:4" ht="25.5" customHeight="1" outlineLevel="3" x14ac:dyDescent="0.3">
      <c r="A311" s="26" t="str">
        <f>'БазНорм (обр)'!A299</f>
        <v>Замок навесной</v>
      </c>
      <c r="B311" s="27" t="str">
        <f>'БазНорм (обр)'!B299</f>
        <v>шт.</v>
      </c>
      <c r="C311" s="52">
        <f>'БазНорм (обр)'!C299</f>
        <v>0</v>
      </c>
      <c r="D311" s="181"/>
    </row>
    <row r="312" spans="1:4" ht="25.5" customHeight="1" outlineLevel="3" x14ac:dyDescent="0.3">
      <c r="A312" s="26" t="str">
        <f>'БазНорм (обр)'!A300</f>
        <v>Изолента</v>
      </c>
      <c r="B312" s="27" t="str">
        <f>'БазНорм (обр)'!B300</f>
        <v>шт.</v>
      </c>
      <c r="C312" s="52">
        <f>'БазНорм (обр)'!C300</f>
        <v>0</v>
      </c>
      <c r="D312" s="181"/>
    </row>
    <row r="313" spans="1:4" ht="25.5" customHeight="1" outlineLevel="3" x14ac:dyDescent="0.3">
      <c r="A313" s="26" t="str">
        <f>'БазНорм (обр)'!A301</f>
        <v>Лопата снеговая с черенком</v>
      </c>
      <c r="B313" s="27" t="str">
        <f>'БазНорм (обр)'!B301</f>
        <v>шт.</v>
      </c>
      <c r="C313" s="52">
        <f>'БазНорм (обр)'!C301</f>
        <v>0</v>
      </c>
      <c r="D313" s="181"/>
    </row>
    <row r="314" spans="1:4" ht="25.5" customHeight="1" outlineLevel="3" x14ac:dyDescent="0.3">
      <c r="A314" s="26" t="str">
        <f>'БазНорм (обр)'!A302</f>
        <v>Лопата совковая с черенком</v>
      </c>
      <c r="B314" s="27" t="str">
        <f>'БазНорм (обр)'!B302</f>
        <v>шт.</v>
      </c>
      <c r="C314" s="52">
        <f>'БазНорм (обр)'!C302</f>
        <v>0</v>
      </c>
      <c r="D314" s="181"/>
    </row>
    <row r="315" spans="1:4" ht="25.5" customHeight="1" outlineLevel="3" x14ac:dyDescent="0.3">
      <c r="A315" s="26" t="str">
        <f>'БазНорм (обр)'!A303</f>
        <v>Лопата штыковая с черенком</v>
      </c>
      <c r="B315" s="27" t="str">
        <f>'БазНорм (обр)'!B303</f>
        <v>шт.</v>
      </c>
      <c r="C315" s="52">
        <f>'БазНорм (обр)'!C303</f>
        <v>0</v>
      </c>
      <c r="D315" s="181"/>
    </row>
    <row r="316" spans="1:4" ht="25.5" customHeight="1" outlineLevel="3" x14ac:dyDescent="0.3">
      <c r="A316" s="26" t="str">
        <f>'БазНорм (обр)'!A304</f>
        <v>Мешок п/п зеленый</v>
      </c>
      <c r="B316" s="27" t="str">
        <f>'БазНорм (обр)'!B304</f>
        <v>шт.</v>
      </c>
      <c r="C316" s="52">
        <f>'БазНорм (обр)'!C304</f>
        <v>0</v>
      </c>
      <c r="D316" s="181"/>
    </row>
    <row r="317" spans="1:4" ht="25.5" customHeight="1" outlineLevel="3" x14ac:dyDescent="0.3">
      <c r="A317" s="26" t="str">
        <f>'БазНорм (обр)'!A305</f>
        <v>Насадка на швабру</v>
      </c>
      <c r="B317" s="27" t="str">
        <f>'БазНорм (обр)'!B305</f>
        <v>шт.</v>
      </c>
      <c r="C317" s="52">
        <f>'БазНорм (обр)'!C305</f>
        <v>0</v>
      </c>
      <c r="D317" s="181"/>
    </row>
    <row r="318" spans="1:4" ht="25.5" customHeight="1" outlineLevel="3" x14ac:dyDescent="0.3">
      <c r="A318" s="26" t="str">
        <f>'БазНорм (обр)'!A306</f>
        <v>Швабра для пола</v>
      </c>
      <c r="B318" s="27" t="str">
        <f>'БазНорм (обр)'!B306</f>
        <v>шт.</v>
      </c>
      <c r="C318" s="52">
        <f>'БазНорм (обр)'!C306</f>
        <v>0</v>
      </c>
      <c r="D318" s="181"/>
    </row>
    <row r="319" spans="1:4" ht="25.5" customHeight="1" outlineLevel="3" x14ac:dyDescent="0.3">
      <c r="A319" s="26" t="str">
        <f>'БазНорм (обр)'!A307</f>
        <v>Веник пластик</v>
      </c>
      <c r="B319" s="27" t="str">
        <f>'БазНорм (обр)'!B307</f>
        <v>шт.</v>
      </c>
      <c r="C319" s="52">
        <f>'БазНорм (обр)'!C307</f>
        <v>0</v>
      </c>
      <c r="D319" s="181"/>
    </row>
    <row r="320" spans="1:4" ht="25.5" customHeight="1" outlineLevel="3" x14ac:dyDescent="0.3">
      <c r="A320" s="26" t="str">
        <f>'БазНорм (обр)'!A308</f>
        <v>Пакеты для мусора 120 л черные</v>
      </c>
      <c r="B320" s="27" t="str">
        <f>'БазНорм (обр)'!B308</f>
        <v>шт.</v>
      </c>
      <c r="C320" s="52">
        <f>'БазНорм (обр)'!C308</f>
        <v>0</v>
      </c>
      <c r="D320" s="181"/>
    </row>
    <row r="321" spans="1:4" ht="25.5" customHeight="1" outlineLevel="3" x14ac:dyDescent="0.3">
      <c r="A321" s="26" t="str">
        <f>'БазНорм (обр)'!A309</f>
        <v>Пакеты для мусора 30л.*50 шт.</v>
      </c>
      <c r="B321" s="27" t="str">
        <f>'БазНорм (обр)'!B309</f>
        <v>ролик</v>
      </c>
      <c r="C321" s="52">
        <f>'БазНорм (обр)'!C309</f>
        <v>0</v>
      </c>
      <c r="D321" s="181"/>
    </row>
    <row r="322" spans="1:4" ht="25.5" customHeight="1" outlineLevel="3" x14ac:dyDescent="0.3">
      <c r="A322" s="26" t="str">
        <f>'БазНорм (обр)'!A310</f>
        <v>Пакеты для мусора 120 л. *10 шт.</v>
      </c>
      <c r="B322" s="27" t="str">
        <f>'БазНорм (обр)'!B310</f>
        <v>ролик</v>
      </c>
      <c r="C322" s="52">
        <f>'БазНорм (обр)'!C310</f>
        <v>0</v>
      </c>
      <c r="D322" s="181"/>
    </row>
    <row r="323" spans="1:4" ht="25.5" customHeight="1" outlineLevel="3" x14ac:dyDescent="0.3">
      <c r="A323" s="26" t="str">
        <f>'БазНорм (обр)'!A311</f>
        <v>Перчатки латексные</v>
      </c>
      <c r="B323" s="27" t="str">
        <f>'БазНорм (обр)'!B311</f>
        <v>пар.</v>
      </c>
      <c r="C323" s="52">
        <f>'БазНорм (обр)'!C311</f>
        <v>0</v>
      </c>
      <c r="D323" s="181"/>
    </row>
    <row r="324" spans="1:4" ht="25.5" customHeight="1" outlineLevel="3" x14ac:dyDescent="0.3">
      <c r="A324" s="26" t="str">
        <f>'БазНорм (обр)'!A312</f>
        <v>Перчатки резиновые НЭП</v>
      </c>
      <c r="B324" s="27" t="str">
        <f>'БазНорм (обр)'!B312</f>
        <v>пар.</v>
      </c>
      <c r="C324" s="52">
        <f>'БазНорм (обр)'!C312</f>
        <v>0</v>
      </c>
      <c r="D324" s="181"/>
    </row>
    <row r="325" spans="1:4" ht="25.5" customHeight="1" outlineLevel="3" x14ac:dyDescent="0.3">
      <c r="A325" s="26" t="str">
        <f>'БазНорм (обр)'!A313</f>
        <v>Перчатки ХБ ПВХ</v>
      </c>
      <c r="B325" s="27" t="str">
        <f>'БазНорм (обр)'!B313</f>
        <v>пар.</v>
      </c>
      <c r="C325" s="52">
        <f>'БазНорм (обр)'!C313</f>
        <v>0</v>
      </c>
      <c r="D325" s="181"/>
    </row>
    <row r="326" spans="1:4" ht="25.5" customHeight="1" outlineLevel="3" x14ac:dyDescent="0.3">
      <c r="A326" s="26" t="str">
        <f>'БазНорм (обр)'!A314</f>
        <v>Полотно вафельное</v>
      </c>
      <c r="B326" s="27" t="str">
        <f>'БазНорм (обр)'!B314</f>
        <v>шт.</v>
      </c>
      <c r="C326" s="52">
        <f>'БазНорм (обр)'!C314</f>
        <v>0</v>
      </c>
      <c r="D326" s="181"/>
    </row>
    <row r="327" spans="1:4" ht="25.5" customHeight="1" outlineLevel="3" x14ac:dyDescent="0.3">
      <c r="A327" s="26" t="str">
        <f>'БазНорм (обр)'!A315</f>
        <v>Полотенечная ткань</v>
      </c>
      <c r="B327" s="27" t="str">
        <f>'БазНорм (обр)'!B315</f>
        <v>м</v>
      </c>
      <c r="C327" s="52">
        <f>'БазНорм (обр)'!C315</f>
        <v>0</v>
      </c>
      <c r="D327" s="181"/>
    </row>
    <row r="328" spans="1:4" ht="25.5" customHeight="1" outlineLevel="3" x14ac:dyDescent="0.3">
      <c r="A328" s="26" t="str">
        <f>'БазНорм (обр)'!A316</f>
        <v>Полотно для мытья пола</v>
      </c>
      <c r="B328" s="27" t="str">
        <f>'БазНорм (обр)'!B316</f>
        <v>шт.</v>
      </c>
      <c r="C328" s="52">
        <f>'БазНорм (обр)'!C316</f>
        <v>0</v>
      </c>
      <c r="D328" s="181"/>
    </row>
    <row r="329" spans="1:4" ht="25.5" customHeight="1" outlineLevel="3" x14ac:dyDescent="0.3">
      <c r="A329" s="26" t="str">
        <f>'БазНорм (обр)'!A317</f>
        <v>Швабра отжим. губ с ведром</v>
      </c>
      <c r="B329" s="27" t="str">
        <f>'БазНорм (обр)'!B317</f>
        <v>шт.</v>
      </c>
      <c r="C329" s="52">
        <f>'БазНорм (обр)'!C317</f>
        <v>0</v>
      </c>
      <c r="D329" s="181"/>
    </row>
    <row r="330" spans="1:4" ht="25.5" customHeight="1" outlineLevel="3" x14ac:dyDescent="0.3">
      <c r="A330" s="26" t="str">
        <f>'БазНорм (обр)'!A318</f>
        <v>Перфоратор аккумуляторный</v>
      </c>
      <c r="B330" s="27" t="str">
        <f>'БазНорм (обр)'!B318</f>
        <v>шт.</v>
      </c>
      <c r="C330" s="52">
        <f>'БазНорм (обр)'!C318</f>
        <v>0</v>
      </c>
      <c r="D330" s="181"/>
    </row>
    <row r="331" spans="1:4" ht="25.5" customHeight="1" outlineLevel="3" x14ac:dyDescent="0.3">
      <c r="A331" s="26" t="str">
        <f>'БазНорм (обр)'!A319</f>
        <v>Бензиновый триммер</v>
      </c>
      <c r="B331" s="27" t="str">
        <f>'БазНорм (обр)'!B319</f>
        <v>шт.</v>
      </c>
      <c r="C331" s="52">
        <f>'БазНорм (обр)'!C319</f>
        <v>0</v>
      </c>
      <c r="D331" s="181"/>
    </row>
    <row r="332" spans="1:4" ht="25.5" customHeight="1" outlineLevel="3" x14ac:dyDescent="0.3">
      <c r="A332" s="26" t="str">
        <f>'БазНорм (обр)'!A320</f>
        <v xml:space="preserve">Рубанок HAMMER </v>
      </c>
      <c r="B332" s="27" t="str">
        <f>'БазНорм (обр)'!B320</f>
        <v>шт.</v>
      </c>
      <c r="C332" s="52">
        <f>'БазНорм (обр)'!C320</f>
        <v>0</v>
      </c>
      <c r="D332" s="181"/>
    </row>
    <row r="333" spans="1:4" ht="25.5" customHeight="1" outlineLevel="3" x14ac:dyDescent="0.3">
      <c r="A333" s="26" t="str">
        <f>'БазНорм (обр)'!A321</f>
        <v>Пила циркулярная HAMMER</v>
      </c>
      <c r="B333" s="27" t="str">
        <f>'БазНорм (обр)'!B321</f>
        <v>шт.</v>
      </c>
      <c r="C333" s="52">
        <f>'БазНорм (обр)'!C321</f>
        <v>0</v>
      </c>
      <c r="D333" s="181"/>
    </row>
    <row r="334" spans="1:4" ht="25.5" customHeight="1" outlineLevel="3" x14ac:dyDescent="0.3">
      <c r="A334" s="26" t="str">
        <f>'БазНорм (обр)'!A322</f>
        <v>Точило HAMMER</v>
      </c>
      <c r="B334" s="27" t="str">
        <f>'БазНорм (обр)'!B322</f>
        <v>шт.</v>
      </c>
      <c r="C334" s="52">
        <f>'БазНорм (обр)'!C322</f>
        <v>0</v>
      </c>
      <c r="D334" s="181"/>
    </row>
    <row r="335" spans="1:4" ht="25.5" customHeight="1" outlineLevel="3" x14ac:dyDescent="0.3">
      <c r="A335" s="26" t="str">
        <f>'БазНорм (обр)'!A323</f>
        <v>Набор сверл по металлу от 1 до 10(19шт)</v>
      </c>
      <c r="B335" s="27" t="str">
        <f>'БазНорм (обр)'!B323</f>
        <v>шт.</v>
      </c>
      <c r="C335" s="52">
        <f>'БазНорм (обр)'!C323</f>
        <v>0</v>
      </c>
      <c r="D335" s="181"/>
    </row>
    <row r="336" spans="1:4" ht="25.5" customHeight="1" outlineLevel="3" x14ac:dyDescent="0.3">
      <c r="A336" s="26" t="str">
        <f>'БазНорм (обр)'!A324</f>
        <v>Тряпкодержатель с салфеткой для пола усиленный</v>
      </c>
      <c r="B336" s="27" t="str">
        <f>'БазНорм (обр)'!B324</f>
        <v>шт.</v>
      </c>
      <c r="C336" s="52">
        <f>'БазНорм (обр)'!C324</f>
        <v>0</v>
      </c>
      <c r="D336" s="181"/>
    </row>
    <row r="337" spans="1:4" ht="25.5" customHeight="1" outlineLevel="3" x14ac:dyDescent="0.3">
      <c r="A337" s="26" t="str">
        <f>'БазНорм (обр)'!A325</f>
        <v>Замки навесные маленькие</v>
      </c>
      <c r="B337" s="27" t="str">
        <f>'БазНорм (обр)'!B325</f>
        <v>шт.</v>
      </c>
      <c r="C337" s="52">
        <f>'БазНорм (обр)'!C325</f>
        <v>0</v>
      </c>
      <c r="D337" s="181"/>
    </row>
    <row r="338" spans="1:4" ht="25.5" customHeight="1" outlineLevel="3" x14ac:dyDescent="0.3">
      <c r="A338" s="26" t="str">
        <f>'БазНорм (обр)'!A326</f>
        <v>Замки навесные большие</v>
      </c>
      <c r="B338" s="27" t="str">
        <f>'БазНорм (обр)'!B326</f>
        <v>шт.</v>
      </c>
      <c r="C338" s="52">
        <f>'БазНорм (обр)'!C326</f>
        <v>0</v>
      </c>
      <c r="D338" s="181"/>
    </row>
    <row r="339" spans="1:4" ht="25.5" customHeight="1" outlineLevel="3" x14ac:dyDescent="0.3">
      <c r="A339" s="26" t="str">
        <f>'БазНорм (обр)'!A327</f>
        <v>Знаки вспомогательные</v>
      </c>
      <c r="B339" s="27" t="str">
        <f>'БазНорм (обр)'!B327</f>
        <v>шт.</v>
      </c>
      <c r="C339" s="52">
        <f>'БазНорм (обр)'!C327</f>
        <v>0</v>
      </c>
      <c r="D339" s="181"/>
    </row>
    <row r="340" spans="1:4" ht="25.5" customHeight="1" outlineLevel="3" x14ac:dyDescent="0.3">
      <c r="A340" s="26" t="str">
        <f>'БазНорм (обр)'!A328</f>
        <v>Знаки эвакуационные</v>
      </c>
      <c r="B340" s="27" t="str">
        <f>'БазНорм (обр)'!B328</f>
        <v>шт.</v>
      </c>
      <c r="C340" s="52">
        <f>'БазНорм (обр)'!C328</f>
        <v>0</v>
      </c>
      <c r="D340" s="181"/>
    </row>
    <row r="341" spans="1:4" ht="25.5" customHeight="1" outlineLevel="3" x14ac:dyDescent="0.3">
      <c r="A341" s="26" t="str">
        <f>'БазНорм (обр)'!A329</f>
        <v>Бумага туалетная</v>
      </c>
      <c r="B341" s="27" t="str">
        <f>'БазНорм (обр)'!B329</f>
        <v>рулон</v>
      </c>
      <c r="C341" s="52">
        <f>'БазНорм (обр)'!C329</f>
        <v>0</v>
      </c>
      <c r="D341" s="181"/>
    </row>
    <row r="342" spans="1:4" ht="25.5" customHeight="1" outlineLevel="3" x14ac:dyDescent="0.3">
      <c r="A342" s="26" t="str">
        <f>'БазНорм (обр)'!A330</f>
        <v>Бумажные полотенца 2 шт.</v>
      </c>
      <c r="B342" s="27" t="str">
        <f>'БазНорм (обр)'!B330</f>
        <v>упак.</v>
      </c>
      <c r="C342" s="52">
        <f>'БазНорм (обр)'!C330</f>
        <v>0</v>
      </c>
      <c r="D342" s="181"/>
    </row>
    <row r="343" spans="1:4" ht="25.5" customHeight="1" outlineLevel="3" x14ac:dyDescent="0.3">
      <c r="A343" s="26" t="str">
        <f>'БазНорм (обр)'!A331</f>
        <v>Салфетки</v>
      </c>
      <c r="B343" s="27" t="str">
        <f>'БазНорм (обр)'!B331</f>
        <v>пач.</v>
      </c>
      <c r="C343" s="52">
        <f>'БазНорм (обр)'!C331</f>
        <v>0</v>
      </c>
      <c r="D343" s="181"/>
    </row>
    <row r="344" spans="1:4" ht="25.5" customHeight="1" outlineLevel="3" x14ac:dyDescent="0.3">
      <c r="A344" s="26" t="str">
        <f>'БазНорм (обр)'!A332</f>
        <v>Салфетки из микрофибры</v>
      </c>
      <c r="B344" s="27" t="str">
        <f>'БазНорм (обр)'!B332</f>
        <v>пач.</v>
      </c>
      <c r="C344" s="52">
        <f>'БазНорм (обр)'!C332</f>
        <v>0</v>
      </c>
      <c r="D344" s="181"/>
    </row>
    <row r="345" spans="1:4" ht="25.5" customHeight="1" outlineLevel="3" x14ac:dyDescent="0.3">
      <c r="A345" s="26" t="str">
        <f>'БазНорм (обр)'!A333</f>
        <v>Платочки бумажные</v>
      </c>
      <c r="B345" s="27" t="str">
        <f>'БазНорм (обр)'!B333</f>
        <v>упак.</v>
      </c>
      <c r="C345" s="52">
        <f>'БазНорм (обр)'!C333</f>
        <v>0</v>
      </c>
      <c r="D345" s="181"/>
    </row>
    <row r="346" spans="1:4" x14ac:dyDescent="0.3">
      <c r="A346" s="8"/>
    </row>
    <row r="347" spans="1:4" ht="37.5" customHeight="1" x14ac:dyDescent="0.3">
      <c r="A347" s="8" t="s">
        <v>91</v>
      </c>
      <c r="B347" s="58"/>
      <c r="C347" s="58"/>
    </row>
    <row r="348" spans="1:4" ht="17.25" customHeight="1" x14ac:dyDescent="0.3">
      <c r="A348" s="188" t="s">
        <v>92</v>
      </c>
      <c r="B348" s="188"/>
      <c r="C348" s="188"/>
      <c r="D348" s="188"/>
    </row>
    <row r="349" spans="1:4" ht="44.25" customHeight="1" x14ac:dyDescent="0.3">
      <c r="A349" s="188" t="s">
        <v>93</v>
      </c>
      <c r="B349" s="188"/>
      <c r="C349" s="188"/>
      <c r="D349" s="188"/>
    </row>
    <row r="350" spans="1:4" ht="42.75" customHeight="1" x14ac:dyDescent="0.3">
      <c r="A350" s="188" t="s">
        <v>93</v>
      </c>
      <c r="B350" s="188"/>
      <c r="C350" s="188"/>
      <c r="D350" s="188"/>
    </row>
    <row r="351" spans="1:4" ht="19.899999999999999" customHeight="1" x14ac:dyDescent="0.3">
      <c r="A351" s="188" t="s">
        <v>94</v>
      </c>
      <c r="B351" s="188"/>
      <c r="C351" s="188"/>
      <c r="D351" s="188"/>
    </row>
    <row r="352" spans="1:4" ht="36.65" customHeight="1" x14ac:dyDescent="0.3">
      <c r="A352" s="188" t="s">
        <v>95</v>
      </c>
      <c r="B352" s="188"/>
      <c r="C352" s="188"/>
      <c r="D352" s="188"/>
    </row>
  </sheetData>
  <mergeCells count="31">
    <mergeCell ref="A19:D19"/>
    <mergeCell ref="A91:D91"/>
    <mergeCell ref="A352:D352"/>
    <mergeCell ref="A351:D351"/>
    <mergeCell ref="A220:D220"/>
    <mergeCell ref="A350:D350"/>
    <mergeCell ref="A349:D349"/>
    <mergeCell ref="A348:D348"/>
    <mergeCell ref="D221:D345"/>
    <mergeCell ref="A216:D216"/>
    <mergeCell ref="D177:D205"/>
    <mergeCell ref="D209:D211"/>
    <mergeCell ref="A206:D206"/>
    <mergeCell ref="A208:D208"/>
    <mergeCell ref="A176:D176"/>
    <mergeCell ref="A212:D212"/>
    <mergeCell ref="D20:D90"/>
    <mergeCell ref="A4:D4"/>
    <mergeCell ref="A5:D5"/>
    <mergeCell ref="A6:D6"/>
    <mergeCell ref="A7:D7"/>
    <mergeCell ref="A16:D16"/>
    <mergeCell ref="A15:D15"/>
    <mergeCell ref="A11:D11"/>
    <mergeCell ref="A12:D12"/>
    <mergeCell ref="A13:D13"/>
    <mergeCell ref="A14:D14"/>
    <mergeCell ref="D168:D175"/>
    <mergeCell ref="D92:D165"/>
    <mergeCell ref="A167:D167"/>
    <mergeCell ref="A166:D166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342"/>
  <sheetViews>
    <sheetView view="pageBreakPreview" zoomScale="85" zoomScaleNormal="100" zoomScaleSheetLayoutView="85" workbookViewId="0">
      <pane ySplit="8" topLeftCell="A9" activePane="bottomLeft" state="frozen"/>
      <selection activeCell="E162" activeCellId="1" sqref="E15:E87 E162"/>
      <selection pane="bottomLeft" activeCell="A341" sqref="A341"/>
    </sheetView>
  </sheetViews>
  <sheetFormatPr defaultColWidth="9.1796875" defaultRowHeight="13" outlineLevelRow="3" x14ac:dyDescent="0.3"/>
  <cols>
    <col min="1" max="6" width="25.7265625" style="53" customWidth="1"/>
    <col min="7" max="16384" width="9.1796875" style="53"/>
  </cols>
  <sheetData>
    <row r="1" spans="1:6" x14ac:dyDescent="0.3">
      <c r="A1" s="74"/>
      <c r="F1" s="54" t="s">
        <v>96</v>
      </c>
    </row>
    <row r="2" spans="1:6" ht="14.5" customHeight="1" x14ac:dyDescent="0.3">
      <c r="A2" s="74"/>
      <c r="F2" s="55" t="s">
        <v>97</v>
      </c>
    </row>
    <row r="3" spans="1:6" x14ac:dyDescent="0.3">
      <c r="A3" s="8"/>
    </row>
    <row r="4" spans="1:6" x14ac:dyDescent="0.3">
      <c r="A4" s="182" t="s">
        <v>98</v>
      </c>
      <c r="B4" s="182"/>
      <c r="C4" s="182"/>
      <c r="D4" s="182"/>
      <c r="E4" s="182"/>
      <c r="F4" s="182"/>
    </row>
    <row r="5" spans="1:6" x14ac:dyDescent="0.3">
      <c r="A5" s="182" t="s">
        <v>99</v>
      </c>
      <c r="B5" s="182"/>
      <c r="C5" s="182"/>
      <c r="D5" s="182"/>
      <c r="E5" s="182"/>
      <c r="F5" s="182"/>
    </row>
    <row r="6" spans="1:6" x14ac:dyDescent="0.3">
      <c r="A6" s="8"/>
    </row>
    <row r="7" spans="1:6" ht="26" x14ac:dyDescent="0.3">
      <c r="A7" s="72" t="s">
        <v>0</v>
      </c>
      <c r="B7" s="72" t="s">
        <v>58</v>
      </c>
      <c r="C7" s="72" t="s">
        <v>60</v>
      </c>
      <c r="D7" s="72" t="s">
        <v>61</v>
      </c>
      <c r="E7" s="72" t="s">
        <v>62</v>
      </c>
      <c r="F7" s="72" t="s">
        <v>100</v>
      </c>
    </row>
    <row r="8" spans="1:6" x14ac:dyDescent="0.3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</row>
    <row r="9" spans="1:6" ht="28.9" customHeight="1" x14ac:dyDescent="0.3">
      <c r="A9" s="189" t="s">
        <v>522</v>
      </c>
      <c r="B9" s="189"/>
      <c r="C9" s="189"/>
      <c r="D9" s="189"/>
      <c r="E9" s="189"/>
      <c r="F9" s="189"/>
    </row>
    <row r="10" spans="1:6" ht="28.9" customHeight="1" x14ac:dyDescent="0.3">
      <c r="A10" s="190" t="s">
        <v>544</v>
      </c>
      <c r="B10" s="190"/>
      <c r="C10" s="190"/>
      <c r="D10" s="190"/>
      <c r="E10" s="190"/>
      <c r="F10" s="190"/>
    </row>
    <row r="11" spans="1:6" ht="30" customHeight="1" x14ac:dyDescent="0.3">
      <c r="A11" s="183" t="s">
        <v>4</v>
      </c>
      <c r="B11" s="183"/>
      <c r="C11" s="183"/>
      <c r="D11" s="183"/>
      <c r="E11" s="73">
        <f>E12+E15+E87</f>
        <v>2138.5390911640225</v>
      </c>
      <c r="F11" s="191" t="s">
        <v>135</v>
      </c>
    </row>
    <row r="12" spans="1:6" ht="30" customHeight="1" outlineLevel="1" x14ac:dyDescent="0.3">
      <c r="A12" s="183" t="s">
        <v>5</v>
      </c>
      <c r="B12" s="183"/>
      <c r="C12" s="183"/>
      <c r="D12" s="183"/>
      <c r="E12" s="68">
        <f>SUM(E13:E14)</f>
        <v>776.36324496288444</v>
      </c>
      <c r="F12" s="192"/>
    </row>
    <row r="13" spans="1:6" outlineLevel="2" x14ac:dyDescent="0.3">
      <c r="A13" s="131" t="str">
        <f>'БазНорм (обр)'!A5</f>
        <v>Педагогический персонал</v>
      </c>
      <c r="B13" s="64">
        <f>'БазНорм (обр)'!C5</f>
        <v>5.5493107104984091E-2</v>
      </c>
      <c r="C13" s="68">
        <f>'БазНорм (обр)'!J5</f>
        <v>1</v>
      </c>
      <c r="D13" s="68">
        <f>'БазНорм (обр)'!K5</f>
        <v>13990.264475444297</v>
      </c>
      <c r="E13" s="68">
        <f>B13/C13*D13</f>
        <v>776.36324496288444</v>
      </c>
      <c r="F13" s="192"/>
    </row>
    <row r="14" spans="1:6" outlineLevel="2" x14ac:dyDescent="0.3">
      <c r="A14" s="57"/>
      <c r="B14" s="57"/>
      <c r="C14" s="57"/>
      <c r="D14" s="57"/>
      <c r="E14" s="56"/>
      <c r="F14" s="192"/>
    </row>
    <row r="15" spans="1:6" ht="45" customHeight="1" outlineLevel="1" x14ac:dyDescent="0.3">
      <c r="A15" s="183" t="s">
        <v>6</v>
      </c>
      <c r="B15" s="183"/>
      <c r="C15" s="183"/>
      <c r="D15" s="183"/>
      <c r="E15" s="73">
        <f>E16+E67+E85+E86</f>
        <v>146.27071580042409</v>
      </c>
      <c r="F15" s="192"/>
    </row>
    <row r="16" spans="1:6" s="75" customFormat="1" outlineLevel="2" x14ac:dyDescent="0.3">
      <c r="A16" s="33" t="s">
        <v>56</v>
      </c>
      <c r="B16" s="34" t="s">
        <v>3</v>
      </c>
      <c r="C16" s="61" t="s">
        <v>3</v>
      </c>
      <c r="D16" s="122" t="s">
        <v>3</v>
      </c>
      <c r="E16" s="123">
        <f>SUM(E17:E66)</f>
        <v>122.15476333373341</v>
      </c>
      <c r="F16" s="192"/>
    </row>
    <row r="17" spans="1:10" s="75" customFormat="1" ht="39" outlineLevel="3" x14ac:dyDescent="0.3">
      <c r="A17" s="26" t="str">
        <f>'БазНорм (обр)'!A9</f>
        <v xml:space="preserve">Журнал: Воспитание школьников и духовно-нравственное воспитание </v>
      </c>
      <c r="B17" s="52">
        <f>'БазНорм (обр)'!C9</f>
        <v>2.4006721882126993E-3</v>
      </c>
      <c r="C17" s="61">
        <f>'БазНорм (обр)'!J9</f>
        <v>1</v>
      </c>
      <c r="D17" s="122">
        <f>'БазНорм (обр)'!K9</f>
        <v>9669.8700000000008</v>
      </c>
      <c r="E17" s="122">
        <f>B17/C17*D17</f>
        <v>23.214187972632338</v>
      </c>
      <c r="F17" s="192"/>
      <c r="G17" s="53">
        <f>E17*943-'БазНорм (обр)'!T9*'БазНорм (обр)'!$T$2</f>
        <v>-20621302.461217143</v>
      </c>
      <c r="J17" s="75">
        <f>943*E17</f>
        <v>21890.979258192296</v>
      </c>
    </row>
    <row r="18" spans="1:10" s="75" customFormat="1" ht="26" outlineLevel="3" x14ac:dyDescent="0.3">
      <c r="A18" s="26" t="str">
        <f>'БазНорм (обр)'!A10</f>
        <v>Инновационные проекты и программы в оьразовании</v>
      </c>
      <c r="B18" s="52">
        <f>'БазНорм (обр)'!C10</f>
        <v>2.4006721882126993E-3</v>
      </c>
      <c r="C18" s="61">
        <f>'БазНорм (обр)'!J10</f>
        <v>1</v>
      </c>
      <c r="D18" s="122">
        <f>'БазНорм (обр)'!K10</f>
        <v>1732.6000000000001</v>
      </c>
      <c r="E18" s="122">
        <f t="shared" ref="E18:E81" si="0">B18/C18*D18</f>
        <v>4.1594046332973234</v>
      </c>
      <c r="F18" s="192"/>
    </row>
    <row r="19" spans="1:10" s="75" customFormat="1" ht="26" outlineLevel="3" x14ac:dyDescent="0.3">
      <c r="A19" s="26" t="str">
        <f>'БазНорм (обр)'!A11</f>
        <v>Журнал: Льготный комплект "Эксперт"</v>
      </c>
      <c r="B19" s="52">
        <f>'БазНорм (обр)'!C11</f>
        <v>2.4006721882126993E-3</v>
      </c>
      <c r="C19" s="61">
        <f>'БазНорм (обр)'!J11</f>
        <v>1</v>
      </c>
      <c r="D19" s="122">
        <f>'БазНорм (обр)'!K11</f>
        <v>12040.93</v>
      </c>
      <c r="E19" s="122">
        <f t="shared" si="0"/>
        <v>28.906325771215936</v>
      </c>
      <c r="F19" s="192"/>
    </row>
    <row r="20" spans="1:10" s="75" customFormat="1" outlineLevel="3" x14ac:dyDescent="0.3">
      <c r="A20" s="26" t="str">
        <f>'БазНорм (обр)'!A12</f>
        <v>Журнал: Профильная школа</v>
      </c>
      <c r="B20" s="52">
        <f>'БазНорм (обр)'!C12</f>
        <v>2.4006721882126993E-3</v>
      </c>
      <c r="C20" s="61">
        <f>'БазНорм (обр)'!J12</f>
        <v>1</v>
      </c>
      <c r="D20" s="122">
        <f>'БазНорм (обр)'!K12</f>
        <v>2385.61</v>
      </c>
      <c r="E20" s="122">
        <f t="shared" si="0"/>
        <v>5.7270675789220977</v>
      </c>
      <c r="F20" s="192"/>
    </row>
    <row r="21" spans="1:10" s="75" customFormat="1" ht="26" outlineLevel="3" x14ac:dyDescent="0.3">
      <c r="A21" s="26" t="str">
        <f>'БазНорм (обр)'!A13</f>
        <v xml:space="preserve">Журнал: Путешествие на зеленый свет </v>
      </c>
      <c r="B21" s="52">
        <f>'БазНорм (обр)'!C13</f>
        <v>1.2003360941063496E-3</v>
      </c>
      <c r="C21" s="61">
        <f>'БазНорм (обр)'!J13</f>
        <v>1</v>
      </c>
      <c r="D21" s="122">
        <f>'БазНорм (обр)'!K13</f>
        <v>2401.4900000000002</v>
      </c>
      <c r="E21" s="122">
        <f t="shared" si="0"/>
        <v>2.8825951266354579</v>
      </c>
      <c r="F21" s="192"/>
    </row>
    <row r="22" spans="1:10" s="75" customFormat="1" ht="52" outlineLevel="3" x14ac:dyDescent="0.3">
      <c r="A22" s="26" t="str">
        <f>'БазНорм (обр)'!A14</f>
        <v>Журнал: Школа управления образовательным учреждением. опыт. практика. лучшие рещения (+CD)</v>
      </c>
      <c r="B22" s="52">
        <f>'БазНорм (обр)'!C14</f>
        <v>2.4006721882126993E-3</v>
      </c>
      <c r="C22" s="61">
        <f>'БазНорм (обр)'!J14</f>
        <v>1</v>
      </c>
      <c r="D22" s="122">
        <f>'БазНорм (обр)'!K14</f>
        <v>5662.5</v>
      </c>
      <c r="E22" s="122">
        <f t="shared" si="0"/>
        <v>13.593806265754409</v>
      </c>
      <c r="F22" s="192"/>
    </row>
    <row r="23" spans="1:10" s="75" customFormat="1" outlineLevel="3" x14ac:dyDescent="0.3">
      <c r="A23" s="26" t="str">
        <f>'БазНорм (обр)'!A15</f>
        <v>Журнал: Вестник образования</v>
      </c>
      <c r="B23" s="52">
        <f>'БазНорм (обр)'!C15</f>
        <v>1.2003360941063496E-3</v>
      </c>
      <c r="C23" s="61">
        <f>'БазНорм (обр)'!J15</f>
        <v>1</v>
      </c>
      <c r="D23" s="122">
        <f>'БазНорм (обр)'!K15</f>
        <v>1220.5233333333333</v>
      </c>
      <c r="E23" s="122">
        <f t="shared" si="0"/>
        <v>1.4650382106989954</v>
      </c>
      <c r="F23" s="192"/>
    </row>
    <row r="24" spans="1:10" s="75" customFormat="1" outlineLevel="3" x14ac:dyDescent="0.3">
      <c r="A24" s="26" t="str">
        <f>'БазНорм (обр)'!A16</f>
        <v>Учительская газета</v>
      </c>
      <c r="B24" s="52">
        <f>'БазНорм (обр)'!C16</f>
        <v>1.2003360941063496E-3</v>
      </c>
      <c r="C24" s="61">
        <f>'БазНорм (обр)'!J16</f>
        <v>1</v>
      </c>
      <c r="D24" s="122">
        <f>'БазНорм (обр)'!K16</f>
        <v>2217.91</v>
      </c>
      <c r="E24" s="122">
        <f t="shared" si="0"/>
        <v>2.6622374264794137</v>
      </c>
      <c r="F24" s="192"/>
    </row>
    <row r="25" spans="1:10" s="75" customFormat="1" ht="26" outlineLevel="3" x14ac:dyDescent="0.3">
      <c r="A25" s="26" t="str">
        <f>'БазНорм (обр)'!A17</f>
        <v>Журнал: Управление современной школой. завуч.</v>
      </c>
      <c r="B25" s="52">
        <f>'БазНорм (обр)'!C17</f>
        <v>1.2003360941063496E-3</v>
      </c>
      <c r="C25" s="61">
        <f>'БазНорм (обр)'!J17</f>
        <v>1</v>
      </c>
      <c r="D25" s="122">
        <f>'БазНорм (обр)'!K17</f>
        <v>2938.6333333333332</v>
      </c>
      <c r="E25" s="122">
        <f t="shared" si="0"/>
        <v>3.5273476573440559</v>
      </c>
      <c r="F25" s="192"/>
    </row>
    <row r="26" spans="1:10" s="75" customFormat="1" ht="39" outlineLevel="3" x14ac:dyDescent="0.3">
      <c r="A26" s="26" t="str">
        <f>'БазНорм (обр)'!A18</f>
        <v>Журнал: Управление образовательным учреждением в вопросах и ответах</v>
      </c>
      <c r="B26" s="52">
        <f>'БазНорм (обр)'!C18</f>
        <v>1.2003360941063496E-3</v>
      </c>
      <c r="C26" s="61">
        <f>'БазНорм (обр)'!J18</f>
        <v>1</v>
      </c>
      <c r="D26" s="122">
        <f>'БазНорм (обр)'!K18</f>
        <v>5111.956666666666</v>
      </c>
      <c r="E26" s="122">
        <f t="shared" si="0"/>
        <v>6.1360660985075803</v>
      </c>
      <c r="F26" s="192"/>
    </row>
    <row r="27" spans="1:10" s="75" customFormat="1" outlineLevel="3" x14ac:dyDescent="0.3">
      <c r="A27" s="26" t="str">
        <f>'БазНорм (обр)'!A19</f>
        <v>Журнал: Лучик</v>
      </c>
      <c r="B27" s="52">
        <f>'БазНорм (обр)'!C19</f>
        <v>1.2003360941063496E-3</v>
      </c>
      <c r="C27" s="61">
        <f>'БазНорм (обр)'!J19</f>
        <v>1</v>
      </c>
      <c r="D27" s="122">
        <f>'БазНорм (обр)'!K19</f>
        <v>2481.1133333333332</v>
      </c>
      <c r="E27" s="122">
        <f t="shared" si="0"/>
        <v>2.9781698875685185</v>
      </c>
      <c r="F27" s="192"/>
    </row>
    <row r="28" spans="1:10" s="75" customFormat="1" outlineLevel="3" x14ac:dyDescent="0.3">
      <c r="A28" s="26" t="str">
        <f>'БазНорм (обр)'!A20</f>
        <v>Журнал: Дефектология</v>
      </c>
      <c r="B28" s="52">
        <f>'БазНорм (обр)'!C20</f>
        <v>0</v>
      </c>
      <c r="C28" s="61">
        <f>'БазНорм (обр)'!J20</f>
        <v>1</v>
      </c>
      <c r="D28" s="122">
        <f>'БазНорм (обр)'!K20</f>
        <v>4152.8633333333337</v>
      </c>
      <c r="E28" s="122">
        <f t="shared" si="0"/>
        <v>0</v>
      </c>
      <c r="F28" s="192"/>
    </row>
    <row r="29" spans="1:10" s="75" customFormat="1" outlineLevel="3" x14ac:dyDescent="0.3">
      <c r="A29" s="26" t="str">
        <f>'БазНорм (обр)'!A21</f>
        <v>Журнал: Лена рукоделия</v>
      </c>
      <c r="B29" s="52">
        <f>'БазНорм (обр)'!C21</f>
        <v>0</v>
      </c>
      <c r="C29" s="61">
        <f>'БазНорм (обр)'!J21</f>
        <v>1</v>
      </c>
      <c r="D29" s="122">
        <f>'БазНорм (обр)'!K21</f>
        <v>650.57000000000005</v>
      </c>
      <c r="E29" s="122">
        <f t="shared" si="0"/>
        <v>0</v>
      </c>
      <c r="F29" s="192"/>
    </row>
    <row r="30" spans="1:10" s="75" customFormat="1" ht="26" outlineLevel="3" x14ac:dyDescent="0.3">
      <c r="A30" s="26" t="str">
        <f>'БазНорм (обр)'!A22</f>
        <v>Нормативные документы образовательного учреждения</v>
      </c>
      <c r="B30" s="52">
        <f>'БазНорм (обр)'!C22</f>
        <v>1.2003360941063496E-3</v>
      </c>
      <c r="C30" s="61">
        <f>'БазНорм (обр)'!J22</f>
        <v>1</v>
      </c>
      <c r="D30" s="122">
        <f>'БазНорм (обр)'!K22</f>
        <v>3898.5533333333333</v>
      </c>
      <c r="E30" s="122">
        <f t="shared" si="0"/>
        <v>4.6795742807986231</v>
      </c>
      <c r="F30" s="192"/>
    </row>
    <row r="31" spans="1:10" s="75" customFormat="1" ht="26" outlineLevel="3" x14ac:dyDescent="0.3">
      <c r="A31" s="26" t="str">
        <f>'БазНорм (обр)'!A23</f>
        <v>Журнал: Практика работы в школе</v>
      </c>
      <c r="B31" s="52">
        <f>'БазНорм (обр)'!C23</f>
        <v>0</v>
      </c>
      <c r="C31" s="61">
        <f>'БазНорм (обр)'!J23</f>
        <v>1</v>
      </c>
      <c r="D31" s="122">
        <f>'БазНорм (обр)'!K23</f>
        <v>2880.0966666666668</v>
      </c>
      <c r="E31" s="122">
        <f t="shared" si="0"/>
        <v>0</v>
      </c>
      <c r="F31" s="192"/>
    </row>
    <row r="32" spans="1:10" s="75" customFormat="1" ht="26" outlineLevel="3" x14ac:dyDescent="0.3">
      <c r="A32" s="26" t="str">
        <f>'БазНорм (обр)'!A24</f>
        <v>Журнал: Профессиональная библиотека</v>
      </c>
      <c r="B32" s="52">
        <f>'БазНорм (обр)'!C24</f>
        <v>0</v>
      </c>
      <c r="C32" s="61">
        <f>'БазНорм (обр)'!J24</f>
        <v>1</v>
      </c>
      <c r="D32" s="122">
        <f>'БазНорм (обр)'!K24</f>
        <v>1519.4233333333334</v>
      </c>
      <c r="E32" s="122">
        <f t="shared" si="0"/>
        <v>0</v>
      </c>
      <c r="F32" s="192"/>
    </row>
    <row r="33" spans="1:6" s="75" customFormat="1" outlineLevel="3" x14ac:dyDescent="0.3">
      <c r="A33" s="26" t="str">
        <f>'БазНорм (обр)'!A25</f>
        <v>Справочник руководителя</v>
      </c>
      <c r="B33" s="52">
        <f>'БазНорм (обр)'!C25</f>
        <v>1.2003360941063496E-3</v>
      </c>
      <c r="C33" s="61">
        <f>'БазНорм (обр)'!J25</f>
        <v>1</v>
      </c>
      <c r="D33" s="122">
        <f>'БазНорм (обр)'!K25</f>
        <v>5374.4366666666665</v>
      </c>
      <c r="E33" s="122">
        <f t="shared" si="0"/>
        <v>6.4511303164886158</v>
      </c>
      <c r="F33" s="192"/>
    </row>
    <row r="34" spans="1:6" s="75" customFormat="1" ht="26" outlineLevel="3" x14ac:dyDescent="0.3">
      <c r="A34" s="26" t="str">
        <f>'БазНорм (обр)'!A26</f>
        <v>Юридический журнал директора школы</v>
      </c>
      <c r="B34" s="52">
        <f>'БазНорм (обр)'!C26</f>
        <v>1.2003360941063496E-3</v>
      </c>
      <c r="C34" s="61">
        <f>'БазНорм (обр)'!J26</f>
        <v>1</v>
      </c>
      <c r="D34" s="122">
        <f>'БазНорм (обр)'!K26</f>
        <v>2784.8700000000003</v>
      </c>
      <c r="E34" s="122">
        <f t="shared" si="0"/>
        <v>3.3427799783939505</v>
      </c>
      <c r="F34" s="192"/>
    </row>
    <row r="35" spans="1:6" s="75" customFormat="1" outlineLevel="3" x14ac:dyDescent="0.3">
      <c r="A35" s="26" t="str">
        <f>'БазНорм (обр)'!A27</f>
        <v xml:space="preserve">Детская энциклопедия </v>
      </c>
      <c r="B35" s="52">
        <f>'БазНорм (обр)'!C27</f>
        <v>0</v>
      </c>
      <c r="C35" s="61">
        <f>'БазНорм (обр)'!J27</f>
        <v>1</v>
      </c>
      <c r="D35" s="122">
        <f>'БазНорм (обр)'!K27</f>
        <v>675.24000000000012</v>
      </c>
      <c r="E35" s="122">
        <f t="shared" si="0"/>
        <v>0</v>
      </c>
      <c r="F35" s="192"/>
    </row>
    <row r="36" spans="1:6" s="75" customFormat="1" ht="26" outlineLevel="3" x14ac:dyDescent="0.3">
      <c r="A36" s="26" t="str">
        <f>'БазНорм (обр)'!A28</f>
        <v>Журнал: Добрая дорога детства</v>
      </c>
      <c r="B36" s="52">
        <f>'БазНорм (обр)'!C28</f>
        <v>0</v>
      </c>
      <c r="C36" s="61">
        <f>'БазНорм (обр)'!J28</f>
        <v>1</v>
      </c>
      <c r="D36" s="122">
        <f>'БазНорм (обр)'!K28</f>
        <v>483.35999999999996</v>
      </c>
      <c r="E36" s="122">
        <f t="shared" si="0"/>
        <v>0</v>
      </c>
      <c r="F36" s="192"/>
    </row>
    <row r="37" spans="1:6" s="75" customFormat="1" ht="26" outlineLevel="3" x14ac:dyDescent="0.3">
      <c r="A37" s="26" t="str">
        <f>'БазНорм (обр)'!A29</f>
        <v>Справочник классного руководителя</v>
      </c>
      <c r="B37" s="52">
        <f>'БазНорм (обр)'!C29</f>
        <v>0</v>
      </c>
      <c r="C37" s="61">
        <f>'БазНорм (обр)'!J29</f>
        <v>1</v>
      </c>
      <c r="D37" s="122">
        <f>'БазНорм (обр)'!K29</f>
        <v>3829.6933333333332</v>
      </c>
      <c r="E37" s="122">
        <f t="shared" si="0"/>
        <v>0</v>
      </c>
      <c r="F37" s="192"/>
    </row>
    <row r="38" spans="1:6" s="75" customFormat="1" ht="26" outlineLevel="3" x14ac:dyDescent="0.3">
      <c r="A38" s="26" t="str">
        <f>'БазНорм (обр)'!A30</f>
        <v>Справочник заместителя директора школы</v>
      </c>
      <c r="B38" s="52">
        <f>'БазНорм (обр)'!C30</f>
        <v>1.2003360941063496E-3</v>
      </c>
      <c r="C38" s="61">
        <f>'БазНорм (обр)'!J30</f>
        <v>1</v>
      </c>
      <c r="D38" s="122">
        <f>'БазНорм (обр)'!K30</f>
        <v>8785.5866666666661</v>
      </c>
      <c r="E38" s="122">
        <f t="shared" si="0"/>
        <v>10.54565678389949</v>
      </c>
      <c r="F38" s="192"/>
    </row>
    <row r="39" spans="1:6" s="75" customFormat="1" outlineLevel="3" x14ac:dyDescent="0.3">
      <c r="A39" s="26" t="str">
        <f>'БазНорм (обр)'!A31</f>
        <v>Журнал: Школьный психолог</v>
      </c>
      <c r="B39" s="52">
        <f>'БазНорм (обр)'!C31</f>
        <v>0</v>
      </c>
      <c r="C39" s="61">
        <f>'БазНорм (обр)'!J31</f>
        <v>1</v>
      </c>
      <c r="D39" s="122">
        <f>'БазНорм (обр)'!K31</f>
        <v>2492.1033333333335</v>
      </c>
      <c r="E39" s="122">
        <f t="shared" si="0"/>
        <v>0</v>
      </c>
      <c r="F39" s="192"/>
    </row>
    <row r="40" spans="1:6" s="75" customFormat="1" outlineLevel="3" x14ac:dyDescent="0.3">
      <c r="A40" s="26" t="str">
        <f>'БазНорм (обр)'!A32</f>
        <v>Журнал: Последний звонок</v>
      </c>
      <c r="B40" s="52">
        <f>'БазНорм (обр)'!C32</f>
        <v>0</v>
      </c>
      <c r="C40" s="61">
        <f>'БазНорм (обр)'!J32</f>
        <v>1</v>
      </c>
      <c r="D40" s="122">
        <f>'БазНорм (обр)'!K32</f>
        <v>243.67999999999998</v>
      </c>
      <c r="E40" s="122">
        <f t="shared" si="0"/>
        <v>0</v>
      </c>
      <c r="F40" s="192"/>
    </row>
    <row r="41" spans="1:6" s="75" customFormat="1" outlineLevel="3" x14ac:dyDescent="0.3">
      <c r="A41" s="26" t="str">
        <f>'БазНорм (обр)'!A33</f>
        <v>Журнал: Шишкин лес</v>
      </c>
      <c r="B41" s="52">
        <f>'БазНорм (обр)'!C33</f>
        <v>0</v>
      </c>
      <c r="C41" s="61">
        <f>'БазНорм (обр)'!J33</f>
        <v>1</v>
      </c>
      <c r="D41" s="122">
        <f>'БазНорм (обр)'!K33</f>
        <v>729.63</v>
      </c>
      <c r="E41" s="122">
        <f t="shared" si="0"/>
        <v>0</v>
      </c>
      <c r="F41" s="192"/>
    </row>
    <row r="42" spans="1:6" s="75" customFormat="1" outlineLevel="3" x14ac:dyDescent="0.3">
      <c r="A42" s="26" t="str">
        <f>'БазНорм (обр)'!A34</f>
        <v>Журнал: ГЕОленок</v>
      </c>
      <c r="B42" s="52">
        <f>'БазНорм (обр)'!C34</f>
        <v>0</v>
      </c>
      <c r="C42" s="61">
        <f>'БазНорм (обр)'!J34</f>
        <v>1</v>
      </c>
      <c r="D42" s="122">
        <f>'БазНорм (обр)'!K34</f>
        <v>975.71333333333325</v>
      </c>
      <c r="E42" s="122">
        <f t="shared" si="0"/>
        <v>0</v>
      </c>
      <c r="F42" s="192"/>
    </row>
    <row r="43" spans="1:6" s="75" customFormat="1" outlineLevel="3" x14ac:dyDescent="0.3">
      <c r="A43" s="26" t="str">
        <f>'БазНорм (обр)'!A35</f>
        <v>Журнал: Добрята</v>
      </c>
      <c r="B43" s="52">
        <f>'БазНорм (обр)'!C35</f>
        <v>0</v>
      </c>
      <c r="C43" s="61">
        <f>'БазНорм (обр)'!J35</f>
        <v>1</v>
      </c>
      <c r="D43" s="122">
        <f>'БазНорм (обр)'!K35</f>
        <v>555.23333333333323</v>
      </c>
      <c r="E43" s="122">
        <f t="shared" si="0"/>
        <v>0</v>
      </c>
      <c r="F43" s="192"/>
    </row>
    <row r="44" spans="1:6" s="75" customFormat="1" outlineLevel="3" x14ac:dyDescent="0.3">
      <c r="A44" s="26" t="str">
        <f>'БазНорм (обр)'!A36</f>
        <v>Журнал: Бумеранг</v>
      </c>
      <c r="B44" s="52">
        <f>'БазНорм (обр)'!C36</f>
        <v>0</v>
      </c>
      <c r="C44" s="61">
        <f>'БазНорм (обр)'!J36</f>
        <v>1</v>
      </c>
      <c r="D44" s="122">
        <f>'БазНорм (обр)'!K36</f>
        <v>1560.5833333333333</v>
      </c>
      <c r="E44" s="122">
        <f t="shared" si="0"/>
        <v>0</v>
      </c>
      <c r="F44" s="192"/>
    </row>
    <row r="45" spans="1:6" s="75" customFormat="1" outlineLevel="3" x14ac:dyDescent="0.3">
      <c r="A45" s="26" t="str">
        <f>'БазНорм (обр)'!A37</f>
        <v>Журнал :Веселые животные</v>
      </c>
      <c r="B45" s="52">
        <f>'БазНорм (обр)'!C37</f>
        <v>0</v>
      </c>
      <c r="C45" s="61">
        <f>'БазНорм (обр)'!J37</f>
        <v>1</v>
      </c>
      <c r="D45" s="122">
        <f>'БазНорм (обр)'!K37</f>
        <v>786.48666666666668</v>
      </c>
      <c r="E45" s="122">
        <f t="shared" si="0"/>
        <v>0</v>
      </c>
      <c r="F45" s="192"/>
    </row>
    <row r="46" spans="1:6" s="75" customFormat="1" outlineLevel="3" x14ac:dyDescent="0.3">
      <c r="A46" s="26" t="str">
        <f>'БазНорм (обр)'!A38</f>
        <v>Журнал: Весёлый затейник</v>
      </c>
      <c r="B46" s="52">
        <f>'БазНорм (обр)'!C38</f>
        <v>0</v>
      </c>
      <c r="C46" s="61">
        <f>'БазНорм (обр)'!J38</f>
        <v>1</v>
      </c>
      <c r="D46" s="122">
        <f>'БазНорм (обр)'!K38</f>
        <v>488.7833333333333</v>
      </c>
      <c r="E46" s="122">
        <f t="shared" si="0"/>
        <v>0</v>
      </c>
      <c r="F46" s="192"/>
    </row>
    <row r="47" spans="1:6" s="75" customFormat="1" outlineLevel="3" x14ac:dyDescent="0.3">
      <c r="A47" s="26" t="str">
        <f>'БазНорм (обр)'!A39</f>
        <v>Журнал: Все звёзды</v>
      </c>
      <c r="B47" s="52">
        <f>'БазНорм (обр)'!C39</f>
        <v>0</v>
      </c>
      <c r="C47" s="61">
        <f>'БазНорм (обр)'!J39</f>
        <v>1</v>
      </c>
      <c r="D47" s="122">
        <f>'БазНорм (обр)'!K39</f>
        <v>1488.61</v>
      </c>
      <c r="E47" s="122">
        <f t="shared" si="0"/>
        <v>0</v>
      </c>
      <c r="F47" s="192"/>
    </row>
    <row r="48" spans="1:6" s="75" customFormat="1" ht="26" outlineLevel="3" x14ac:dyDescent="0.3">
      <c r="A48" s="26" t="str">
        <f>'БазНорм (обр)'!A40</f>
        <v>Журнал: Девчонки-мальчишки. Школа ремесел</v>
      </c>
      <c r="B48" s="52">
        <f>'БазНорм (обр)'!C40</f>
        <v>0</v>
      </c>
      <c r="C48" s="61">
        <f>'БазНорм (обр)'!J40</f>
        <v>1</v>
      </c>
      <c r="D48" s="122">
        <f>'БазНорм (обр)'!K40</f>
        <v>2156.1133333333332</v>
      </c>
      <c r="E48" s="122">
        <f t="shared" si="0"/>
        <v>0</v>
      </c>
      <c r="F48" s="192"/>
    </row>
    <row r="49" spans="1:6" s="75" customFormat="1" ht="26" outlineLevel="3" x14ac:dyDescent="0.3">
      <c r="A49" s="26" t="str">
        <f>'БазНорм (обр)'!A41</f>
        <v>Журнал: Управление современной школой</v>
      </c>
      <c r="B49" s="52">
        <f>'БазНорм (обр)'!C41</f>
        <v>0</v>
      </c>
      <c r="C49" s="61">
        <f>'БазНорм (обр)'!J41</f>
        <v>1</v>
      </c>
      <c r="D49" s="122">
        <f>'БазНорм (обр)'!K41</f>
        <v>1364.0166666666667</v>
      </c>
      <c r="E49" s="122">
        <f t="shared" si="0"/>
        <v>0</v>
      </c>
      <c r="F49" s="192"/>
    </row>
    <row r="50" spans="1:6" s="75" customFormat="1" outlineLevel="3" x14ac:dyDescent="0.3">
      <c r="A50" s="26" t="str">
        <f>'БазНорм (обр)'!A42</f>
        <v>Журнал : Клёпа</v>
      </c>
      <c r="B50" s="52">
        <f>'БазНорм (обр)'!C42</f>
        <v>0</v>
      </c>
      <c r="C50" s="61">
        <f>'БазНорм (обр)'!J42</f>
        <v>1</v>
      </c>
      <c r="D50" s="122">
        <f>'БазНорм (обр)'!K42</f>
        <v>1301.9666666666667</v>
      </c>
      <c r="E50" s="122">
        <f t="shared" si="0"/>
        <v>0</v>
      </c>
      <c r="F50" s="192"/>
    </row>
    <row r="51" spans="1:6" s="75" customFormat="1" outlineLevel="3" x14ac:dyDescent="0.3">
      <c r="A51" s="26" t="str">
        <f>'БазНорм (обр)'!A43</f>
        <v>Журнал: Компьютер MOUSE</v>
      </c>
      <c r="B51" s="52">
        <f>'БазНорм (обр)'!C43</f>
        <v>0</v>
      </c>
      <c r="C51" s="61">
        <f>'БазНорм (обр)'!J43</f>
        <v>1</v>
      </c>
      <c r="D51" s="122">
        <f>'БазНорм (обр)'!K43</f>
        <v>891.30333333333328</v>
      </c>
      <c r="E51" s="122">
        <f t="shared" si="0"/>
        <v>0</v>
      </c>
      <c r="F51" s="192"/>
    </row>
    <row r="52" spans="1:6" s="75" customFormat="1" outlineLevel="3" x14ac:dyDescent="0.3">
      <c r="A52" s="26" t="str">
        <f>'БазНорм (обр)'!A44</f>
        <v>Журнал: Спасайкин</v>
      </c>
      <c r="B52" s="52">
        <f>'БазНорм (обр)'!C44</f>
        <v>1.2003360941063496E-3</v>
      </c>
      <c r="C52" s="61">
        <f>'БазНорм (обр)'!J44</f>
        <v>1</v>
      </c>
      <c r="D52" s="122">
        <f>'БазНорм (обр)'!K44</f>
        <v>1569.04</v>
      </c>
      <c r="E52" s="122">
        <f t="shared" si="0"/>
        <v>1.8833753450966269</v>
      </c>
      <c r="F52" s="192"/>
    </row>
    <row r="53" spans="1:6" s="75" customFormat="1" ht="26" outlineLevel="3" x14ac:dyDescent="0.3">
      <c r="A53" s="26" t="str">
        <f>'БазНорм (обр)'!A45</f>
        <v>Журнал: Мир техники для детей</v>
      </c>
      <c r="B53" s="52">
        <f>'БазНорм (обр)'!C45</f>
        <v>0</v>
      </c>
      <c r="C53" s="61">
        <f>'БазНорм (обр)'!J45</f>
        <v>1</v>
      </c>
      <c r="D53" s="122">
        <f>'БазНорм (обр)'!K45</f>
        <v>1734.6766666666665</v>
      </c>
      <c r="E53" s="122">
        <f t="shared" si="0"/>
        <v>0</v>
      </c>
      <c r="F53" s="192"/>
    </row>
    <row r="54" spans="1:6" s="75" customFormat="1" outlineLevel="3" x14ac:dyDescent="0.3">
      <c r="A54" s="26" t="str">
        <f>'БазНорм (обр)'!A46</f>
        <v>Журнал: Читайка</v>
      </c>
      <c r="B54" s="52">
        <f>'БазНорм (обр)'!C46</f>
        <v>0</v>
      </c>
      <c r="C54" s="61">
        <f>'БазНорм (обр)'!J46</f>
        <v>1</v>
      </c>
      <c r="D54" s="122">
        <f>'БазНорм (обр)'!K46</f>
        <v>2052.0733333333333</v>
      </c>
      <c r="E54" s="122">
        <f t="shared" si="0"/>
        <v>0</v>
      </c>
      <c r="F54" s="192"/>
    </row>
    <row r="55" spans="1:6" s="75" customFormat="1" ht="26" outlineLevel="3" x14ac:dyDescent="0.3">
      <c r="A55" s="26" t="str">
        <f>'БазНорм (обр)'!A47</f>
        <v>Журнал: Чудеса и приключения-детям-ЧИП</v>
      </c>
      <c r="B55" s="52">
        <f>'БазНорм (обр)'!C47</f>
        <v>0</v>
      </c>
      <c r="C55" s="61">
        <f>'БазНорм (обр)'!J47</f>
        <v>1</v>
      </c>
      <c r="D55" s="122">
        <f>'БазНорм (обр)'!K47</f>
        <v>690.03333333333342</v>
      </c>
      <c r="E55" s="122">
        <f t="shared" si="0"/>
        <v>0</v>
      </c>
      <c r="F55" s="192"/>
    </row>
    <row r="56" spans="1:6" s="75" customFormat="1" outlineLevel="3" x14ac:dyDescent="0.3">
      <c r="A56" s="26" t="str">
        <f>'БазНорм (обр)'!A48</f>
        <v>Журнал: Юный краевед</v>
      </c>
      <c r="B56" s="52">
        <f>'БазНорм (обр)'!C48</f>
        <v>0</v>
      </c>
      <c r="C56" s="61">
        <f>'БазНорм (обр)'!J48</f>
        <v>1</v>
      </c>
      <c r="D56" s="122">
        <f>'БазНорм (обр)'!K48</f>
        <v>1650.9000000000003</v>
      </c>
      <c r="E56" s="122">
        <f t="shared" si="0"/>
        <v>0</v>
      </c>
      <c r="F56" s="192"/>
    </row>
    <row r="57" spans="1:6" s="75" customFormat="1" outlineLevel="3" x14ac:dyDescent="0.3">
      <c r="A57" s="26" t="str">
        <f>'БазНорм (обр)'!A49</f>
        <v>Журнал: Игровая библиотека</v>
      </c>
      <c r="B57" s="52">
        <f>'БазНорм (обр)'!C49</f>
        <v>0</v>
      </c>
      <c r="C57" s="61">
        <f>'БазНорм (обр)'!J49</f>
        <v>1</v>
      </c>
      <c r="D57" s="122">
        <f>'БазНорм (обр)'!K49</f>
        <v>1969.9599999999998</v>
      </c>
      <c r="E57" s="122">
        <f t="shared" si="0"/>
        <v>0</v>
      </c>
      <c r="F57" s="192"/>
    </row>
    <row r="58" spans="1:6" s="75" customFormat="1" ht="26" outlineLevel="3" x14ac:dyDescent="0.3">
      <c r="A58" s="26" t="str">
        <f>'БазНорм (обр)'!A50</f>
        <v>Журнал: Школа и производство</v>
      </c>
      <c r="B58" s="52">
        <f>'БазНорм (обр)'!C50</f>
        <v>0</v>
      </c>
      <c r="C58" s="61">
        <f>'БазНорм (обр)'!J50</f>
        <v>1</v>
      </c>
      <c r="D58" s="122">
        <f>'БазНорм (обр)'!K50</f>
        <v>5537.1500000000005</v>
      </c>
      <c r="E58" s="122">
        <f t="shared" si="0"/>
        <v>0</v>
      </c>
      <c r="F58" s="192"/>
    </row>
    <row r="59" spans="1:6" s="75" customFormat="1" outlineLevel="3" x14ac:dyDescent="0.3">
      <c r="A59" s="26" t="str">
        <f>'БазНорм (обр)'!A51</f>
        <v>Журнал: Веселый урок</v>
      </c>
      <c r="B59" s="52">
        <f>'БазНорм (обр)'!C51</f>
        <v>0</v>
      </c>
      <c r="C59" s="61">
        <f>'БазНорм (обр)'!J51</f>
        <v>1</v>
      </c>
      <c r="D59" s="122">
        <f>'БазНорм (обр)'!K51</f>
        <v>882.0100000000001</v>
      </c>
      <c r="E59" s="122">
        <f t="shared" si="0"/>
        <v>0</v>
      </c>
      <c r="F59" s="192"/>
    </row>
    <row r="60" spans="1:6" s="75" customFormat="1" outlineLevel="3" x14ac:dyDescent="0.3">
      <c r="A60" s="26" t="str">
        <f>'БазНорм (обр)'!A52</f>
        <v>Журнал: ОБЖ</v>
      </c>
      <c r="B60" s="52">
        <f>'БазНорм (обр)'!C52</f>
        <v>0</v>
      </c>
      <c r="C60" s="61">
        <f>'БазНорм (обр)'!J52</f>
        <v>1</v>
      </c>
      <c r="D60" s="122">
        <f>'БазНорм (обр)'!K52</f>
        <v>866.4</v>
      </c>
      <c r="E60" s="122">
        <f t="shared" si="0"/>
        <v>0</v>
      </c>
      <c r="F60" s="192"/>
    </row>
    <row r="61" spans="1:6" s="75" customFormat="1" outlineLevel="3" x14ac:dyDescent="0.3">
      <c r="A61" s="26" t="str">
        <f>'БазНорм (обр)'!A53</f>
        <v>Журнал: Мурзилка</v>
      </c>
      <c r="B61" s="52">
        <f>'БазНорм (обр)'!C53</f>
        <v>0</v>
      </c>
      <c r="C61" s="61">
        <f>'БазНорм (обр)'!J53</f>
        <v>1</v>
      </c>
      <c r="D61" s="122">
        <f>'БазНорм (обр)'!K53</f>
        <v>950.5100000000001</v>
      </c>
      <c r="E61" s="122">
        <f t="shared" si="0"/>
        <v>0</v>
      </c>
      <c r="F61" s="192"/>
    </row>
    <row r="62" spans="1:6" s="75" customFormat="1" outlineLevel="3" x14ac:dyDescent="0.3">
      <c r="A62" s="26" t="str">
        <f>'БазНорм (обр)'!A54</f>
        <v>Журнал: Юный эрудит</v>
      </c>
      <c r="B62" s="52">
        <f>'БазНорм (обр)'!C54</f>
        <v>0</v>
      </c>
      <c r="C62" s="61">
        <f>'БазНорм (обр)'!J54</f>
        <v>1</v>
      </c>
      <c r="D62" s="122">
        <f>'БазНорм (обр)'!K54</f>
        <v>436.38333333333338</v>
      </c>
      <c r="E62" s="122">
        <f t="shared" si="0"/>
        <v>0</v>
      </c>
      <c r="F62" s="192"/>
    </row>
    <row r="63" spans="1:6" s="75" customFormat="1" outlineLevel="3" x14ac:dyDescent="0.3">
      <c r="A63" s="26" t="str">
        <f>'БазНорм (обр)'!A55</f>
        <v>Журнал: Педсовет</v>
      </c>
      <c r="B63" s="52">
        <f>'БазНорм (обр)'!C55</f>
        <v>0</v>
      </c>
      <c r="C63" s="61">
        <f>'БазНорм (обр)'!J55</f>
        <v>1</v>
      </c>
      <c r="D63" s="122">
        <f>'БазНорм (обр)'!K55</f>
        <v>238.34</v>
      </c>
      <c r="E63" s="122">
        <f t="shared" si="0"/>
        <v>0</v>
      </c>
      <c r="F63" s="192"/>
    </row>
    <row r="64" spans="1:6" s="75" customFormat="1" outlineLevel="3" x14ac:dyDescent="0.3">
      <c r="A64" s="26" t="str">
        <f>'БазНорм (обр)'!A56</f>
        <v>Журнал: Методист</v>
      </c>
      <c r="B64" s="52">
        <f>'БазНорм (обр)'!C56</f>
        <v>0</v>
      </c>
      <c r="C64" s="61">
        <f>'БазНорм (обр)'!J56</f>
        <v>1</v>
      </c>
      <c r="D64" s="122">
        <f>'БазНорм (обр)'!K56</f>
        <v>1476.32</v>
      </c>
      <c r="E64" s="122">
        <f t="shared" si="0"/>
        <v>0</v>
      </c>
      <c r="F64" s="192"/>
    </row>
    <row r="65" spans="1:6" s="75" customFormat="1" outlineLevel="3" x14ac:dyDescent="0.3">
      <c r="A65" s="26" t="str">
        <f>'БазНорм (обр)'!A57</f>
        <v>Журнал: Огонек</v>
      </c>
      <c r="B65" s="52">
        <f>'БазНорм (обр)'!C57</f>
        <v>0</v>
      </c>
      <c r="C65" s="61">
        <f>'БазНорм (обр)'!J57</f>
        <v>1</v>
      </c>
      <c r="D65" s="122">
        <f>'БазНорм (обр)'!K57</f>
        <v>806.31666666666661</v>
      </c>
      <c r="E65" s="122">
        <f t="shared" si="0"/>
        <v>0</v>
      </c>
      <c r="F65" s="192"/>
    </row>
    <row r="66" spans="1:6" s="75" customFormat="1" outlineLevel="3" x14ac:dyDescent="0.3">
      <c r="A66" s="26" t="str">
        <f>'БазНорм (обр)'!A58</f>
        <v>Журнал: Отчего и почему</v>
      </c>
      <c r="B66" s="52">
        <f>'БазНорм (обр)'!C58</f>
        <v>0</v>
      </c>
      <c r="C66" s="61">
        <f>'БазНорм (обр)'!J58</f>
        <v>1</v>
      </c>
      <c r="D66" s="122">
        <f>'БазНорм (обр)'!K58</f>
        <v>901.74333333333334</v>
      </c>
      <c r="E66" s="122">
        <f t="shared" si="0"/>
        <v>0</v>
      </c>
      <c r="F66" s="192"/>
    </row>
    <row r="67" spans="1:6" s="76" customFormat="1" outlineLevel="2" x14ac:dyDescent="0.3">
      <c r="A67" s="33" t="s">
        <v>478</v>
      </c>
      <c r="B67" s="51" t="s">
        <v>3</v>
      </c>
      <c r="C67" s="50" t="s">
        <v>3</v>
      </c>
      <c r="D67" s="123" t="s">
        <v>3</v>
      </c>
      <c r="E67" s="123">
        <f>SUM(E68:E84)</f>
        <v>0</v>
      </c>
      <c r="F67" s="192"/>
    </row>
    <row r="68" spans="1:6" s="75" customFormat="1" outlineLevel="3" x14ac:dyDescent="0.3">
      <c r="A68" s="26" t="str">
        <f>'БазНорм (обр)'!A60</f>
        <v>Шкаф для документов</v>
      </c>
      <c r="B68" s="52">
        <f>'БазНорм (обр)'!C60</f>
        <v>0</v>
      </c>
      <c r="C68" s="61">
        <f>'БазНорм (обр)'!J60</f>
        <v>5</v>
      </c>
      <c r="D68" s="122">
        <f>'БазНорм (обр)'!K60</f>
        <v>6845</v>
      </c>
      <c r="E68" s="122">
        <f t="shared" si="0"/>
        <v>0</v>
      </c>
      <c r="F68" s="192"/>
    </row>
    <row r="69" spans="1:6" s="75" customFormat="1" outlineLevel="3" x14ac:dyDescent="0.3">
      <c r="A69" s="26" t="str">
        <f>'БазНорм (обр)'!A61</f>
        <v>Шкаф книжный</v>
      </c>
      <c r="B69" s="52">
        <f>'БазНорм (обр)'!C61</f>
        <v>0</v>
      </c>
      <c r="C69" s="61">
        <f>'БазНорм (обр)'!J61</f>
        <v>5</v>
      </c>
      <c r="D69" s="122">
        <f>'БазНорм (обр)'!K61</f>
        <v>4120</v>
      </c>
      <c r="E69" s="122">
        <f t="shared" si="0"/>
        <v>0</v>
      </c>
      <c r="F69" s="192"/>
    </row>
    <row r="70" spans="1:6" s="75" customFormat="1" outlineLevel="3" x14ac:dyDescent="0.3">
      <c r="A70" s="26" t="str">
        <f>'БазНорм (обр)'!A62</f>
        <v>Шкаф под ключи</v>
      </c>
      <c r="B70" s="52">
        <f>'БазНорм (обр)'!C62</f>
        <v>0</v>
      </c>
      <c r="C70" s="61">
        <f>'БазНорм (обр)'!J62</f>
        <v>5</v>
      </c>
      <c r="D70" s="122">
        <f>'БазНорм (обр)'!K62</f>
        <v>1274.6666666666667</v>
      </c>
      <c r="E70" s="122">
        <f t="shared" si="0"/>
        <v>0</v>
      </c>
      <c r="F70" s="192"/>
    </row>
    <row r="71" spans="1:6" s="75" customFormat="1" outlineLevel="3" x14ac:dyDescent="0.3">
      <c r="A71" s="26" t="str">
        <f>'БазНорм (обр)'!A63</f>
        <v>Шкаф для одежды</v>
      </c>
      <c r="B71" s="52">
        <f>'БазНорм (обр)'!C63</f>
        <v>0</v>
      </c>
      <c r="C71" s="61">
        <f>'БазНорм (обр)'!J63</f>
        <v>5</v>
      </c>
      <c r="D71" s="122">
        <f>'БазНорм (обр)'!K63</f>
        <v>8696.6666666666661</v>
      </c>
      <c r="E71" s="122">
        <f t="shared" si="0"/>
        <v>0</v>
      </c>
      <c r="F71" s="192"/>
    </row>
    <row r="72" spans="1:6" s="75" customFormat="1" outlineLevel="3" x14ac:dyDescent="0.3">
      <c r="A72" s="26" t="str">
        <f>'БазНорм (обр)'!A64</f>
        <v>Стеллаж для библиотеки</v>
      </c>
      <c r="B72" s="52">
        <f>'БазНорм (обр)'!C64</f>
        <v>0</v>
      </c>
      <c r="C72" s="61">
        <f>'БазНорм (обр)'!J64</f>
        <v>5</v>
      </c>
      <c r="D72" s="122">
        <f>'БазНорм (обр)'!K64</f>
        <v>3510.16</v>
      </c>
      <c r="E72" s="122">
        <f t="shared" si="0"/>
        <v>0</v>
      </c>
      <c r="F72" s="192"/>
    </row>
    <row r="73" spans="1:6" s="75" customFormat="1" ht="26" outlineLevel="3" x14ac:dyDescent="0.3">
      <c r="A73" s="26" t="str">
        <f>'БазНорм (обр)'!A65</f>
        <v>Стеллаж библиотечный 2х сторон</v>
      </c>
      <c r="B73" s="52">
        <f>'БазНорм (обр)'!C65</f>
        <v>0</v>
      </c>
      <c r="C73" s="61">
        <f>'БазНорм (обр)'!J65</f>
        <v>5</v>
      </c>
      <c r="D73" s="122">
        <f>'БазНорм (обр)'!K65</f>
        <v>9230</v>
      </c>
      <c r="E73" s="122">
        <f t="shared" si="0"/>
        <v>0</v>
      </c>
      <c r="F73" s="192"/>
    </row>
    <row r="74" spans="1:6" s="75" customFormat="1" ht="26" outlineLevel="3" x14ac:dyDescent="0.3">
      <c r="A74" s="26" t="str">
        <f>'БазНорм (обр)'!A66</f>
        <v>Стеллаж библиотечный односторонний</v>
      </c>
      <c r="B74" s="52">
        <f>'БазНорм (обр)'!C66</f>
        <v>0</v>
      </c>
      <c r="C74" s="61">
        <f>'БазНорм (обр)'!J66</f>
        <v>5</v>
      </c>
      <c r="D74" s="122">
        <f>'БазНорм (обр)'!K66</f>
        <v>7546.666666666667</v>
      </c>
      <c r="E74" s="122">
        <f t="shared" si="0"/>
        <v>0</v>
      </c>
      <c r="F74" s="192"/>
    </row>
    <row r="75" spans="1:6" s="75" customFormat="1" outlineLevel="3" x14ac:dyDescent="0.3">
      <c r="A75" s="26" t="str">
        <f>'БазНорм (обр)'!A67</f>
        <v>Полка для раз. досок</v>
      </c>
      <c r="B75" s="52">
        <f>'БазНорм (обр)'!C67</f>
        <v>0</v>
      </c>
      <c r="C75" s="61">
        <f>'БазНорм (обр)'!J67</f>
        <v>5</v>
      </c>
      <c r="D75" s="122">
        <f>'БазНорм (обр)'!K67</f>
        <v>8756.6666666666661</v>
      </c>
      <c r="E75" s="122">
        <f t="shared" si="0"/>
        <v>0</v>
      </c>
      <c r="F75" s="192"/>
    </row>
    <row r="76" spans="1:6" s="75" customFormat="1" outlineLevel="3" x14ac:dyDescent="0.3">
      <c r="A76" s="26" t="str">
        <f>'БазНорм (обр)'!A68</f>
        <v>Доска аудиторная</v>
      </c>
      <c r="B76" s="52">
        <f>'БазНорм (обр)'!C68</f>
        <v>0</v>
      </c>
      <c r="C76" s="61">
        <f>'БазНорм (обр)'!J68</f>
        <v>5</v>
      </c>
      <c r="D76" s="122">
        <f>'БазНорм (обр)'!K68</f>
        <v>3951.0050000000001</v>
      </c>
      <c r="E76" s="122">
        <f t="shared" si="0"/>
        <v>0</v>
      </c>
      <c r="F76" s="192"/>
    </row>
    <row r="77" spans="1:6" s="75" customFormat="1" outlineLevel="3" x14ac:dyDescent="0.3">
      <c r="A77" s="26" t="str">
        <f>'БазНорм (обр)'!A69</f>
        <v>Доска пробковая</v>
      </c>
      <c r="B77" s="52">
        <f>'БазНорм (обр)'!C69</f>
        <v>0</v>
      </c>
      <c r="C77" s="61">
        <f>'БазНорм (обр)'!J69</f>
        <v>5</v>
      </c>
      <c r="D77" s="122">
        <f>'БазНорм (обр)'!K69</f>
        <v>3123.8166666666671</v>
      </c>
      <c r="E77" s="122">
        <f t="shared" si="0"/>
        <v>0</v>
      </c>
      <c r="F77" s="192"/>
    </row>
    <row r="78" spans="1:6" s="75" customFormat="1" outlineLevel="3" x14ac:dyDescent="0.3">
      <c r="A78" s="26" t="str">
        <f>'БазНорм (обр)'!A70</f>
        <v>Стол эргономичный</v>
      </c>
      <c r="B78" s="52">
        <f>'БазНорм (обр)'!C70</f>
        <v>0</v>
      </c>
      <c r="C78" s="61">
        <f>'БазНорм (обр)'!J70</f>
        <v>5</v>
      </c>
      <c r="D78" s="122">
        <f>'БазНорм (обр)'!K70</f>
        <v>2116.6666666666665</v>
      </c>
      <c r="E78" s="122">
        <f t="shared" si="0"/>
        <v>0</v>
      </c>
      <c r="F78" s="192"/>
    </row>
    <row r="79" spans="1:6" s="75" customFormat="1" outlineLevel="3" x14ac:dyDescent="0.3">
      <c r="A79" s="26" t="str">
        <f>'БазНорм (обр)'!A71</f>
        <v>Стол ученический</v>
      </c>
      <c r="B79" s="52">
        <f>'БазНорм (обр)'!C71</f>
        <v>0</v>
      </c>
      <c r="C79" s="61">
        <f>'БазНорм (обр)'!J71</f>
        <v>5</v>
      </c>
      <c r="D79" s="122">
        <f>'БазНорм (обр)'!K71</f>
        <v>2768</v>
      </c>
      <c r="E79" s="122">
        <f t="shared" si="0"/>
        <v>0</v>
      </c>
      <c r="F79" s="192"/>
    </row>
    <row r="80" spans="1:6" s="75" customFormat="1" outlineLevel="3" x14ac:dyDescent="0.3">
      <c r="A80" s="26" t="str">
        <f>'БазНорм (обр)'!A72</f>
        <v>Стул офисный</v>
      </c>
      <c r="B80" s="52">
        <f>'БазНорм (обр)'!C72</f>
        <v>0</v>
      </c>
      <c r="C80" s="61">
        <f>'БазНорм (обр)'!J72</f>
        <v>5</v>
      </c>
      <c r="D80" s="122">
        <f>'БазНорм (обр)'!K72</f>
        <v>1830</v>
      </c>
      <c r="E80" s="122">
        <f t="shared" si="0"/>
        <v>0</v>
      </c>
      <c r="F80" s="192"/>
    </row>
    <row r="81" spans="1:6" s="75" customFormat="1" outlineLevel="3" x14ac:dyDescent="0.3">
      <c r="A81" s="26" t="str">
        <f>'БазНорм (обр)'!A73</f>
        <v>Стул ученический</v>
      </c>
      <c r="B81" s="52">
        <f>'БазНорм (обр)'!C73</f>
        <v>0</v>
      </c>
      <c r="C81" s="61">
        <f>'БазНорм (обр)'!J73</f>
        <v>5</v>
      </c>
      <c r="D81" s="122">
        <f>'БазНорм (обр)'!K73</f>
        <v>1222.5333333333333</v>
      </c>
      <c r="E81" s="122">
        <f t="shared" si="0"/>
        <v>0</v>
      </c>
      <c r="F81" s="192"/>
    </row>
    <row r="82" spans="1:6" s="75" customFormat="1" outlineLevel="3" x14ac:dyDescent="0.3">
      <c r="A82" s="26" t="str">
        <f>'БазНорм (обр)'!A74</f>
        <v>Тумба подкатная</v>
      </c>
      <c r="B82" s="52">
        <f>'БазНорм (обр)'!C74</f>
        <v>0</v>
      </c>
      <c r="C82" s="61">
        <f>'БазНорм (обр)'!J74</f>
        <v>5</v>
      </c>
      <c r="D82" s="122">
        <f>'БазНорм (обр)'!K74</f>
        <v>2782.3333333333335</v>
      </c>
      <c r="E82" s="122">
        <f t="shared" ref="E82:E145" si="1">B82/C82*D82</f>
        <v>0</v>
      </c>
      <c r="F82" s="192"/>
    </row>
    <row r="83" spans="1:6" s="75" customFormat="1" outlineLevel="3" x14ac:dyDescent="0.3">
      <c r="A83" s="26" t="str">
        <f>'БазНорм (обр)'!A75</f>
        <v>Скамейка 3- местная</v>
      </c>
      <c r="B83" s="52">
        <f>'БазНорм (обр)'!C75</f>
        <v>0</v>
      </c>
      <c r="C83" s="61">
        <f>'БазНорм (обр)'!J75</f>
        <v>5</v>
      </c>
      <c r="D83" s="122">
        <f>'БазНорм (обр)'!K75</f>
        <v>2249</v>
      </c>
      <c r="E83" s="122">
        <f t="shared" si="1"/>
        <v>0</v>
      </c>
      <c r="F83" s="192"/>
    </row>
    <row r="84" spans="1:6" s="75" customFormat="1" ht="26" outlineLevel="3" x14ac:dyDescent="0.3">
      <c r="A84" s="26" t="str">
        <f>'БазНорм (обр)'!A76</f>
        <v>Скамья для раздевалок одностопрнняя</v>
      </c>
      <c r="B84" s="52">
        <f>'БазНорм (обр)'!C76</f>
        <v>0</v>
      </c>
      <c r="C84" s="61">
        <f>'БазНорм (обр)'!J76</f>
        <v>5</v>
      </c>
      <c r="D84" s="122">
        <f>'БазНорм (обр)'!K76</f>
        <v>12866.666666666666</v>
      </c>
      <c r="E84" s="122">
        <f t="shared" si="1"/>
        <v>0</v>
      </c>
      <c r="F84" s="192"/>
    </row>
    <row r="85" spans="1:6" s="75" customFormat="1" outlineLevel="2" x14ac:dyDescent="0.3">
      <c r="A85" s="26" t="str">
        <f>'БазНорм (обр)'!A77</f>
        <v>Грамоты</v>
      </c>
      <c r="B85" s="52">
        <f>'БазНорм (обр)'!C77</f>
        <v>1.3323730644580483</v>
      </c>
      <c r="C85" s="61">
        <f>'БазНорм (обр)'!J77</f>
        <v>1</v>
      </c>
      <c r="D85" s="122">
        <f>'БазНорм (обр)'!K77</f>
        <v>18.099999999999998</v>
      </c>
      <c r="E85" s="122">
        <f>B85*D85</f>
        <v>24.115952466690672</v>
      </c>
      <c r="F85" s="192"/>
    </row>
    <row r="86" spans="1:6" s="75" customFormat="1" ht="39" outlineLevel="2" x14ac:dyDescent="0.3">
      <c r="A86" s="26" t="str">
        <f>'БазНорм (обр)'!A78</f>
        <v>Медали "За особые успехи в учении", аттестаты, приложения к аттестату</v>
      </c>
      <c r="B86" s="52">
        <f>'БазНорм (обр)'!C78</f>
        <v>0.23646621053895089</v>
      </c>
      <c r="C86" s="61">
        <f>'БазНорм (обр)'!J78</f>
        <v>1</v>
      </c>
      <c r="D86" s="122">
        <f>'БазНорм (обр)'!K78</f>
        <v>0</v>
      </c>
      <c r="E86" s="122">
        <f>B86*D86</f>
        <v>0</v>
      </c>
      <c r="F86" s="192"/>
    </row>
    <row r="87" spans="1:6" ht="30" customHeight="1" outlineLevel="1" x14ac:dyDescent="0.3">
      <c r="A87" s="183" t="s">
        <v>7</v>
      </c>
      <c r="B87" s="183"/>
      <c r="C87" s="183"/>
      <c r="D87" s="183"/>
      <c r="E87" s="73">
        <f>E88+E91+E95+E103+E143</f>
        <v>1215.9051304007137</v>
      </c>
      <c r="F87" s="192"/>
    </row>
    <row r="88" spans="1:6" s="60" customFormat="1" ht="26" outlineLevel="2" x14ac:dyDescent="0.3">
      <c r="A88" s="33" t="s">
        <v>475</v>
      </c>
      <c r="B88" s="51" t="s">
        <v>3</v>
      </c>
      <c r="C88" s="51" t="s">
        <v>3</v>
      </c>
      <c r="D88" s="73" t="s">
        <v>3</v>
      </c>
      <c r="E88" s="123">
        <f>SUM(E89:E90)</f>
        <v>205.99823853891434</v>
      </c>
      <c r="F88" s="192"/>
    </row>
    <row r="89" spans="1:6" s="60" customFormat="1" outlineLevel="3" collapsed="1" x14ac:dyDescent="0.3">
      <c r="A89" s="26" t="str">
        <f>'БазНорм (обр)'!A81</f>
        <v>Вода питьевая</v>
      </c>
      <c r="B89" s="52">
        <f>'БазНорм (обр)'!C81</f>
        <v>10.568766513697677</v>
      </c>
      <c r="C89" s="61">
        <f>'БазНорм (обр)'!J81</f>
        <v>1</v>
      </c>
      <c r="D89" s="122">
        <f>'БазНорм (обр)'!K81</f>
        <v>13.157894736842104</v>
      </c>
      <c r="E89" s="122">
        <f>B89*D89</f>
        <v>139.06271728549572</v>
      </c>
      <c r="F89" s="192"/>
    </row>
    <row r="90" spans="1:6" s="60" customFormat="1" outlineLevel="3" x14ac:dyDescent="0.3">
      <c r="A90" s="26" t="str">
        <f>'БазНорм (обр)'!A82</f>
        <v>Одноразовые стаканы</v>
      </c>
      <c r="B90" s="52">
        <f>'БазНорм (обр)'!C82</f>
        <v>52.843832568488388</v>
      </c>
      <c r="C90" s="61">
        <f>'БазНорм (обр)'!J82</f>
        <v>1</v>
      </c>
      <c r="D90" s="122">
        <f>'БазНорм (обр)'!K82</f>
        <v>1.2666666666666666</v>
      </c>
      <c r="E90" s="122">
        <f>B90*D90</f>
        <v>66.935521253418628</v>
      </c>
      <c r="F90" s="192"/>
    </row>
    <row r="91" spans="1:6" s="60" customFormat="1" outlineLevel="2" x14ac:dyDescent="0.3">
      <c r="A91" s="33" t="s">
        <v>474</v>
      </c>
      <c r="B91" s="51" t="s">
        <v>3</v>
      </c>
      <c r="C91" s="34" t="s">
        <v>3</v>
      </c>
      <c r="D91" s="73" t="s">
        <v>3</v>
      </c>
      <c r="E91" s="123">
        <f>SUM(E92:E94)</f>
        <v>99.922279392450434</v>
      </c>
      <c r="F91" s="192"/>
    </row>
    <row r="92" spans="1:6" s="60" customFormat="1" outlineLevel="3" x14ac:dyDescent="0.3">
      <c r="A92" s="26" t="str">
        <f>'БазНорм (обр)'!A84</f>
        <v>Антивирус</v>
      </c>
      <c r="B92" s="52">
        <f>'БазНорм (обр)'!C84</f>
        <v>0.13906271728549574</v>
      </c>
      <c r="C92" s="61">
        <f>'БазНорм (обр)'!J84</f>
        <v>1</v>
      </c>
      <c r="D92" s="122">
        <f>'БазНорм (обр)'!K84</f>
        <v>464.32</v>
      </c>
      <c r="E92" s="122">
        <f t="shared" si="1"/>
        <v>64.569600890001382</v>
      </c>
      <c r="F92" s="192"/>
    </row>
    <row r="93" spans="1:6" s="60" customFormat="1" outlineLevel="3" x14ac:dyDescent="0.3">
      <c r="A93" s="26" t="str">
        <f>'БазНорм (обр)'!A85</f>
        <v>WebFiltre UserGate</v>
      </c>
      <c r="B93" s="52">
        <f>'БазНорм (обр)'!C85</f>
        <v>0.13906271728549574</v>
      </c>
      <c r="C93" s="61">
        <f>'БазНорм (обр)'!J85</f>
        <v>1</v>
      </c>
      <c r="D93" s="122">
        <f>'БазНорм (обр)'!K85</f>
        <v>238.88777777777776</v>
      </c>
      <c r="E93" s="122">
        <f t="shared" si="1"/>
        <v>33.220383504071442</v>
      </c>
      <c r="F93" s="192"/>
    </row>
    <row r="94" spans="1:6" s="60" customFormat="1" ht="26" outlineLevel="3" x14ac:dyDescent="0.3">
      <c r="A94" s="26" t="str">
        <f>'БазНорм (обр)'!A86</f>
        <v>Сопровождение ПО Vipnet Client</v>
      </c>
      <c r="B94" s="52">
        <f>'БазНорм (обр)'!C86</f>
        <v>1.3906271728549575E-3</v>
      </c>
      <c r="C94" s="61">
        <f>'БазНорм (обр)'!J86</f>
        <v>1</v>
      </c>
      <c r="D94" s="122">
        <f>'БазНорм (обр)'!K86</f>
        <v>1533.3333333333333</v>
      </c>
      <c r="E94" s="122">
        <f t="shared" si="1"/>
        <v>2.1322949983776014</v>
      </c>
      <c r="F94" s="192"/>
    </row>
    <row r="95" spans="1:6" s="60" customFormat="1" ht="26" outlineLevel="2" x14ac:dyDescent="0.3">
      <c r="A95" s="33" t="s">
        <v>65</v>
      </c>
      <c r="B95" s="51" t="s">
        <v>3</v>
      </c>
      <c r="C95" s="34" t="s">
        <v>3</v>
      </c>
      <c r="D95" s="73" t="s">
        <v>3</v>
      </c>
      <c r="E95" s="123">
        <f>SUM(E96:E102)</f>
        <v>610.75159169374228</v>
      </c>
      <c r="F95" s="192"/>
    </row>
    <row r="96" spans="1:6" s="60" customFormat="1" outlineLevel="3" x14ac:dyDescent="0.3">
      <c r="A96" s="26" t="str">
        <f>'БазНорм (обр)'!A88</f>
        <v>Медицинский осмотр</v>
      </c>
      <c r="B96" s="52">
        <f>'БазНорм (обр)'!C88</f>
        <v>3.0593797802809065E-2</v>
      </c>
      <c r="C96" s="61">
        <f>'БазНорм (обр)'!J88</f>
        <v>1</v>
      </c>
      <c r="D96" s="122">
        <f>'БазНорм (обр)'!K88</f>
        <v>4045.8333333333335</v>
      </c>
      <c r="E96" s="122">
        <f t="shared" si="1"/>
        <v>123.77740694386502</v>
      </c>
      <c r="F96" s="192"/>
    </row>
    <row r="97" spans="1:6" s="60" customFormat="1" outlineLevel="3" x14ac:dyDescent="0.3">
      <c r="A97" s="26" t="str">
        <f>'БазНорм (обр)'!A89</f>
        <v>Гигиеническая аттестация</v>
      </c>
      <c r="B97" s="52">
        <f>'БазНорм (обр)'!C89</f>
        <v>0.1015157836184119</v>
      </c>
      <c r="C97" s="61">
        <f>'БазНорм (обр)'!J89</f>
        <v>1</v>
      </c>
      <c r="D97" s="122">
        <f>'БазНорм (обр)'!K89</f>
        <v>570</v>
      </c>
      <c r="E97" s="122">
        <f t="shared" si="1"/>
        <v>57.863996662494785</v>
      </c>
      <c r="F97" s="192"/>
    </row>
    <row r="98" spans="1:6" s="60" customFormat="1" outlineLevel="3" x14ac:dyDescent="0.3">
      <c r="A98" s="26" t="str">
        <f>'БазНорм (обр)'!A90</f>
        <v>Оценка условий труда</v>
      </c>
      <c r="B98" s="52">
        <f>'БазНорм (обр)'!C90</f>
        <v>7.7412513255567333E-2</v>
      </c>
      <c r="C98" s="61">
        <f>'БазНорм (обр)'!J90</f>
        <v>1</v>
      </c>
      <c r="D98" s="122">
        <f>'БазНорм (обр)'!K90</f>
        <v>2200</v>
      </c>
      <c r="E98" s="122">
        <f t="shared" si="1"/>
        <v>170.30752916224813</v>
      </c>
      <c r="F98" s="192"/>
    </row>
    <row r="99" spans="1:6" s="60" customFormat="1" outlineLevel="3" x14ac:dyDescent="0.3">
      <c r="A99" s="26" t="str">
        <f>'БазНорм (обр)'!A91</f>
        <v>Аттестация рабочих мест</v>
      </c>
      <c r="B99" s="52">
        <f>'БазНорм (обр)'!C91</f>
        <v>7.4231177094379638E-2</v>
      </c>
      <c r="C99" s="61">
        <f>'БазНорм (обр)'!J91</f>
        <v>1</v>
      </c>
      <c r="D99" s="122">
        <f>'БазНорм (обр)'!K91</f>
        <v>1800</v>
      </c>
      <c r="E99" s="122">
        <f t="shared" si="1"/>
        <v>133.61611876988334</v>
      </c>
      <c r="F99" s="192"/>
    </row>
    <row r="100" spans="1:6" s="60" customFormat="1" outlineLevel="3" x14ac:dyDescent="0.3">
      <c r="A100" s="26" t="str">
        <f>'БазНорм (обр)'!A92</f>
        <v>Заправка картриджей</v>
      </c>
      <c r="B100" s="52">
        <f>'БазНорм (обр)'!C92</f>
        <v>0.20859407592824364</v>
      </c>
      <c r="C100" s="61">
        <f>'БазНорм (обр)'!J92</f>
        <v>1</v>
      </c>
      <c r="D100" s="122">
        <f>'БазНорм (обр)'!K92</f>
        <v>400</v>
      </c>
      <c r="E100" s="122">
        <f t="shared" si="1"/>
        <v>83.437630371297459</v>
      </c>
      <c r="F100" s="192"/>
    </row>
    <row r="101" spans="1:6" s="60" customFormat="1" outlineLevel="3" x14ac:dyDescent="0.3">
      <c r="A101" s="26" t="str">
        <f>'БазНорм (обр)'!A93</f>
        <v>Приобритение картриджей</v>
      </c>
      <c r="B101" s="52">
        <f>'БазНорм (обр)'!C93</f>
        <v>2.7812543457099152E-2</v>
      </c>
      <c r="C101" s="61">
        <f>'БазНорм (обр)'!J93</f>
        <v>1</v>
      </c>
      <c r="D101" s="122">
        <f>'БазНорм (обр)'!K93</f>
        <v>1408.2820512820515</v>
      </c>
      <c r="E101" s="122">
        <f t="shared" si="1"/>
        <v>39.167905751134796</v>
      </c>
      <c r="F101" s="192"/>
    </row>
    <row r="102" spans="1:6" s="60" customFormat="1" outlineLevel="3" x14ac:dyDescent="0.3">
      <c r="A102" s="26" t="str">
        <f>'БазНорм (обр)'!A94</f>
        <v>Хостинг сайта</v>
      </c>
      <c r="B102" s="52">
        <f>'БазНорм (обр)'!C94</f>
        <v>1.3906271728549575E-3</v>
      </c>
      <c r="C102" s="61">
        <f>'БазНорм (обр)'!J94</f>
        <v>1</v>
      </c>
      <c r="D102" s="122">
        <f>'БазНорм (обр)'!K94</f>
        <v>1856</v>
      </c>
      <c r="E102" s="122">
        <f t="shared" si="1"/>
        <v>2.5810040328188011</v>
      </c>
      <c r="F102" s="192"/>
    </row>
    <row r="103" spans="1:6" s="60" customFormat="1" outlineLevel="2" x14ac:dyDescent="0.3">
      <c r="A103" s="33" t="s">
        <v>66</v>
      </c>
      <c r="B103" s="51" t="s">
        <v>3</v>
      </c>
      <c r="C103" s="34" t="s">
        <v>3</v>
      </c>
      <c r="D103" s="73" t="s">
        <v>3</v>
      </c>
      <c r="E103" s="123">
        <f>SUM(E104:E142)</f>
        <v>287.6069654801239</v>
      </c>
      <c r="F103" s="192"/>
    </row>
    <row r="104" spans="1:6" s="60" customFormat="1" outlineLevel="3" x14ac:dyDescent="0.3">
      <c r="A104" s="26" t="str">
        <f>'БазНорм (обр)'!A96</f>
        <v>Бумага А4</v>
      </c>
      <c r="B104" s="52">
        <f>'БазНорм (обр)'!C96</f>
        <v>0.29692470837751855</v>
      </c>
      <c r="C104" s="61">
        <f>'БазНорм (обр)'!J96</f>
        <v>1</v>
      </c>
      <c r="D104" s="122">
        <f>'БазНорм (обр)'!K96</f>
        <v>246.29333333333338</v>
      </c>
      <c r="E104" s="122">
        <f t="shared" si="1"/>
        <v>73.130576175326979</v>
      </c>
      <c r="F104" s="192"/>
    </row>
    <row r="105" spans="1:6" s="60" customFormat="1" outlineLevel="3" x14ac:dyDescent="0.3">
      <c r="A105" s="26" t="str">
        <f>'БазНорм (обр)'!A97</f>
        <v>Блок для записей</v>
      </c>
      <c r="B105" s="52">
        <f>'БазНорм (обр)'!C97</f>
        <v>6.0016804705317485E-2</v>
      </c>
      <c r="C105" s="61">
        <f>'БазНорм (обр)'!J97</f>
        <v>1</v>
      </c>
      <c r="D105" s="122">
        <f>'БазНорм (обр)'!K97</f>
        <v>93.743333333333325</v>
      </c>
      <c r="E105" s="122">
        <f t="shared" si="1"/>
        <v>5.6261753290921446</v>
      </c>
      <c r="F105" s="192"/>
    </row>
    <row r="106" spans="1:6" s="60" customFormat="1" outlineLevel="3" x14ac:dyDescent="0.3">
      <c r="A106" s="26" t="str">
        <f>'БазНорм (обр)'!A98</f>
        <v>Блок липкий</v>
      </c>
      <c r="B106" s="52">
        <f>'БазНорм (обр)'!C98</f>
        <v>6.0016804705317485E-2</v>
      </c>
      <c r="C106" s="61">
        <f>'БазНорм (обр)'!J98</f>
        <v>1</v>
      </c>
      <c r="D106" s="122">
        <f>'БазНорм (обр)'!K98</f>
        <v>112.23333333333333</v>
      </c>
      <c r="E106" s="122">
        <f t="shared" si="1"/>
        <v>6.7358860480934659</v>
      </c>
      <c r="F106" s="192"/>
    </row>
    <row r="107" spans="1:6" s="60" customFormat="1" outlineLevel="3" x14ac:dyDescent="0.3">
      <c r="A107" s="26" t="str">
        <f>'БазНорм (обр)'!A99</f>
        <v>Мел школьный</v>
      </c>
      <c r="B107" s="52">
        <f>'БазНорм (обр)'!C99</f>
        <v>2.4006721882126995E-2</v>
      </c>
      <c r="C107" s="61">
        <f>'БазНорм (обр)'!J99</f>
        <v>1</v>
      </c>
      <c r="D107" s="122">
        <f>'БазНорм (обр)'!K99</f>
        <v>534</v>
      </c>
      <c r="E107" s="122">
        <f t="shared" si="1"/>
        <v>12.819589485055815</v>
      </c>
      <c r="F107" s="192"/>
    </row>
    <row r="108" spans="1:6" s="60" customFormat="1" outlineLevel="3" x14ac:dyDescent="0.3">
      <c r="A108" s="26" t="str">
        <f>'БазНорм (обр)'!A100</f>
        <v>Ластик (резинка)</v>
      </c>
      <c r="B108" s="52">
        <f>'БазНорм (обр)'!C100</f>
        <v>3.0008402352658742E-2</v>
      </c>
      <c r="C108" s="61">
        <f>'БазНорм (обр)'!J100</f>
        <v>1</v>
      </c>
      <c r="D108" s="122">
        <f>'БазНорм (обр)'!K100</f>
        <v>22.436666666666667</v>
      </c>
      <c r="E108" s="122">
        <f t="shared" si="1"/>
        <v>0.67328852078582002</v>
      </c>
      <c r="F108" s="192"/>
    </row>
    <row r="109" spans="1:6" s="60" customFormat="1" outlineLevel="3" x14ac:dyDescent="0.3">
      <c r="A109" s="26" t="str">
        <f>'БазНорм (обр)'!A101</f>
        <v>Карандаш ч/гр</v>
      </c>
      <c r="B109" s="52">
        <f>'БазНорм (обр)'!C101</f>
        <v>8.402352658744448E-3</v>
      </c>
      <c r="C109" s="61">
        <f>'БазНорм (обр)'!J101</f>
        <v>1</v>
      </c>
      <c r="D109" s="122">
        <f>'БазНорм (обр)'!K101</f>
        <v>16.09</v>
      </c>
      <c r="E109" s="122">
        <f t="shared" si="1"/>
        <v>0.13519385427919817</v>
      </c>
      <c r="F109" s="192"/>
    </row>
    <row r="110" spans="1:6" s="60" customFormat="1" outlineLevel="3" x14ac:dyDescent="0.3">
      <c r="A110" s="26" t="str">
        <f>'БазНорм (обр)'!A102</f>
        <v>Ручка гелевая черная</v>
      </c>
      <c r="B110" s="52">
        <f>'БазНорм (обр)'!C102</f>
        <v>0.14404033129276198</v>
      </c>
      <c r="C110" s="61">
        <f>'БазНорм (обр)'!J102</f>
        <v>1</v>
      </c>
      <c r="D110" s="122">
        <f>'БазНорм (обр)'!K102</f>
        <v>49.300000000000004</v>
      </c>
      <c r="E110" s="122">
        <f t="shared" si="1"/>
        <v>7.101188332733166</v>
      </c>
      <c r="F110" s="192"/>
    </row>
    <row r="111" spans="1:6" s="60" customFormat="1" outlineLevel="3" x14ac:dyDescent="0.3">
      <c r="A111" s="26" t="str">
        <f>'БазНорм (обр)'!A103</f>
        <v>Ручка шариковая</v>
      </c>
      <c r="B111" s="52">
        <f>'БазНорм (обр)'!C103</f>
        <v>6.0016804705317485E-2</v>
      </c>
      <c r="C111" s="61">
        <f>'БазНорм (обр)'!J103</f>
        <v>1</v>
      </c>
      <c r="D111" s="122">
        <f>'БазНорм (обр)'!K103</f>
        <v>26.313333333333333</v>
      </c>
      <c r="E111" s="122">
        <f t="shared" si="1"/>
        <v>1.5792421878125873</v>
      </c>
      <c r="F111" s="192"/>
    </row>
    <row r="112" spans="1:6" s="60" customFormat="1" outlineLevel="3" x14ac:dyDescent="0.3">
      <c r="A112" s="26" t="str">
        <f>'БазНорм (обр)'!A104</f>
        <v>Текстовый маркер</v>
      </c>
      <c r="B112" s="52">
        <f>'БазНорм (обр)'!C104</f>
        <v>5.4015124234785737E-2</v>
      </c>
      <c r="C112" s="61">
        <f>'БазНорм (обр)'!J104</f>
        <v>1</v>
      </c>
      <c r="D112" s="122">
        <f>'БазНорм (обр)'!K104</f>
        <v>43.686666666666667</v>
      </c>
      <c r="E112" s="122">
        <f t="shared" si="1"/>
        <v>2.3597407274036728</v>
      </c>
      <c r="F112" s="192"/>
    </row>
    <row r="113" spans="1:6" s="60" customFormat="1" outlineLevel="3" x14ac:dyDescent="0.3">
      <c r="A113" s="26" t="str">
        <f>'БазНорм (обр)'!A105</f>
        <v>Маркеры для доски</v>
      </c>
      <c r="B113" s="52">
        <f>'БазНорм (обр)'!C105</f>
        <v>0.27812543457099148</v>
      </c>
      <c r="C113" s="61">
        <f>'БазНорм (обр)'!J105</f>
        <v>1</v>
      </c>
      <c r="D113" s="122">
        <f>'БазНорм (обр)'!K105</f>
        <v>275.59999999999997</v>
      </c>
      <c r="E113" s="122">
        <f t="shared" si="1"/>
        <v>76.651369767765246</v>
      </c>
      <c r="F113" s="192"/>
    </row>
    <row r="114" spans="1:6" s="60" customFormat="1" outlineLevel="3" x14ac:dyDescent="0.3">
      <c r="A114" s="26" t="str">
        <f>'БазНорм (обр)'!A106</f>
        <v xml:space="preserve">Корректор </v>
      </c>
      <c r="B114" s="52">
        <f>'БазНорм (обр)'!C106</f>
        <v>2.225003476567932E-2</v>
      </c>
      <c r="C114" s="61">
        <f>'БазНорм (обр)'!J106</f>
        <v>1</v>
      </c>
      <c r="D114" s="122">
        <f>'БазНорм (обр)'!K106</f>
        <v>29.77333333333333</v>
      </c>
      <c r="E114" s="122">
        <f t="shared" si="1"/>
        <v>0.6624577017568255</v>
      </c>
      <c r="F114" s="192"/>
    </row>
    <row r="115" spans="1:6" s="60" customFormat="1" outlineLevel="3" x14ac:dyDescent="0.3">
      <c r="A115" s="26" t="str">
        <f>'БазНорм (обр)'!A107</f>
        <v>Кнопки</v>
      </c>
      <c r="B115" s="52">
        <f>'БазНорм (обр)'!C107</f>
        <v>1.3906271728549576E-2</v>
      </c>
      <c r="C115" s="61">
        <f>'БазНорм (обр)'!J107</f>
        <v>1</v>
      </c>
      <c r="D115" s="122">
        <f>'БазНорм (обр)'!K107</f>
        <v>30.330000000000002</v>
      </c>
      <c r="E115" s="122">
        <f t="shared" si="1"/>
        <v>0.42177722152690866</v>
      </c>
      <c r="F115" s="192"/>
    </row>
    <row r="116" spans="1:6" s="60" customFormat="1" ht="26" outlineLevel="3" x14ac:dyDescent="0.3">
      <c r="A116" s="26" t="str">
        <f>'БазНорм (обр)'!A108</f>
        <v>Разделители листов, картонные</v>
      </c>
      <c r="B116" s="52">
        <f>'БазНорм (обр)'!C108</f>
        <v>6.0016804705317485E-2</v>
      </c>
      <c r="C116" s="61">
        <f>'БазНорм (обр)'!J108</f>
        <v>1</v>
      </c>
      <c r="D116" s="122">
        <f>'БазНорм (обр)'!K108</f>
        <v>199.04</v>
      </c>
      <c r="E116" s="122">
        <f t="shared" si="1"/>
        <v>11.945744808546392</v>
      </c>
      <c r="F116" s="192"/>
    </row>
    <row r="117" spans="1:6" s="60" customFormat="1" ht="26" outlineLevel="3" x14ac:dyDescent="0.3">
      <c r="A117" s="26" t="str">
        <f>'БазНорм (обр)'!A109</f>
        <v>Скоросшиватель пластик 150мкм</v>
      </c>
      <c r="B117" s="52">
        <f>'БазНорм (обр)'!C109</f>
        <v>0.13906271728549574</v>
      </c>
      <c r="C117" s="61">
        <f>'БазНорм (обр)'!J109</f>
        <v>1</v>
      </c>
      <c r="D117" s="122">
        <f>'БазНорм (обр)'!K109</f>
        <v>114.63666666666666</v>
      </c>
      <c r="E117" s="122">
        <f t="shared" si="1"/>
        <v>15.941686367218278</v>
      </c>
      <c r="F117" s="192"/>
    </row>
    <row r="118" spans="1:6" s="60" customFormat="1" outlineLevel="3" x14ac:dyDescent="0.3">
      <c r="A118" s="26" t="str">
        <f>'БазНорм (обр)'!A110</f>
        <v>Файл А4 прозрачный</v>
      </c>
      <c r="B118" s="52">
        <f>'БазНорм (обр)'!C110</f>
        <v>3.5624476110645431</v>
      </c>
      <c r="C118" s="61">
        <f>'БазНорм (обр)'!J110</f>
        <v>1</v>
      </c>
      <c r="D118" s="122">
        <f>'БазНорм (обр)'!K110</f>
        <v>1.51</v>
      </c>
      <c r="E118" s="122">
        <f t="shared" si="1"/>
        <v>5.3792958927074599</v>
      </c>
      <c r="F118" s="192"/>
    </row>
    <row r="119" spans="1:6" s="60" customFormat="1" outlineLevel="3" x14ac:dyDescent="0.3">
      <c r="A119" s="26" t="str">
        <f>'БазНорм (обр)'!A111</f>
        <v xml:space="preserve">Папки файлы </v>
      </c>
      <c r="B119" s="52">
        <f>'БазНорм (обр)'!C111</f>
        <v>3.6010082823190494E-2</v>
      </c>
      <c r="C119" s="61">
        <f>'БазНорм (обр)'!J111</f>
        <v>1</v>
      </c>
      <c r="D119" s="122">
        <f>'БазНорм (обр)'!K111</f>
        <v>129.82666666666668</v>
      </c>
      <c r="E119" s="122">
        <f t="shared" si="1"/>
        <v>4.6750690193254121</v>
      </c>
      <c r="F119" s="192"/>
    </row>
    <row r="120" spans="1:6" s="60" customFormat="1" outlineLevel="3" x14ac:dyDescent="0.3">
      <c r="A120" s="26" t="str">
        <f>'БазНорм (обр)'!A112</f>
        <v xml:space="preserve">Клей-карандаш </v>
      </c>
      <c r="B120" s="52">
        <f>'БазНорм (обр)'!C112</f>
        <v>2.7812543457099152E-2</v>
      </c>
      <c r="C120" s="61">
        <f>'БазНорм (обр)'!J112</f>
        <v>1</v>
      </c>
      <c r="D120" s="122">
        <f>'БазНорм (обр)'!K112</f>
        <v>53.403333333333336</v>
      </c>
      <c r="E120" s="122">
        <f t="shared" si="1"/>
        <v>1.4852825290872851</v>
      </c>
      <c r="F120" s="192"/>
    </row>
    <row r="121" spans="1:6" s="60" customFormat="1" outlineLevel="3" x14ac:dyDescent="0.3">
      <c r="A121" s="26" t="str">
        <f>'БазНорм (обр)'!A113</f>
        <v>Клей ПВА</v>
      </c>
      <c r="B121" s="52">
        <f>'БазНорм (обр)'!C113</f>
        <v>1.3906271728549576E-2</v>
      </c>
      <c r="C121" s="61">
        <f>'БазНорм (обр)'!J113</f>
        <v>1</v>
      </c>
      <c r="D121" s="122">
        <f>'БазНорм (обр)'!K113</f>
        <v>86.553333333333327</v>
      </c>
      <c r="E121" s="122">
        <f t="shared" si="1"/>
        <v>1.203634172345061</v>
      </c>
      <c r="F121" s="192"/>
    </row>
    <row r="122" spans="1:6" s="60" customFormat="1" outlineLevel="3" x14ac:dyDescent="0.3">
      <c r="A122" s="26" t="str">
        <f>'БазНорм (обр)'!A114</f>
        <v>Скотч 19*33</v>
      </c>
      <c r="B122" s="52">
        <f>'БазНорм (обр)'!C114</f>
        <v>2.7242246437552388E-2</v>
      </c>
      <c r="C122" s="61">
        <f>'БазНорм (обр)'!J114</f>
        <v>1</v>
      </c>
      <c r="D122" s="122">
        <f>'БазНорм (обр)'!K114</f>
        <v>47.993333333333332</v>
      </c>
      <c r="E122" s="122">
        <f t="shared" si="1"/>
        <v>1.3074462140262642</v>
      </c>
      <c r="F122" s="192"/>
    </row>
    <row r="123" spans="1:6" s="60" customFormat="1" outlineLevel="3" x14ac:dyDescent="0.3">
      <c r="A123" s="26" t="str">
        <f>'БазНорм (обр)'!A115</f>
        <v>Скотч 50*66</v>
      </c>
      <c r="B123" s="52">
        <f>'БазНорм (обр)'!C115</f>
        <v>2.9337803855825649E-2</v>
      </c>
      <c r="C123" s="61">
        <f>'БазНорм (обр)'!J115</f>
        <v>1</v>
      </c>
      <c r="D123" s="122">
        <f>'БазНорм (обр)'!K115</f>
        <v>92.29</v>
      </c>
      <c r="E123" s="122">
        <f t="shared" si="1"/>
        <v>2.7075859178541495</v>
      </c>
      <c r="F123" s="192"/>
    </row>
    <row r="124" spans="1:6" s="60" customFormat="1" outlineLevel="3" x14ac:dyDescent="0.3">
      <c r="A124" s="26" t="str">
        <f>'БазНорм (обр)'!A116</f>
        <v>Скотч 48*100</v>
      </c>
      <c r="B124" s="52">
        <f>'БазНорм (обр)'!C116</f>
        <v>0</v>
      </c>
      <c r="C124" s="61">
        <f>'БазНорм (обр)'!J116</f>
        <v>1</v>
      </c>
      <c r="D124" s="122">
        <f>'БазНорм (обр)'!K116</f>
        <v>98</v>
      </c>
      <c r="E124" s="122">
        <f t="shared" si="1"/>
        <v>0</v>
      </c>
      <c r="F124" s="192"/>
    </row>
    <row r="125" spans="1:6" s="60" customFormat="1" outlineLevel="3" x14ac:dyDescent="0.3">
      <c r="A125" s="26" t="str">
        <f>'БазНорм (обр)'!A117</f>
        <v>Клейкая лента 48*100</v>
      </c>
      <c r="B125" s="52">
        <f>'БазНорм (обр)'!C117</f>
        <v>2.1606049693914296E-2</v>
      </c>
      <c r="C125" s="61">
        <f>'БазНорм (обр)'!J117</f>
        <v>1</v>
      </c>
      <c r="D125" s="122">
        <f>'БазНорм (обр)'!K117</f>
        <v>85.236666666666665</v>
      </c>
      <c r="E125" s="122">
        <f t="shared" si="1"/>
        <v>1.8416276557436082</v>
      </c>
      <c r="F125" s="192"/>
    </row>
    <row r="126" spans="1:6" s="60" customFormat="1" outlineLevel="3" x14ac:dyDescent="0.3">
      <c r="A126" s="26" t="str">
        <f>'БазНорм (обр)'!A118</f>
        <v>Клейкая лента 48*66</v>
      </c>
      <c r="B126" s="52">
        <f>'БазНорм (обр)'!C118</f>
        <v>0.17382839660686969</v>
      </c>
      <c r="C126" s="61">
        <f>'БазНорм (обр)'!J118</f>
        <v>1</v>
      </c>
      <c r="D126" s="122">
        <f>'БазНорм (обр)'!K118</f>
        <v>79.876666666666665</v>
      </c>
      <c r="E126" s="122">
        <f t="shared" si="1"/>
        <v>13.884832892968062</v>
      </c>
      <c r="F126" s="192"/>
    </row>
    <row r="127" spans="1:6" s="60" customFormat="1" outlineLevel="3" x14ac:dyDescent="0.3">
      <c r="A127" s="26" t="str">
        <f>'БазНорм (обр)'!A119</f>
        <v>Регистратор 50 мм</v>
      </c>
      <c r="B127" s="52">
        <f>'БазНорм (обр)'!C119</f>
        <v>3.143336127409891E-2</v>
      </c>
      <c r="C127" s="61">
        <f>'БазНорм (обр)'!J119</f>
        <v>1</v>
      </c>
      <c r="D127" s="122">
        <f>'БазНорм (обр)'!K119</f>
        <v>162.49333333333334</v>
      </c>
      <c r="E127" s="122">
        <f t="shared" si="1"/>
        <v>5.1077116512992458</v>
      </c>
      <c r="F127" s="192"/>
    </row>
    <row r="128" spans="1:6" s="60" customFormat="1" ht="26" outlineLevel="3" x14ac:dyDescent="0.3">
      <c r="A128" s="26" t="str">
        <f>'БазНорм (обр)'!A120</f>
        <v>Накопитель документов Лоток-коробка 150мм</v>
      </c>
      <c r="B128" s="52">
        <f>'БазНорм (обр)'!C120</f>
        <v>1.2003360941063497E-2</v>
      </c>
      <c r="C128" s="61">
        <f>'БазНорм (обр)'!J120</f>
        <v>1</v>
      </c>
      <c r="D128" s="122">
        <f>'БазНорм (обр)'!K120</f>
        <v>76.953333333333333</v>
      </c>
      <c r="E128" s="122">
        <f t="shared" si="1"/>
        <v>0.92369863561797305</v>
      </c>
      <c r="F128" s="192"/>
    </row>
    <row r="129" spans="1:6" s="60" customFormat="1" ht="26" outlineLevel="3" x14ac:dyDescent="0.3">
      <c r="A129" s="26" t="str">
        <f>'БазНорм (обр)'!A121</f>
        <v>Накопитель документов Лоток-коробка 75мм</v>
      </c>
      <c r="B129" s="52">
        <f>'БазНорм (обр)'!C121</f>
        <v>2.4006721882126995E-2</v>
      </c>
      <c r="C129" s="61">
        <f>'БазНорм (обр)'!J121</f>
        <v>1</v>
      </c>
      <c r="D129" s="122">
        <f>'БазНорм (обр)'!K121</f>
        <v>50.306666666666672</v>
      </c>
      <c r="E129" s="122">
        <f t="shared" si="1"/>
        <v>1.2076981554835355</v>
      </c>
      <c r="F129" s="192"/>
    </row>
    <row r="130" spans="1:6" s="60" customFormat="1" outlineLevel="3" x14ac:dyDescent="0.3">
      <c r="A130" s="26" t="str">
        <f>'БазНорм (обр)'!A122</f>
        <v>Тетрадь 48л.</v>
      </c>
      <c r="B130" s="52">
        <f>'БазНорм (обр)'!C122</f>
        <v>3.6010082823190494E-3</v>
      </c>
      <c r="C130" s="61">
        <f>'БазНорм (обр)'!J122</f>
        <v>1</v>
      </c>
      <c r="D130" s="122">
        <f>'БазНорм (обр)'!K122</f>
        <v>33.536666666666669</v>
      </c>
      <c r="E130" s="122">
        <f t="shared" si="1"/>
        <v>0.12076581442803987</v>
      </c>
      <c r="F130" s="192"/>
    </row>
    <row r="131" spans="1:6" s="60" customFormat="1" outlineLevel="3" x14ac:dyDescent="0.3">
      <c r="A131" s="26" t="str">
        <f>'БазНорм (обр)'!A123</f>
        <v>Скрепки 28 мм</v>
      </c>
      <c r="B131" s="52">
        <f>'БазНорм (обр)'!C123</f>
        <v>2.7812543457099152E-2</v>
      </c>
      <c r="C131" s="61">
        <f>'БазНорм (обр)'!J123</f>
        <v>1</v>
      </c>
      <c r="D131" s="122">
        <f>'БазНорм (обр)'!K123</f>
        <v>35.979999999999997</v>
      </c>
      <c r="E131" s="122">
        <f t="shared" si="1"/>
        <v>1.0006953135864274</v>
      </c>
      <c r="F131" s="192"/>
    </row>
    <row r="132" spans="1:6" s="60" customFormat="1" outlineLevel="3" x14ac:dyDescent="0.3">
      <c r="A132" s="26" t="str">
        <f>'БазНорм (обр)'!A124</f>
        <v>Скобы № 10</v>
      </c>
      <c r="B132" s="52">
        <f>'БазНорм (обр)'!C124</f>
        <v>4.8013443764253989E-2</v>
      </c>
      <c r="C132" s="61">
        <f>'БазНорм (обр)'!J124</f>
        <v>1</v>
      </c>
      <c r="D132" s="122">
        <f>'БазНорм (обр)'!K124</f>
        <v>26.26</v>
      </c>
      <c r="E132" s="122">
        <f t="shared" si="1"/>
        <v>1.2608330332493098</v>
      </c>
      <c r="F132" s="192"/>
    </row>
    <row r="133" spans="1:6" s="60" customFormat="1" outlineLevel="3" x14ac:dyDescent="0.3">
      <c r="A133" s="26" t="str">
        <f>'БазНорм (обр)'!A125</f>
        <v>Скобы № 24</v>
      </c>
      <c r="B133" s="52">
        <f>'БазНорм (обр)'!C125</f>
        <v>2.4006721882126995E-2</v>
      </c>
      <c r="C133" s="61">
        <f>'БазНорм (обр)'!J125</f>
        <v>1</v>
      </c>
      <c r="D133" s="122">
        <f>'БазНорм (обр)'!K125</f>
        <v>45.336666666666666</v>
      </c>
      <c r="E133" s="122">
        <f t="shared" si="1"/>
        <v>1.0883847477293642</v>
      </c>
      <c r="F133" s="192"/>
    </row>
    <row r="134" spans="1:6" s="60" customFormat="1" outlineLevel="3" x14ac:dyDescent="0.3">
      <c r="A134" s="26" t="str">
        <f>'БазНорм (обр)'!A126</f>
        <v>Папка с файлами</v>
      </c>
      <c r="B134" s="52">
        <f>'БазНорм (обр)'!C126</f>
        <v>6.953135864274787E-2</v>
      </c>
      <c r="C134" s="61">
        <f>'БазНорм (обр)'!J126</f>
        <v>1</v>
      </c>
      <c r="D134" s="122">
        <f>'БазНорм (обр)'!K126</f>
        <v>190.79333333333332</v>
      </c>
      <c r="E134" s="122">
        <f t="shared" si="1"/>
        <v>13.266119686645341</v>
      </c>
      <c r="F134" s="192"/>
    </row>
    <row r="135" spans="1:6" s="60" customFormat="1" outlineLevel="3" x14ac:dyDescent="0.3">
      <c r="A135" s="26" t="str">
        <f>'БазНорм (обр)'!A127</f>
        <v>Папка - регистратор</v>
      </c>
      <c r="B135" s="52">
        <f>'БазНорм (обр)'!C127</f>
        <v>4.1718815185648725E-2</v>
      </c>
      <c r="C135" s="61">
        <f>'БазНорм (обр)'!J127</f>
        <v>1</v>
      </c>
      <c r="D135" s="122">
        <f>'БазНорм (обр)'!K127</f>
        <v>158.69666666666666</v>
      </c>
      <c r="E135" s="122">
        <f t="shared" si="1"/>
        <v>6.6206369072451672</v>
      </c>
      <c r="F135" s="192"/>
    </row>
    <row r="136" spans="1:6" s="60" customFormat="1" outlineLevel="3" x14ac:dyDescent="0.3">
      <c r="A136" s="26" t="str">
        <f>'БазНорм (обр)'!A128</f>
        <v>Папка - уголок</v>
      </c>
      <c r="B136" s="52">
        <f>'БазНорм (обр)'!C128</f>
        <v>6.953135864274787E-2</v>
      </c>
      <c r="C136" s="61">
        <f>'БазНорм (обр)'!J128</f>
        <v>1</v>
      </c>
      <c r="D136" s="122">
        <f>'БазНорм (обр)'!K128</f>
        <v>12.046666666666667</v>
      </c>
      <c r="E136" s="122">
        <f t="shared" si="1"/>
        <v>0.837621100449636</v>
      </c>
      <c r="F136" s="192"/>
    </row>
    <row r="137" spans="1:6" s="60" customFormat="1" outlineLevel="3" x14ac:dyDescent="0.3">
      <c r="A137" s="26" t="str">
        <f>'БазНорм (обр)'!A129</f>
        <v>Папка с завязками карт</v>
      </c>
      <c r="B137" s="52">
        <f>'БазНорм (обр)'!C129</f>
        <v>0.13906271728549574</v>
      </c>
      <c r="C137" s="61">
        <f>'БазНорм (обр)'!J129</f>
        <v>1</v>
      </c>
      <c r="D137" s="122">
        <f>'БазНорм (обр)'!K129</f>
        <v>8.98</v>
      </c>
      <c r="E137" s="122">
        <f t="shared" si="1"/>
        <v>1.2487832012237519</v>
      </c>
      <c r="F137" s="192"/>
    </row>
    <row r="138" spans="1:6" s="60" customFormat="1" outlineLevel="3" x14ac:dyDescent="0.3">
      <c r="A138" s="26" t="str">
        <f>'БазНорм (обр)'!A130</f>
        <v>Папка с мет. приж. 0,6 мм</v>
      </c>
      <c r="B138" s="52">
        <f>'БазНорм (обр)'!C130</f>
        <v>2.4006721882126995E-2</v>
      </c>
      <c r="C138" s="61">
        <f>'БазНорм (обр)'!J130</f>
        <v>1</v>
      </c>
      <c r="D138" s="122">
        <f>'БазНорм (обр)'!K130</f>
        <v>92.06</v>
      </c>
      <c r="E138" s="122">
        <f t="shared" si="1"/>
        <v>2.210058816468611</v>
      </c>
      <c r="F138" s="192"/>
    </row>
    <row r="139" spans="1:6" s="60" customFormat="1" outlineLevel="3" x14ac:dyDescent="0.3">
      <c r="A139" s="26" t="str">
        <f>'БазНорм (обр)'!A131</f>
        <v>Папка с мет. приж 0,7мм</v>
      </c>
      <c r="B139" s="52">
        <f>'БазНорм (обр)'!C131</f>
        <v>1.2003360941063497E-2</v>
      </c>
      <c r="C139" s="61">
        <f>'БазНорм (обр)'!J131</f>
        <v>1</v>
      </c>
      <c r="D139" s="122">
        <f>'БазНорм (обр)'!K131</f>
        <v>97.14</v>
      </c>
      <c r="E139" s="122">
        <f t="shared" si="1"/>
        <v>1.1660064818149081</v>
      </c>
      <c r="F139" s="192"/>
    </row>
    <row r="140" spans="1:6" s="60" customFormat="1" outlineLevel="3" x14ac:dyDescent="0.3">
      <c r="A140" s="26" t="str">
        <f>'БазНорм (обр)'!A132</f>
        <v>Нож канцелярский</v>
      </c>
      <c r="B140" s="52">
        <f>'БазНорм (обр)'!C132</f>
        <v>1.3906271728549576E-2</v>
      </c>
      <c r="C140" s="61">
        <f>'БазНорм (обр)'!J132</f>
        <v>1</v>
      </c>
      <c r="D140" s="122">
        <f>'БазНорм (обр)'!K132</f>
        <v>68.13</v>
      </c>
      <c r="E140" s="122">
        <f t="shared" si="1"/>
        <v>0.94743429286608261</v>
      </c>
      <c r="F140" s="192"/>
    </row>
    <row r="141" spans="1:6" s="60" customFormat="1" outlineLevel="3" x14ac:dyDescent="0.3">
      <c r="A141" s="26" t="str">
        <f>'БазНорм (обр)'!A133</f>
        <v>Ножницы канц.</v>
      </c>
      <c r="B141" s="52">
        <f>'БазНорм (обр)'!C133</f>
        <v>6.9531358642747881E-3</v>
      </c>
      <c r="C141" s="61">
        <f>'БазНорм (обр)'!J133</f>
        <v>1</v>
      </c>
      <c r="D141" s="122">
        <f>'БазНорм (обр)'!K133</f>
        <v>99.089999999999989</v>
      </c>
      <c r="E141" s="122">
        <f t="shared" si="1"/>
        <v>0.6889862327909887</v>
      </c>
      <c r="F141" s="192"/>
    </row>
    <row r="142" spans="1:6" s="60" customFormat="1" outlineLevel="3" x14ac:dyDescent="0.3">
      <c r="A142" s="26" t="str">
        <f>'БазНорм (обр)'!A134</f>
        <v>Степлер</v>
      </c>
      <c r="B142" s="52">
        <f>'БазНорм (обр)'!C134</f>
        <v>6.9531358642747881E-3</v>
      </c>
      <c r="C142" s="61">
        <f>'БазНорм (обр)'!J134</f>
        <v>1</v>
      </c>
      <c r="D142" s="122">
        <f>'БазНорм (обр)'!K134</f>
        <v>236.27333333333331</v>
      </c>
      <c r="E142" s="122">
        <f t="shared" si="1"/>
        <v>1.6428405877717516</v>
      </c>
      <c r="F142" s="192"/>
    </row>
    <row r="143" spans="1:6" s="60" customFormat="1" outlineLevel="2" x14ac:dyDescent="0.3">
      <c r="A143" s="33" t="s">
        <v>67</v>
      </c>
      <c r="B143" s="51" t="s">
        <v>3</v>
      </c>
      <c r="C143" s="34" t="s">
        <v>3</v>
      </c>
      <c r="D143" s="73" t="s">
        <v>3</v>
      </c>
      <c r="E143" s="123">
        <f>SUM(E144:E161)</f>
        <v>11.626055295482733</v>
      </c>
      <c r="F143" s="192"/>
    </row>
    <row r="144" spans="1:6" s="60" customFormat="1" outlineLevel="3" x14ac:dyDescent="0.3">
      <c r="A144" s="26" t="str">
        <f>'БазНорм (обр)'!A136</f>
        <v>Йод р-р 5%-10 мл.</v>
      </c>
      <c r="B144" s="52">
        <f>'БазНорм (обр)'!C136</f>
        <v>2.4006721882126995E-2</v>
      </c>
      <c r="C144" s="61">
        <f>'БазНорм (обр)'!J136</f>
        <v>1</v>
      </c>
      <c r="D144" s="122">
        <f>'БазНорм (обр)'!K136</f>
        <v>10.666666666666666</v>
      </c>
      <c r="E144" s="122">
        <f t="shared" si="1"/>
        <v>0.25607170007602126</v>
      </c>
      <c r="F144" s="192"/>
    </row>
    <row r="145" spans="1:6" s="60" customFormat="1" outlineLevel="3" x14ac:dyDescent="0.3">
      <c r="A145" s="26" t="str">
        <f>'БазНорм (обр)'!A137</f>
        <v>Перекись водорода 3% 40 мл.</v>
      </c>
      <c r="B145" s="52">
        <f>'БазНорм (обр)'!C137</f>
        <v>3.6010082823190494E-2</v>
      </c>
      <c r="C145" s="61">
        <f>'БазНорм (обр)'!J137</f>
        <v>1</v>
      </c>
      <c r="D145" s="122">
        <f>'БазНорм (обр)'!K137</f>
        <v>6.666666666666667</v>
      </c>
      <c r="E145" s="122">
        <f t="shared" si="1"/>
        <v>0.24006721882126997</v>
      </c>
      <c r="F145" s="192"/>
    </row>
    <row r="146" spans="1:6" s="60" customFormat="1" outlineLevel="3" x14ac:dyDescent="0.3">
      <c r="A146" s="26" t="str">
        <f>'БазНорм (обр)'!A138</f>
        <v>Аммиака р-р-100 мл</v>
      </c>
      <c r="B146" s="52">
        <f>'БазНорм (обр)'!C138</f>
        <v>3.6010082823190494E-3</v>
      </c>
      <c r="C146" s="61">
        <f>'БазНорм (обр)'!J138</f>
        <v>1</v>
      </c>
      <c r="D146" s="122">
        <f>'БазНорм (обр)'!K138</f>
        <v>26</v>
      </c>
      <c r="E146" s="122">
        <f t="shared" ref="E146:E161" si="2">B146/C146*D146</f>
        <v>9.3626215340295277E-2</v>
      </c>
      <c r="F146" s="192"/>
    </row>
    <row r="147" spans="1:6" s="60" customFormat="1" ht="26" outlineLevel="3" x14ac:dyDescent="0.3">
      <c r="A147" s="26" t="str">
        <f>'БазНорм (обр)'!A139</f>
        <v>Уголь активированный 250мг №10</v>
      </c>
      <c r="B147" s="52">
        <f>'БазНорм (обр)'!C139</f>
        <v>1.2003360941063497E-2</v>
      </c>
      <c r="C147" s="61">
        <f>'БазНорм (обр)'!J139</f>
        <v>1</v>
      </c>
      <c r="D147" s="122">
        <f>'БазНорм (обр)'!K139</f>
        <v>8</v>
      </c>
      <c r="E147" s="122">
        <f t="shared" si="2"/>
        <v>9.6026887528507979E-2</v>
      </c>
      <c r="F147" s="192"/>
    </row>
    <row r="148" spans="1:6" s="60" customFormat="1" outlineLevel="3" x14ac:dyDescent="0.3">
      <c r="A148" s="26" t="str">
        <f>'БазНорм (обр)'!A140</f>
        <v>Бинт стерильный 5*10 см</v>
      </c>
      <c r="B148" s="52">
        <f>'БазНорм (обр)'!C140</f>
        <v>4.2011763293722242E-2</v>
      </c>
      <c r="C148" s="61">
        <f>'БазНорм (обр)'!J140</f>
        <v>1</v>
      </c>
      <c r="D148" s="122">
        <f>'БазНорм (обр)'!K140</f>
        <v>17</v>
      </c>
      <c r="E148" s="122">
        <f t="shared" si="2"/>
        <v>0.71419997599327811</v>
      </c>
      <c r="F148" s="192"/>
    </row>
    <row r="149" spans="1:6" s="60" customFormat="1" outlineLevel="3" x14ac:dyDescent="0.3">
      <c r="A149" s="26" t="str">
        <f>'БазНорм (обр)'!A141</f>
        <v>Бинт стерильный 7-14 см</v>
      </c>
      <c r="B149" s="52">
        <f>'БазНорм (обр)'!C141</f>
        <v>4.2011763293722242E-2</v>
      </c>
      <c r="C149" s="61">
        <f>'БазНорм (обр)'!J141</f>
        <v>1</v>
      </c>
      <c r="D149" s="122">
        <f>'БазНорм (обр)'!K141</f>
        <v>32</v>
      </c>
      <c r="E149" s="122">
        <f t="shared" si="2"/>
        <v>1.3443764253991117</v>
      </c>
      <c r="F149" s="192"/>
    </row>
    <row r="150" spans="1:6" s="60" customFormat="1" outlineLevel="3" x14ac:dyDescent="0.3">
      <c r="A150" s="26" t="str">
        <f>'БазНорм (обр)'!A142</f>
        <v>Вата хирург. стерильн. 250г</v>
      </c>
      <c r="B150" s="52">
        <f>'БазНорм (обр)'!C142</f>
        <v>2.4006721882126993E-3</v>
      </c>
      <c r="C150" s="61">
        <f>'БазНорм (обр)'!J142</f>
        <v>1</v>
      </c>
      <c r="D150" s="122">
        <f>'БазНорм (обр)'!K142</f>
        <v>115.33333333333333</v>
      </c>
      <c r="E150" s="122">
        <f t="shared" si="2"/>
        <v>0.27687752570719798</v>
      </c>
      <c r="F150" s="192"/>
    </row>
    <row r="151" spans="1:6" s="60" customFormat="1" ht="26" outlineLevel="3" x14ac:dyDescent="0.3">
      <c r="A151" s="26" t="str">
        <f>'БазНорм (обр)'!A143</f>
        <v>Салфетки стрерильные 16*14 №20</v>
      </c>
      <c r="B151" s="52">
        <f>'БазНорм (обр)'!C143</f>
        <v>2.4006721882126995E-2</v>
      </c>
      <c r="C151" s="61">
        <f>'БазНорм (обр)'!J143</f>
        <v>1</v>
      </c>
      <c r="D151" s="122">
        <f>'БазНорм (обр)'!K143</f>
        <v>30</v>
      </c>
      <c r="E151" s="122">
        <f t="shared" si="2"/>
        <v>0.72020165646380985</v>
      </c>
      <c r="F151" s="192"/>
    </row>
    <row r="152" spans="1:6" s="60" customFormat="1" outlineLevel="3" x14ac:dyDescent="0.3">
      <c r="A152" s="26" t="str">
        <f>'БазНорм (обр)'!A144</f>
        <v>Л/пласт. бактериц. 2,5*7,2 №1</v>
      </c>
      <c r="B152" s="52">
        <f>'БазНорм (обр)'!C144</f>
        <v>0.24006721882126994</v>
      </c>
      <c r="C152" s="61">
        <f>'БазНорм (обр)'!J144</f>
        <v>1</v>
      </c>
      <c r="D152" s="122">
        <f>'БазНорм (обр)'!K144</f>
        <v>3.5</v>
      </c>
      <c r="E152" s="122">
        <f t="shared" si="2"/>
        <v>0.84023526587444475</v>
      </c>
      <c r="F152" s="192"/>
    </row>
    <row r="153" spans="1:6" s="60" customFormat="1" outlineLevel="3" x14ac:dyDescent="0.3">
      <c r="A153" s="26" t="str">
        <f>'БазНорм (обр)'!A145</f>
        <v>Л/пласт,3*500</v>
      </c>
      <c r="B153" s="52">
        <f>'БазНорм (обр)'!C145</f>
        <v>2.4006721882126993E-3</v>
      </c>
      <c r="C153" s="61">
        <f>'БазНорм (обр)'!J145</f>
        <v>1</v>
      </c>
      <c r="D153" s="122">
        <f>'БазНорм (обр)'!K145</f>
        <v>37.666666666666664</v>
      </c>
      <c r="E153" s="122">
        <f t="shared" si="2"/>
        <v>9.0425319089345008E-2</v>
      </c>
      <c r="F153" s="192"/>
    </row>
    <row r="154" spans="1:6" s="60" customFormat="1" outlineLevel="3" x14ac:dyDescent="0.3">
      <c r="A154" s="26" t="str">
        <f>'БазНорм (обр)'!A146</f>
        <v>Маска трехсл.мед.№50</v>
      </c>
      <c r="B154" s="52">
        <f>'БазНорм (обр)'!C146</f>
        <v>2.4006721882126993E-3</v>
      </c>
      <c r="C154" s="61">
        <f>'БазНорм (обр)'!J146</f>
        <v>1</v>
      </c>
      <c r="D154" s="122">
        <f>'БазНорм (обр)'!K146</f>
        <v>150</v>
      </c>
      <c r="E154" s="122">
        <f t="shared" si="2"/>
        <v>0.36010082823190487</v>
      </c>
      <c r="F154" s="192"/>
    </row>
    <row r="155" spans="1:6" s="60" customFormat="1" outlineLevel="3" x14ac:dyDescent="0.3">
      <c r="A155" s="26" t="str">
        <f>'БазНорм (обр)'!A147</f>
        <v>Губка гемостатическая 5*5</v>
      </c>
      <c r="B155" s="52">
        <f>'БазНорм (обр)'!C147</f>
        <v>2.4006721882126993E-3</v>
      </c>
      <c r="C155" s="61">
        <f>'БазНорм (обр)'!J147</f>
        <v>1</v>
      </c>
      <c r="D155" s="122">
        <f>'БазНорм (обр)'!K147</f>
        <v>110</v>
      </c>
      <c r="E155" s="122">
        <f t="shared" si="2"/>
        <v>0.2640739407033969</v>
      </c>
      <c r="F155" s="192"/>
    </row>
    <row r="156" spans="1:6" s="60" customFormat="1" outlineLevel="3" x14ac:dyDescent="0.3">
      <c r="A156" s="26" t="str">
        <f>'БазНорм (обр)'!A148</f>
        <v>Левомеколь мазь 40г.</v>
      </c>
      <c r="B156" s="52">
        <f>'БазНорм (обр)'!C148</f>
        <v>3.6010082823190494E-3</v>
      </c>
      <c r="C156" s="61">
        <f>'БазНорм (обр)'!J148</f>
        <v>1</v>
      </c>
      <c r="D156" s="122">
        <f>'БазНорм (обр)'!K148</f>
        <v>150</v>
      </c>
      <c r="E156" s="122">
        <f t="shared" si="2"/>
        <v>0.54015124234785739</v>
      </c>
      <c r="F156" s="192"/>
    </row>
    <row r="157" spans="1:6" s="60" customFormat="1" outlineLevel="3" x14ac:dyDescent="0.3">
      <c r="A157" s="26" t="str">
        <f>'БазНорм (обр)'!A149</f>
        <v>Напальчник резиновый №5</v>
      </c>
      <c r="B157" s="52">
        <f>'БазНорм (обр)'!C149</f>
        <v>9.6026887528507972E-3</v>
      </c>
      <c r="C157" s="61">
        <f>'БазНорм (обр)'!J149</f>
        <v>1</v>
      </c>
      <c r="D157" s="122">
        <f>'БазНорм (обр)'!K149</f>
        <v>15</v>
      </c>
      <c r="E157" s="122">
        <f t="shared" si="2"/>
        <v>0.14404033129276195</v>
      </c>
      <c r="F157" s="192"/>
    </row>
    <row r="158" spans="1:6" s="60" customFormat="1" outlineLevel="3" x14ac:dyDescent="0.3">
      <c r="A158" s="26" t="str">
        <f>'БазНорм (обр)'!A150</f>
        <v>Пакет гипотермич. "Снежок"</v>
      </c>
      <c r="B158" s="52">
        <f>'БазНорм (обр)'!C150</f>
        <v>0.18005041411595246</v>
      </c>
      <c r="C158" s="61">
        <f>'БазНорм (обр)'!J150</f>
        <v>1</v>
      </c>
      <c r="D158" s="122">
        <f>'БазНорм (обр)'!K150</f>
        <v>23</v>
      </c>
      <c r="E158" s="122">
        <f t="shared" si="2"/>
        <v>4.1411595246669064</v>
      </c>
      <c r="F158" s="192"/>
    </row>
    <row r="159" spans="1:6" s="60" customFormat="1" outlineLevel="3" x14ac:dyDescent="0.3">
      <c r="A159" s="26" t="str">
        <f>'БазНорм (обр)'!A151</f>
        <v>Сульфацил-натрия 20%-5мл</v>
      </c>
      <c r="B159" s="52">
        <f>'БазНорм (обр)'!C151</f>
        <v>4.8013443764253986E-3</v>
      </c>
      <c r="C159" s="61">
        <f>'БазНорм (обр)'!J151</f>
        <v>1</v>
      </c>
      <c r="D159" s="122">
        <f>'БазНорм (обр)'!K151</f>
        <v>90</v>
      </c>
      <c r="E159" s="122">
        <f t="shared" si="2"/>
        <v>0.4321209938782859</v>
      </c>
      <c r="F159" s="192"/>
    </row>
    <row r="160" spans="1:6" s="60" customFormat="1" outlineLevel="3" x14ac:dyDescent="0.3">
      <c r="A160" s="26" t="str">
        <f>'БазНорм (обр)'!A152</f>
        <v>Перчатки латексные хир.стер.</v>
      </c>
      <c r="B160" s="52">
        <f>'БазНорм (обр)'!C152</f>
        <v>2.4006721882126995E-2</v>
      </c>
      <c r="C160" s="61">
        <f>'БазНорм (обр)'!J152</f>
        <v>1</v>
      </c>
      <c r="D160" s="122">
        <f>'БазНорм (обр)'!K152</f>
        <v>40</v>
      </c>
      <c r="E160" s="122">
        <f t="shared" si="2"/>
        <v>0.96026887528507976</v>
      </c>
      <c r="F160" s="192"/>
    </row>
    <row r="161" spans="1:6" s="60" customFormat="1" ht="26" outlineLevel="3" x14ac:dyDescent="0.3">
      <c r="A161" s="26" t="str">
        <f>'БазНорм (обр)'!A153</f>
        <v>Бриллиантовый зелен. 1%-10мл</v>
      </c>
      <c r="B161" s="52">
        <f>'БазНорм (обр)'!C153</f>
        <v>1.2003360941063497E-2</v>
      </c>
      <c r="C161" s="61">
        <f>'БазНорм (обр)'!J153</f>
        <v>1</v>
      </c>
      <c r="D161" s="122">
        <f>'БазНорм (обр)'!K153</f>
        <v>9.3333333333333339</v>
      </c>
      <c r="E161" s="122">
        <f t="shared" si="2"/>
        <v>0.11203136878325931</v>
      </c>
      <c r="F161" s="192"/>
    </row>
    <row r="162" spans="1:6" ht="30" customHeight="1" x14ac:dyDescent="0.3">
      <c r="A162" s="183" t="s">
        <v>11</v>
      </c>
      <c r="B162" s="183"/>
      <c r="C162" s="183"/>
      <c r="D162" s="183"/>
      <c r="E162" s="73">
        <f>E163+E172+E202+E204+E208+E212+E216+E213</f>
        <v>7800.7254723867909</v>
      </c>
      <c r="F162" s="192"/>
    </row>
    <row r="163" spans="1:6" ht="30" customHeight="1" outlineLevel="1" x14ac:dyDescent="0.3">
      <c r="A163" s="183" t="s">
        <v>12</v>
      </c>
      <c r="B163" s="183"/>
      <c r="C163" s="183"/>
      <c r="D163" s="183"/>
      <c r="E163" s="73">
        <f>SUM(E164:E171)</f>
        <v>6229.999088016968</v>
      </c>
      <c r="F163" s="192"/>
    </row>
    <row r="164" spans="1:6" outlineLevel="2" x14ac:dyDescent="0.3">
      <c r="A164" s="26" t="str">
        <f>'БазНорм (обр)'!A156</f>
        <v>Теплоэнергия (город)</v>
      </c>
      <c r="B164" s="52">
        <f>'БазНорм (обр)'!C156</f>
        <v>1.6197030752916226</v>
      </c>
      <c r="C164" s="61">
        <f>'БазНорм (обр)'!J156</f>
        <v>1</v>
      </c>
      <c r="D164" s="122">
        <f>'БазНорм (обр)'!K156</f>
        <v>3101.7699982977383</v>
      </c>
      <c r="E164" s="68">
        <f>B164*D164</f>
        <v>5023.9464050901379</v>
      </c>
      <c r="F164" s="192"/>
    </row>
    <row r="165" spans="1:6" outlineLevel="2" x14ac:dyDescent="0.3">
      <c r="A165" s="26" t="str">
        <f>'БазНорм (обр)'!A157</f>
        <v>Теплоэнергия в горячей воде</v>
      </c>
      <c r="B165" s="52">
        <f>'БазНорм (обр)'!C157</f>
        <v>0</v>
      </c>
      <c r="C165" s="61">
        <f>'БазНорм (обр)'!J157</f>
        <v>1</v>
      </c>
      <c r="D165" s="122">
        <f>'БазНорм (обр)'!K157</f>
        <v>0</v>
      </c>
      <c r="E165" s="68">
        <f t="shared" ref="E165:E171" si="3">B165*D165</f>
        <v>0</v>
      </c>
      <c r="F165" s="192"/>
    </row>
    <row r="166" spans="1:6" outlineLevel="2" x14ac:dyDescent="0.3">
      <c r="A166" s="26" t="str">
        <f>'БазНорм (обр)'!A158</f>
        <v>Теплоноситель</v>
      </c>
      <c r="B166" s="52">
        <f>'БазНорм (обр)'!C158</f>
        <v>3.4638388123011667</v>
      </c>
      <c r="C166" s="61">
        <f>'БазНорм (обр)'!J158</f>
        <v>1</v>
      </c>
      <c r="D166" s="122">
        <f>'БазНорм (обр)'!K158</f>
        <v>19.370000612294881</v>
      </c>
      <c r="E166" s="68">
        <f t="shared" si="3"/>
        <v>67.094559915164368</v>
      </c>
      <c r="F166" s="192"/>
    </row>
    <row r="167" spans="1:6" outlineLevel="2" x14ac:dyDescent="0.3">
      <c r="A167" s="26" t="str">
        <f>'БазНорм (обр)'!A159</f>
        <v>Электроэнергия (до 150)</v>
      </c>
      <c r="B167" s="52">
        <f>'БазНорм (обр)'!C159</f>
        <v>113.65853658536585</v>
      </c>
      <c r="C167" s="61">
        <f>'БазНорм (обр)'!J159</f>
        <v>1</v>
      </c>
      <c r="D167" s="122">
        <f>'БазНорм (обр)'!K159</f>
        <v>5.23</v>
      </c>
      <c r="E167" s="68">
        <f t="shared" si="3"/>
        <v>594.43414634146347</v>
      </c>
      <c r="F167" s="192"/>
    </row>
    <row r="168" spans="1:6" ht="26" outlineLevel="2" x14ac:dyDescent="0.3">
      <c r="A168" s="26" t="str">
        <f>'БазНорм (обр)'!A160</f>
        <v>Электроэнергия (от 150 до 670)</v>
      </c>
      <c r="B168" s="52">
        <f>'БазНорм (обр)'!C160</f>
        <v>57.739130434782609</v>
      </c>
      <c r="C168" s="61">
        <f>'БазНорм (обр)'!J160</f>
        <v>1</v>
      </c>
      <c r="D168" s="122">
        <f>'БазНорм (обр)'!K160</f>
        <v>5.1899999999999995</v>
      </c>
      <c r="E168" s="68">
        <f t="shared" si="3"/>
        <v>299.66608695652172</v>
      </c>
      <c r="F168" s="192"/>
    </row>
    <row r="169" spans="1:6" outlineLevel="2" x14ac:dyDescent="0.3">
      <c r="A169" s="26" t="str">
        <f>'БазНорм (обр)'!A161</f>
        <v>Холодное водоснабжение</v>
      </c>
      <c r="B169" s="52">
        <f>'БазНорм (обр)'!C161</f>
        <v>4.1823966065747618</v>
      </c>
      <c r="C169" s="61">
        <f>'БазНорм (обр)'!J161</f>
        <v>1</v>
      </c>
      <c r="D169" s="122">
        <f>'БазНорм (обр)'!K161</f>
        <v>19.55</v>
      </c>
      <c r="E169" s="68">
        <f t="shared" si="3"/>
        <v>81.765853658536599</v>
      </c>
      <c r="F169" s="192"/>
    </row>
    <row r="170" spans="1:6" outlineLevel="2" x14ac:dyDescent="0.3">
      <c r="A170" s="26" t="str">
        <f>'БазНорм (обр)'!A162</f>
        <v>Водоотведение</v>
      </c>
      <c r="B170" s="52">
        <f>'БазНорм (обр)'!C162</f>
        <v>6.7815482502651117</v>
      </c>
      <c r="C170" s="61">
        <f>'БазНорм (обр)'!J162</f>
        <v>1</v>
      </c>
      <c r="D170" s="122">
        <f>'БазНорм (обр)'!K162</f>
        <v>22.639999999999997</v>
      </c>
      <c r="E170" s="68">
        <f t="shared" si="3"/>
        <v>153.53425238600209</v>
      </c>
      <c r="F170" s="192"/>
    </row>
    <row r="171" spans="1:6" outlineLevel="2" x14ac:dyDescent="0.3">
      <c r="A171" s="26" t="str">
        <f>'БазНорм (обр)'!A163</f>
        <v>Сбросы загрязнений</v>
      </c>
      <c r="B171" s="52">
        <f>'БазНорм (обр)'!C163</f>
        <v>5.7232237539766704</v>
      </c>
      <c r="C171" s="61">
        <f>'БазНорм (обр)'!J163</f>
        <v>1</v>
      </c>
      <c r="D171" s="122">
        <f>'БазНорм (обр)'!K163</f>
        <v>1.67</v>
      </c>
      <c r="E171" s="68">
        <f t="shared" si="3"/>
        <v>9.5577836691410383</v>
      </c>
      <c r="F171" s="192"/>
    </row>
    <row r="172" spans="1:6" ht="30" customHeight="1" outlineLevel="1" x14ac:dyDescent="0.3">
      <c r="A172" s="183" t="s">
        <v>14</v>
      </c>
      <c r="B172" s="183"/>
      <c r="C172" s="183"/>
      <c r="D172" s="183"/>
      <c r="E172" s="73">
        <f>SUM(E173:E201)</f>
        <v>899.27834676564157</v>
      </c>
      <c r="F172" s="192"/>
    </row>
    <row r="173" spans="1:6" outlineLevel="2" x14ac:dyDescent="0.3">
      <c r="A173" s="26" t="str">
        <f>'БазНорм (обр)'!A165</f>
        <v>Дератизация</v>
      </c>
      <c r="B173" s="52">
        <f>'БазНорм (обр)'!C165</f>
        <v>0.93864262990455993</v>
      </c>
      <c r="C173" s="61">
        <f>'БазНорм (обр)'!J165</f>
        <v>1</v>
      </c>
      <c r="D173" s="122">
        <f>'БазНорм (обр)'!K165</f>
        <v>1.6499999999999997</v>
      </c>
      <c r="E173" s="68">
        <f t="shared" ref="E173:E203" si="4">B173*D173</f>
        <v>1.5487603393425236</v>
      </c>
      <c r="F173" s="192"/>
    </row>
    <row r="174" spans="1:6" outlineLevel="2" x14ac:dyDescent="0.3">
      <c r="A174" s="26" t="str">
        <f>'БазНорм (обр)'!A166</f>
        <v>Дезинсекция</v>
      </c>
      <c r="B174" s="52">
        <f>'БазНорм (обр)'!C166</f>
        <v>0.42417815482502652</v>
      </c>
      <c r="C174" s="61">
        <f>'БазНорм (обр)'!J166</f>
        <v>1</v>
      </c>
      <c r="D174" s="122">
        <f>'БазНорм (обр)'!K166</f>
        <v>3.64</v>
      </c>
      <c r="E174" s="68">
        <f t="shared" si="4"/>
        <v>1.5440084835630965</v>
      </c>
      <c r="F174" s="192"/>
    </row>
    <row r="175" spans="1:6" outlineLevel="2" x14ac:dyDescent="0.3">
      <c r="A175" s="26" t="str">
        <f>'БазНорм (обр)'!A167</f>
        <v>ТО КТС</v>
      </c>
      <c r="B175" s="52">
        <f>'БазНорм (обр)'!C167</f>
        <v>2.1208907741251328E-3</v>
      </c>
      <c r="C175" s="61">
        <f>'БазНорм (обр)'!J167</f>
        <v>1</v>
      </c>
      <c r="D175" s="122">
        <f>'БазНорм (обр)'!K167</f>
        <v>3997.2</v>
      </c>
      <c r="E175" s="68">
        <f t="shared" si="4"/>
        <v>8.4776246023329804</v>
      </c>
      <c r="F175" s="192"/>
    </row>
    <row r="176" spans="1:6" outlineLevel="2" x14ac:dyDescent="0.3">
      <c r="A176" s="26" t="str">
        <f>'БазНорм (обр)'!A168</f>
        <v>Охрана КТС</v>
      </c>
      <c r="B176" s="52">
        <f>'БазНорм (обр)'!C168</f>
        <v>0</v>
      </c>
      <c r="C176" s="61">
        <f>'БазНорм (обр)'!J168</f>
        <v>1</v>
      </c>
      <c r="D176" s="122">
        <f>'БазНорм (обр)'!K168</f>
        <v>1.69</v>
      </c>
      <c r="E176" s="68">
        <f t="shared" si="4"/>
        <v>0</v>
      </c>
      <c r="F176" s="192"/>
    </row>
    <row r="177" spans="1:6" outlineLevel="2" x14ac:dyDescent="0.3">
      <c r="A177" s="26" t="str">
        <f>'БазНорм (обр)'!A169</f>
        <v>Охрана КТС</v>
      </c>
      <c r="B177" s="52">
        <f>'БазНорм (обр)'!C169</f>
        <v>18.579003181336162</v>
      </c>
      <c r="C177" s="61">
        <f>'БазНорм (обр)'!J169</f>
        <v>1</v>
      </c>
      <c r="D177" s="122">
        <f>'БазНорм (обр)'!K169</f>
        <v>3.28</v>
      </c>
      <c r="E177" s="68">
        <f t="shared" si="4"/>
        <v>60.939130434782605</v>
      </c>
      <c r="F177" s="192"/>
    </row>
    <row r="178" spans="1:6" outlineLevel="2" x14ac:dyDescent="0.3">
      <c r="A178" s="26" t="str">
        <f>'БазНорм (обр)'!A170</f>
        <v>Охрана КТС</v>
      </c>
      <c r="B178" s="52">
        <f>'БазНорм (обр)'!C170</f>
        <v>0</v>
      </c>
      <c r="C178" s="61">
        <f>'БазНорм (обр)'!J170</f>
        <v>1</v>
      </c>
      <c r="D178" s="122">
        <f>'БазНорм (обр)'!K170</f>
        <v>5.48</v>
      </c>
      <c r="E178" s="68">
        <f t="shared" si="4"/>
        <v>0</v>
      </c>
      <c r="F178" s="192"/>
    </row>
    <row r="179" spans="1:6" outlineLevel="2" x14ac:dyDescent="0.3">
      <c r="A179" s="26" t="str">
        <f>'БазНорм (обр)'!A171</f>
        <v>Охрана КТС</v>
      </c>
      <c r="B179" s="52">
        <f>'БазНорм (обр)'!C171</f>
        <v>0</v>
      </c>
      <c r="C179" s="61">
        <f>'БазНорм (обр)'!J171</f>
        <v>1</v>
      </c>
      <c r="D179" s="122">
        <f>'БазНорм (обр)'!K171</f>
        <v>1.34</v>
      </c>
      <c r="E179" s="68">
        <f t="shared" si="4"/>
        <v>0</v>
      </c>
      <c r="F179" s="192"/>
    </row>
    <row r="180" spans="1:6" outlineLevel="2" x14ac:dyDescent="0.3">
      <c r="A180" s="26" t="str">
        <f>'БазНорм (обр)'!A172</f>
        <v>Охрана КТС</v>
      </c>
      <c r="B180" s="52">
        <f>'БазНорм (обр)'!C172</f>
        <v>0</v>
      </c>
      <c r="C180" s="61">
        <f>'БазНорм (обр)'!J172</f>
        <v>1</v>
      </c>
      <c r="D180" s="122">
        <f>'БазНорм (обр)'!K172</f>
        <v>1.64</v>
      </c>
      <c r="E180" s="68">
        <f t="shared" si="4"/>
        <v>0</v>
      </c>
      <c r="F180" s="192"/>
    </row>
    <row r="181" spans="1:6" outlineLevel="2" x14ac:dyDescent="0.3">
      <c r="A181" s="26" t="str">
        <f>'БазНорм (обр)'!A173</f>
        <v>Пожарная охрана</v>
      </c>
      <c r="B181" s="52">
        <f>'БазНорм (обр)'!C173</f>
        <v>18.579003181336162</v>
      </c>
      <c r="C181" s="61">
        <f>'БазНорм (обр)'!J173</f>
        <v>1</v>
      </c>
      <c r="D181" s="122">
        <f>'БазНорм (обр)'!K173</f>
        <v>5.27</v>
      </c>
      <c r="E181" s="68">
        <f t="shared" si="4"/>
        <v>97.911346765641568</v>
      </c>
      <c r="F181" s="192"/>
    </row>
    <row r="182" spans="1:6" outlineLevel="2" x14ac:dyDescent="0.3">
      <c r="A182" s="26" t="str">
        <f>'БазНорм (обр)'!A174</f>
        <v>ТО пожарной сигнализации</v>
      </c>
      <c r="B182" s="52">
        <f>'БазНорм (обр)'!C174</f>
        <v>0</v>
      </c>
      <c r="C182" s="61">
        <f>'БазНорм (обр)'!J174</f>
        <v>1</v>
      </c>
      <c r="D182" s="122">
        <f>'БазНорм (обр)'!K174</f>
        <v>103782</v>
      </c>
      <c r="E182" s="68">
        <f t="shared" si="4"/>
        <v>0</v>
      </c>
      <c r="F182" s="192"/>
    </row>
    <row r="183" spans="1:6" outlineLevel="2" x14ac:dyDescent="0.3">
      <c r="A183" s="26" t="str">
        <f>'БазНорм (обр)'!A175</f>
        <v>ТО пожарной сигнализации</v>
      </c>
      <c r="B183" s="52">
        <f>'БазНорм (обр)'!C175</f>
        <v>0</v>
      </c>
      <c r="C183" s="61">
        <f>'БазНорм (обр)'!J175</f>
        <v>1</v>
      </c>
      <c r="D183" s="122">
        <f>'БазНорм (обр)'!K175</f>
        <v>139884</v>
      </c>
      <c r="E183" s="68">
        <f t="shared" si="4"/>
        <v>0</v>
      </c>
      <c r="F183" s="192"/>
    </row>
    <row r="184" spans="1:6" outlineLevel="2" x14ac:dyDescent="0.3">
      <c r="A184" s="26" t="str">
        <f>'БазНорм (обр)'!A176</f>
        <v>ТО пожарной сигнализации</v>
      </c>
      <c r="B184" s="52">
        <f>'БазНорм (обр)'!C176</f>
        <v>1.0604453870625664E-3</v>
      </c>
      <c r="C184" s="61">
        <f>'БазНорм (обр)'!J176</f>
        <v>1</v>
      </c>
      <c r="D184" s="122">
        <f>'БазНорм (обр)'!K176</f>
        <v>93710.48</v>
      </c>
      <c r="E184" s="68">
        <f t="shared" si="4"/>
        <v>99.374846235418886</v>
      </c>
      <c r="F184" s="192"/>
    </row>
    <row r="185" spans="1:6" outlineLevel="2" x14ac:dyDescent="0.3">
      <c r="A185" s="26" t="str">
        <f>'БазНорм (обр)'!A177</f>
        <v>ТО пожарной сигнализации</v>
      </c>
      <c r="B185" s="52">
        <f>'БазНорм (обр)'!C177</f>
        <v>0</v>
      </c>
      <c r="C185" s="61">
        <f>'БазНорм (обр)'!J177</f>
        <v>1</v>
      </c>
      <c r="D185" s="122">
        <f>'БазНорм (обр)'!K177</f>
        <v>109874.40000000001</v>
      </c>
      <c r="E185" s="68">
        <f t="shared" si="4"/>
        <v>0</v>
      </c>
      <c r="F185" s="192"/>
    </row>
    <row r="186" spans="1:6" outlineLevel="2" x14ac:dyDescent="0.3">
      <c r="A186" s="26" t="str">
        <f>'БазНорм (обр)'!A178</f>
        <v>ТО пожарной сигнализации</v>
      </c>
      <c r="B186" s="52">
        <f>'БазНорм (обр)'!C178</f>
        <v>0</v>
      </c>
      <c r="C186" s="61">
        <f>'БазНорм (обр)'!J178</f>
        <v>1</v>
      </c>
      <c r="D186" s="122">
        <f>'БазНорм (обр)'!K178</f>
        <v>93710.399999999994</v>
      </c>
      <c r="E186" s="68">
        <f t="shared" si="4"/>
        <v>0</v>
      </c>
      <c r="F186" s="192"/>
    </row>
    <row r="187" spans="1:6" outlineLevel="2" x14ac:dyDescent="0.3">
      <c r="A187" s="26" t="str">
        <f>'БазНорм (обр)'!A179</f>
        <v>ТО пожарной сигнализации</v>
      </c>
      <c r="B187" s="52">
        <f>'БазНорм (обр)'!C179</f>
        <v>0</v>
      </c>
      <c r="C187" s="61">
        <f>'БазНорм (обр)'!J179</f>
        <v>1</v>
      </c>
      <c r="D187" s="122">
        <f>'БазНорм (обр)'!K179</f>
        <v>78717.600000000006</v>
      </c>
      <c r="E187" s="68">
        <f t="shared" si="4"/>
        <v>0</v>
      </c>
      <c r="F187" s="192"/>
    </row>
    <row r="188" spans="1:6" outlineLevel="2" x14ac:dyDescent="0.3">
      <c r="A188" s="26" t="str">
        <f>'БазНорм (обр)'!A180</f>
        <v>GSM Контакт</v>
      </c>
      <c r="B188" s="52">
        <f>'БазНорм (обр)'!C180</f>
        <v>0</v>
      </c>
      <c r="C188" s="61">
        <f>'БазНорм (обр)'!J180</f>
        <v>1</v>
      </c>
      <c r="D188" s="122">
        <f>'БазНорм (обр)'!K180</f>
        <v>575</v>
      </c>
      <c r="E188" s="68">
        <f t="shared" si="4"/>
        <v>0</v>
      </c>
      <c r="F188" s="192"/>
    </row>
    <row r="189" spans="1:6" outlineLevel="2" x14ac:dyDescent="0.3">
      <c r="A189" s="26" t="str">
        <f>'БазНорм (обр)'!A181</f>
        <v>ТО приборов учета тепла</v>
      </c>
      <c r="B189" s="52">
        <f>'БазНорм (обр)'!C181</f>
        <v>2.1208907741251328E-3</v>
      </c>
      <c r="C189" s="61">
        <f>'БазНорм (обр)'!J181</f>
        <v>1</v>
      </c>
      <c r="D189" s="122">
        <f>'БазНорм (обр)'!K181</f>
        <v>20721.88</v>
      </c>
      <c r="E189" s="68">
        <f t="shared" si="4"/>
        <v>43.948844114528107</v>
      </c>
      <c r="F189" s="192"/>
    </row>
    <row r="190" spans="1:6" ht="26" outlineLevel="2" x14ac:dyDescent="0.3">
      <c r="A190" s="26" t="str">
        <f>'БазНорм (обр)'!A182</f>
        <v>ТО автоматизированного теплового пункта</v>
      </c>
      <c r="B190" s="52">
        <f>'БазНорм (обр)'!C182</f>
        <v>2.1208907741251328E-3</v>
      </c>
      <c r="C190" s="61">
        <f>'БазНорм (обр)'!J182</f>
        <v>1</v>
      </c>
      <c r="D190" s="122">
        <f>'БазНорм (обр)'!K182</f>
        <v>17631.633333333335</v>
      </c>
      <c r="E190" s="68">
        <f t="shared" si="4"/>
        <v>37.39476846942383</v>
      </c>
      <c r="F190" s="192"/>
    </row>
    <row r="191" spans="1:6" outlineLevel="2" x14ac:dyDescent="0.3">
      <c r="A191" s="26" t="str">
        <f>'БазНорм (обр)'!A183</f>
        <v>ТО системы видеонаблюдения</v>
      </c>
      <c r="B191" s="52">
        <f>'БазНорм (обр)'!C183</f>
        <v>1.0604453870625664E-3</v>
      </c>
      <c r="C191" s="61">
        <f>'БазНорм (обр)'!J183</f>
        <v>1</v>
      </c>
      <c r="D191" s="122">
        <f>'БазНорм (обр)'!K183</f>
        <v>21200</v>
      </c>
      <c r="E191" s="68">
        <f t="shared" si="4"/>
        <v>22.481442205726406</v>
      </c>
      <c r="F191" s="192"/>
    </row>
    <row r="192" spans="1:6" outlineLevel="2" x14ac:dyDescent="0.3">
      <c r="A192" s="26" t="str">
        <f>'БазНорм (обр)'!A184</f>
        <v>ТО системы видеонаблюдения</v>
      </c>
      <c r="B192" s="52">
        <f>'БазНорм (обр)'!C184</f>
        <v>0</v>
      </c>
      <c r="C192" s="61">
        <f>'БазНорм (обр)'!J184</f>
        <v>1</v>
      </c>
      <c r="D192" s="122">
        <f>'БазНорм (обр)'!K184</f>
        <v>18000</v>
      </c>
      <c r="E192" s="68">
        <f t="shared" si="4"/>
        <v>0</v>
      </c>
      <c r="F192" s="192"/>
    </row>
    <row r="193" spans="1:6" outlineLevel="2" x14ac:dyDescent="0.3">
      <c r="A193" s="26" t="str">
        <f>'БазНорм (обр)'!A185</f>
        <v>ТО системы видеонаблюдения</v>
      </c>
      <c r="B193" s="52">
        <f>'БазНорм (обр)'!C185</f>
        <v>0</v>
      </c>
      <c r="C193" s="61">
        <f>'БазНорм (обр)'!J185</f>
        <v>1</v>
      </c>
      <c r="D193" s="122">
        <f>'БазНорм (обр)'!K185</f>
        <v>33000</v>
      </c>
      <c r="E193" s="68">
        <f t="shared" si="4"/>
        <v>0</v>
      </c>
      <c r="F193" s="192"/>
    </row>
    <row r="194" spans="1:6" outlineLevel="2" x14ac:dyDescent="0.3">
      <c r="A194" s="26" t="str">
        <f>'БазНорм (обр)'!A186</f>
        <v>Вывоз ТБО</v>
      </c>
      <c r="B194" s="52">
        <f>'БазНорм (обр)'!C186</f>
        <v>0.30965005302226933</v>
      </c>
      <c r="C194" s="61">
        <f>'БазНорм (обр)'!J186</f>
        <v>1</v>
      </c>
      <c r="D194" s="122">
        <f>'БазНорм (обр)'!K186</f>
        <v>651</v>
      </c>
      <c r="E194" s="68">
        <f t="shared" si="4"/>
        <v>201.58218451749732</v>
      </c>
      <c r="F194" s="192"/>
    </row>
    <row r="195" spans="1:6" outlineLevel="2" x14ac:dyDescent="0.3">
      <c r="A195" s="26" t="str">
        <f>'БазНорм (обр)'!A187</f>
        <v>Уборка снега</v>
      </c>
      <c r="B195" s="52">
        <f>'БазНорм (обр)'!C187</f>
        <v>0</v>
      </c>
      <c r="C195" s="61">
        <f>'БазНорм (обр)'!J187</f>
        <v>1</v>
      </c>
      <c r="D195" s="122">
        <f>'БазНорм (обр)'!K187</f>
        <v>1886.67</v>
      </c>
      <c r="E195" s="68">
        <f t="shared" si="4"/>
        <v>0</v>
      </c>
      <c r="F195" s="192"/>
    </row>
    <row r="196" spans="1:6" ht="26" outlineLevel="2" x14ac:dyDescent="0.3">
      <c r="A196" s="26" t="str">
        <f>'БазНорм (обр)'!A188</f>
        <v>Замеры сопротивлений изоляции проводки</v>
      </c>
      <c r="B196" s="52">
        <f>'БазНорм (обр)'!C188</f>
        <v>2.1208907741251328E-3</v>
      </c>
      <c r="C196" s="61">
        <f>'БазНорм (обр)'!J188</f>
        <v>1</v>
      </c>
      <c r="D196" s="122">
        <f>'БазНорм (обр)'!K188</f>
        <v>31336.333333333332</v>
      </c>
      <c r="E196" s="68">
        <f t="shared" si="4"/>
        <v>66.460940261576539</v>
      </c>
      <c r="F196" s="192"/>
    </row>
    <row r="197" spans="1:6" ht="26" outlineLevel="2" x14ac:dyDescent="0.3">
      <c r="A197" s="26" t="str">
        <f>'БазНорм (обр)'!A189</f>
        <v>Техническое обслуживание силового электрооборудования</v>
      </c>
      <c r="B197" s="52">
        <f>'БазНорм (обр)'!C189</f>
        <v>0</v>
      </c>
      <c r="C197" s="61">
        <f>'БазНорм (обр)'!J189</f>
        <v>1</v>
      </c>
      <c r="D197" s="122">
        <f>'БазНорм (обр)'!K189</f>
        <v>11356.666666666666</v>
      </c>
      <c r="E197" s="68">
        <f t="shared" si="4"/>
        <v>0</v>
      </c>
      <c r="F197" s="192"/>
    </row>
    <row r="198" spans="1:6" outlineLevel="2" x14ac:dyDescent="0.3">
      <c r="A198" s="26" t="str">
        <f>'БазНорм (обр)'!A190</f>
        <v>Прочистка канализации</v>
      </c>
      <c r="B198" s="52">
        <f>'БазНорм (обр)'!C190</f>
        <v>4.2417815482502655E-3</v>
      </c>
      <c r="C198" s="61">
        <f>'БазНорм (обр)'!J190</f>
        <v>1</v>
      </c>
      <c r="D198" s="122">
        <f>'БазНорм (обр)'!K190</f>
        <v>10489</v>
      </c>
      <c r="E198" s="68">
        <f t="shared" si="4"/>
        <v>44.492046659597037</v>
      </c>
      <c r="F198" s="192"/>
    </row>
    <row r="199" spans="1:6" outlineLevel="2" x14ac:dyDescent="0.3">
      <c r="A199" s="26" t="str">
        <f>'БазНорм (обр)'!A191</f>
        <v>Проверка качества огнезащиты</v>
      </c>
      <c r="B199" s="52">
        <f>'БазНорм (обр)'!C191</f>
        <v>2.1208907741251328E-3</v>
      </c>
      <c r="C199" s="61">
        <f>'БазНорм (обр)'!J191</f>
        <v>1</v>
      </c>
      <c r="D199" s="122">
        <f>'БазНорм (обр)'!K191</f>
        <v>5450.5466666666662</v>
      </c>
      <c r="E199" s="68">
        <f t="shared" si="4"/>
        <v>11.560014139271827</v>
      </c>
      <c r="F199" s="192"/>
    </row>
    <row r="200" spans="1:6" ht="39" outlineLevel="2" x14ac:dyDescent="0.3">
      <c r="A200" s="26" t="str">
        <f>'БазНорм (обр)'!A192</f>
        <v>Огнезащитная обработка чердачных деревянных конструкций</v>
      </c>
      <c r="B200" s="52">
        <f>'БазНорм (обр)'!C192</f>
        <v>3.9236479321314954</v>
      </c>
      <c r="C200" s="61">
        <f>'БазНорм (обр)'!J192</f>
        <v>1</v>
      </c>
      <c r="D200" s="122">
        <f>'БазНорм (обр)'!K192</f>
        <v>36.333333333333336</v>
      </c>
      <c r="E200" s="68">
        <f t="shared" si="4"/>
        <v>142.55920820077768</v>
      </c>
      <c r="F200" s="192"/>
    </row>
    <row r="201" spans="1:6" outlineLevel="2" x14ac:dyDescent="0.3">
      <c r="A201" s="26" t="str">
        <f>'БазНорм (обр)'!A193</f>
        <v>ТО грузового лифта</v>
      </c>
      <c r="B201" s="52">
        <f>'БазНорм (обр)'!C193</f>
        <v>1.0604453870625664E-3</v>
      </c>
      <c r="C201" s="61">
        <f>'БазНорм (обр)'!J193</f>
        <v>1</v>
      </c>
      <c r="D201" s="122">
        <f>'БазНорм (обр)'!K193</f>
        <v>55640</v>
      </c>
      <c r="E201" s="68">
        <f t="shared" si="4"/>
        <v>59.003181336161191</v>
      </c>
      <c r="F201" s="192"/>
    </row>
    <row r="202" spans="1:6" ht="30" customHeight="1" outlineLevel="1" x14ac:dyDescent="0.3">
      <c r="A202" s="183" t="s">
        <v>15</v>
      </c>
      <c r="B202" s="183"/>
      <c r="C202" s="183"/>
      <c r="D202" s="183"/>
      <c r="E202" s="73">
        <f>SUM(E203:E203)</f>
        <v>66.719688936019793</v>
      </c>
      <c r="F202" s="192"/>
    </row>
    <row r="203" spans="1:6" outlineLevel="2" x14ac:dyDescent="0.3">
      <c r="A203" s="26" t="str">
        <f>'БазНорм (обр)'!A195</f>
        <v>Ремонт МФУ</v>
      </c>
      <c r="B203" s="52">
        <f>'БазНорм (обр)'!C195</f>
        <v>2.6511134676564158E-2</v>
      </c>
      <c r="C203" s="61">
        <f>'БазНорм (обр)'!J195</f>
        <v>1</v>
      </c>
      <c r="D203" s="122">
        <f>'БазНорм (обр)'!K195</f>
        <v>2516.6666666666665</v>
      </c>
      <c r="E203" s="68">
        <f t="shared" si="4"/>
        <v>66.719688936019793</v>
      </c>
      <c r="F203" s="192"/>
    </row>
    <row r="204" spans="1:6" ht="30" customHeight="1" outlineLevel="1" x14ac:dyDescent="0.3">
      <c r="A204" s="183" t="s">
        <v>16</v>
      </c>
      <c r="B204" s="183"/>
      <c r="C204" s="183"/>
      <c r="D204" s="183"/>
      <c r="E204" s="73">
        <f>SUM(E205:E207)</f>
        <v>127.26148462354189</v>
      </c>
      <c r="F204" s="192"/>
    </row>
    <row r="205" spans="1:6" outlineLevel="2" x14ac:dyDescent="0.3">
      <c r="A205" s="26" t="str">
        <f>'БазНорм (обр)'!A197</f>
        <v>Местная связь</v>
      </c>
      <c r="B205" s="52">
        <f>'БазНорм (обр)'!C197</f>
        <v>1.2725344644750797E-2</v>
      </c>
      <c r="C205" s="61">
        <f>'БазНорм (обр)'!J197</f>
        <v>1</v>
      </c>
      <c r="D205" s="122">
        <f>'БазНорм (обр)'!K197</f>
        <v>4109.3499999999995</v>
      </c>
      <c r="E205" s="68">
        <f>B205*D205</f>
        <v>52.29289501590668</v>
      </c>
      <c r="F205" s="192"/>
    </row>
    <row r="206" spans="1:6" outlineLevel="2" x14ac:dyDescent="0.3">
      <c r="A206" s="26" t="str">
        <f>'БазНорм (обр)'!A198</f>
        <v>Связь МН и МГ</v>
      </c>
      <c r="B206" s="52">
        <f>'БазНорм (обр)'!C198</f>
        <v>1.2725344644750797E-2</v>
      </c>
      <c r="C206" s="61">
        <f>'БазНорм (обр)'!J198</f>
        <v>1</v>
      </c>
      <c r="D206" s="122">
        <f>'БазНорм (обр)'!K198</f>
        <v>31.271666666666665</v>
      </c>
      <c r="E206" s="68">
        <f>B206*D206</f>
        <v>0.39794273594909868</v>
      </c>
      <c r="F206" s="192"/>
    </row>
    <row r="207" spans="1:6" outlineLevel="2" x14ac:dyDescent="0.3">
      <c r="A207" s="26" t="str">
        <f>'БазНорм (обр)'!A199</f>
        <v>Интернет</v>
      </c>
      <c r="B207" s="52">
        <f>'БазНорм (обр)'!C199</f>
        <v>1.2725344644750797E-2</v>
      </c>
      <c r="C207" s="61">
        <f>'БазНорм (обр)'!J199</f>
        <v>1</v>
      </c>
      <c r="D207" s="122">
        <f>'БазНорм (обр)'!K199</f>
        <v>5860.0099999999993</v>
      </c>
      <c r="E207" s="68">
        <f>B207*D207</f>
        <v>74.570646871686108</v>
      </c>
      <c r="F207" s="192"/>
    </row>
    <row r="208" spans="1:6" ht="30" customHeight="1" outlineLevel="1" x14ac:dyDescent="0.3">
      <c r="A208" s="183" t="s">
        <v>17</v>
      </c>
      <c r="B208" s="183"/>
      <c r="C208" s="183"/>
      <c r="D208" s="183"/>
      <c r="E208" s="73">
        <v>0</v>
      </c>
      <c r="F208" s="192"/>
    </row>
    <row r="209" spans="1:6" outlineLevel="2" x14ac:dyDescent="0.3">
      <c r="A209" s="57"/>
      <c r="B209" s="57"/>
      <c r="C209" s="57"/>
      <c r="D209" s="57"/>
      <c r="E209" s="57"/>
      <c r="F209" s="192"/>
    </row>
    <row r="210" spans="1:6" outlineLevel="2" x14ac:dyDescent="0.3">
      <c r="A210" s="57"/>
      <c r="B210" s="57"/>
      <c r="C210" s="57"/>
      <c r="D210" s="57"/>
      <c r="E210" s="57"/>
      <c r="F210" s="192"/>
    </row>
    <row r="211" spans="1:6" outlineLevel="2" x14ac:dyDescent="0.3">
      <c r="A211" s="57"/>
      <c r="B211" s="57"/>
      <c r="C211" s="57"/>
      <c r="D211" s="57"/>
      <c r="E211" s="57"/>
      <c r="F211" s="192"/>
    </row>
    <row r="212" spans="1:6" ht="30" customHeight="1" outlineLevel="1" x14ac:dyDescent="0.3">
      <c r="A212" s="183" t="s">
        <v>20</v>
      </c>
      <c r="B212" s="183"/>
      <c r="C212" s="183"/>
      <c r="D212" s="183"/>
      <c r="E212" s="73">
        <v>0</v>
      </c>
      <c r="F212" s="192"/>
    </row>
    <row r="213" spans="1:6" ht="27.75" customHeight="1" outlineLevel="2" x14ac:dyDescent="0.3">
      <c r="A213" s="131" t="str">
        <f>'БазНорм (обр)'!A205</f>
        <v>Административно-управленческий персонал</v>
      </c>
      <c r="B213" s="64">
        <f>'БазНорм (обр)'!C205</f>
        <v>5.3022269353128317E-3</v>
      </c>
      <c r="C213" s="68">
        <f>'БазНорм (обр)'!J205</f>
        <v>1</v>
      </c>
      <c r="D213" s="68">
        <f>'БазНорм (обр)'!K205</f>
        <v>36009.629999999997</v>
      </c>
      <c r="E213" s="68">
        <f>B213/C213*D213</f>
        <v>190.93123011664898</v>
      </c>
      <c r="F213" s="192"/>
    </row>
    <row r="214" spans="1:6" outlineLevel="2" x14ac:dyDescent="0.3">
      <c r="A214" s="57"/>
      <c r="B214" s="57"/>
      <c r="C214" s="57"/>
      <c r="D214" s="57"/>
      <c r="E214" s="57"/>
      <c r="F214" s="192"/>
    </row>
    <row r="215" spans="1:6" outlineLevel="2" x14ac:dyDescent="0.3">
      <c r="A215" s="57"/>
      <c r="B215" s="57"/>
      <c r="C215" s="57"/>
      <c r="D215" s="57"/>
      <c r="E215" s="57"/>
      <c r="F215" s="192"/>
    </row>
    <row r="216" spans="1:6" ht="16.5" customHeight="1" outlineLevel="1" x14ac:dyDescent="0.3">
      <c r="A216" s="183" t="s">
        <v>23</v>
      </c>
      <c r="B216" s="183"/>
      <c r="C216" s="183"/>
      <c r="D216" s="183"/>
      <c r="E216" s="73">
        <f>E217+E218+E219+E220+E221+E222+E223+E224+E225+E226+E227+E228+E229+E230+E231+E232+E233+E234+E235+E236+E237+E238+E239+E240+E259+E263+E293+E297</f>
        <v>286.53563392797093</v>
      </c>
      <c r="F216" s="192"/>
    </row>
    <row r="217" spans="1:6" ht="26" outlineLevel="2" x14ac:dyDescent="0.3">
      <c r="A217" s="26" t="str">
        <f>'БазНорм (обр)'!A209</f>
        <v>Исследование воды после гидропромывки</v>
      </c>
      <c r="B217" s="52">
        <f>'БазНорм (обр)'!C209</f>
        <v>2.1208907741251328E-3</v>
      </c>
      <c r="C217" s="61">
        <f>'БазНорм (обр)'!J209</f>
        <v>1</v>
      </c>
      <c r="D217" s="122">
        <f>'БазНорм (обр)'!K209</f>
        <v>2795.78</v>
      </c>
      <c r="E217" s="125">
        <f>B217*D217</f>
        <v>5.929544008483564</v>
      </c>
      <c r="F217" s="192"/>
    </row>
    <row r="218" spans="1:6" outlineLevel="2" x14ac:dyDescent="0.3">
      <c r="A218" s="26" t="str">
        <f>'БазНорм (обр)'!A210</f>
        <v>Исследование воды</v>
      </c>
      <c r="B218" s="52">
        <f>'БазНорм (обр)'!C210</f>
        <v>2.1208907741251328E-3</v>
      </c>
      <c r="C218" s="61">
        <f>'БазНорм (обр)'!J210</f>
        <v>1</v>
      </c>
      <c r="D218" s="122">
        <f>'БазНорм (обр)'!K210</f>
        <v>2918.92</v>
      </c>
      <c r="E218" s="125">
        <f t="shared" ref="E218:E239" si="5">B218*D218</f>
        <v>6.1907104984093326</v>
      </c>
      <c r="F218" s="192"/>
    </row>
    <row r="219" spans="1:6" ht="104" outlineLevel="2" x14ac:dyDescent="0.3">
      <c r="A219" s="26" t="str">
        <f>'БазНорм (обр)'!A211</f>
        <v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v>
      </c>
      <c r="B219" s="52">
        <f>'БазНорм (обр)'!C211</f>
        <v>0</v>
      </c>
      <c r="C219" s="61">
        <f>'БазНорм (обр)'!J211</f>
        <v>1</v>
      </c>
      <c r="D219" s="122">
        <f>'БазНорм (обр)'!K211</f>
        <v>20639.89</v>
      </c>
      <c r="E219" s="125">
        <f t="shared" si="5"/>
        <v>0</v>
      </c>
      <c r="F219" s="192"/>
    </row>
    <row r="220" spans="1:6" outlineLevel="2" x14ac:dyDescent="0.3">
      <c r="A220" s="26" t="str">
        <f>'БазНорм (обр)'!A212</f>
        <v>Замеры ЭМП</v>
      </c>
      <c r="B220" s="52">
        <f>'БазНорм (обр)'!C212</f>
        <v>0</v>
      </c>
      <c r="C220" s="61">
        <f>'БазНорм (обр)'!J212</f>
        <v>1</v>
      </c>
      <c r="D220" s="122">
        <f>'БазНорм (обр)'!K212</f>
        <v>3080.48</v>
      </c>
      <c r="E220" s="125">
        <f t="shared" si="5"/>
        <v>0</v>
      </c>
      <c r="F220" s="192"/>
    </row>
    <row r="221" spans="1:6" outlineLevel="2" x14ac:dyDescent="0.3">
      <c r="A221" s="26" t="str">
        <f>'БазНорм (обр)'!A213</f>
        <v>Зарядка огнетушителей</v>
      </c>
      <c r="B221" s="52">
        <f>'БазНорм (обр)'!C213</f>
        <v>0</v>
      </c>
      <c r="C221" s="61">
        <f>'БазНорм (обр)'!J213</f>
        <v>1</v>
      </c>
      <c r="D221" s="122">
        <f>'БазНорм (обр)'!K213</f>
        <v>439</v>
      </c>
      <c r="E221" s="125">
        <f t="shared" si="5"/>
        <v>0</v>
      </c>
      <c r="F221" s="192"/>
    </row>
    <row r="222" spans="1:6" ht="26" outlineLevel="2" x14ac:dyDescent="0.3">
      <c r="A222" s="26" t="str">
        <f>'БазНорм (обр)'!A214</f>
        <v>Испытание эл/защитных средств (перчатки)</v>
      </c>
      <c r="B222" s="52">
        <f>'БазНорм (обр)'!C214</f>
        <v>0</v>
      </c>
      <c r="C222" s="61">
        <f>'БазНорм (обр)'!J214</f>
        <v>1</v>
      </c>
      <c r="D222" s="122">
        <f>'БазНорм (обр)'!K214</f>
        <v>268.53333333333336</v>
      </c>
      <c r="E222" s="125">
        <f t="shared" si="5"/>
        <v>0</v>
      </c>
      <c r="F222" s="192"/>
    </row>
    <row r="223" spans="1:6" outlineLevel="2" x14ac:dyDescent="0.3">
      <c r="A223" s="26" t="str">
        <f>'БазНорм (обр)'!A215</f>
        <v>Демеркуризация ламп</v>
      </c>
      <c r="B223" s="52">
        <f>'БазНорм (обр)'!C215</f>
        <v>0</v>
      </c>
      <c r="C223" s="61">
        <f>'БазНорм (обр)'!J215</f>
        <v>1</v>
      </c>
      <c r="D223" s="122">
        <f>'БазНорм (обр)'!K215</f>
        <v>21.433333333333334</v>
      </c>
      <c r="E223" s="125">
        <f t="shared" si="5"/>
        <v>0</v>
      </c>
      <c r="F223" s="192"/>
    </row>
    <row r="224" spans="1:6" outlineLevel="2" x14ac:dyDescent="0.3">
      <c r="A224" s="26" t="str">
        <f>'БазНорм (обр)'!A216</f>
        <v>Испытание пожарных кранов</v>
      </c>
      <c r="B224" s="52">
        <f>'БазНорм (обр)'!C216</f>
        <v>0</v>
      </c>
      <c r="C224" s="61">
        <f>'БазНорм (обр)'!J216</f>
        <v>1</v>
      </c>
      <c r="D224" s="122">
        <f>'БазНорм (обр)'!K216</f>
        <v>910</v>
      </c>
      <c r="E224" s="125">
        <f t="shared" si="5"/>
        <v>0</v>
      </c>
      <c r="F224" s="192"/>
    </row>
    <row r="225" spans="1:6" outlineLevel="2" x14ac:dyDescent="0.3">
      <c r="A225" s="26" t="str">
        <f>'БазНорм (обр)'!A217</f>
        <v>Поверка ростомеры металл.</v>
      </c>
      <c r="B225" s="52">
        <f>'БазНорм (обр)'!C217</f>
        <v>0</v>
      </c>
      <c r="C225" s="61">
        <f>'БазНорм (обр)'!J217</f>
        <v>1</v>
      </c>
      <c r="D225" s="122">
        <f>'БазНорм (обр)'!K217</f>
        <v>164.72666666666666</v>
      </c>
      <c r="E225" s="125">
        <f t="shared" si="5"/>
        <v>0</v>
      </c>
      <c r="F225" s="192"/>
    </row>
    <row r="226" spans="1:6" ht="26" outlineLevel="2" x14ac:dyDescent="0.3">
      <c r="A226" s="26" t="str">
        <f>'БазНорм (обр)'!A218</f>
        <v>Поверка приборов учета тепловой энергии</v>
      </c>
      <c r="B226" s="52">
        <f>'БазНорм (обр)'!C218</f>
        <v>0</v>
      </c>
      <c r="C226" s="61">
        <f>'БазНорм (обр)'!J218</f>
        <v>1</v>
      </c>
      <c r="D226" s="122">
        <f>'БазНорм (обр)'!K218</f>
        <v>5833.34</v>
      </c>
      <c r="E226" s="125">
        <f t="shared" si="5"/>
        <v>0</v>
      </c>
      <c r="F226" s="192"/>
    </row>
    <row r="227" spans="1:6" outlineLevel="2" x14ac:dyDescent="0.3">
      <c r="A227" s="26" t="str">
        <f>'БазНорм (обр)'!A219</f>
        <v>Поверка весы торговые</v>
      </c>
      <c r="B227" s="52">
        <f>'БазНорм (обр)'!C219</f>
        <v>0</v>
      </c>
      <c r="C227" s="61">
        <f>'БазНорм (обр)'!J219</f>
        <v>1</v>
      </c>
      <c r="D227" s="122">
        <f>'БазНорм (обр)'!K219</f>
        <v>805.14</v>
      </c>
      <c r="E227" s="125">
        <f t="shared" si="5"/>
        <v>0</v>
      </c>
      <c r="F227" s="192"/>
    </row>
    <row r="228" spans="1:6" outlineLevel="2" x14ac:dyDescent="0.3">
      <c r="A228" s="26" t="str">
        <f>'БазНорм (обр)'!A220</f>
        <v>Поверка весы медицинские</v>
      </c>
      <c r="B228" s="52">
        <f>'БазНорм (обр)'!C220</f>
        <v>0</v>
      </c>
      <c r="C228" s="61">
        <f>'БазНорм (обр)'!J220</f>
        <v>1</v>
      </c>
      <c r="D228" s="122">
        <f>'БазНорм (обр)'!K220</f>
        <v>754.68999999999994</v>
      </c>
      <c r="E228" s="125">
        <f t="shared" si="5"/>
        <v>0</v>
      </c>
      <c r="F228" s="192"/>
    </row>
    <row r="229" spans="1:6" ht="26" outlineLevel="2" x14ac:dyDescent="0.3">
      <c r="A229" s="26" t="str">
        <f>'БазНорм (обр)'!A221</f>
        <v>Весы настольные циферблатные</v>
      </c>
      <c r="B229" s="52">
        <f>'БазНорм (обр)'!C221</f>
        <v>0</v>
      </c>
      <c r="C229" s="61">
        <f>'БазНорм (обр)'!J221</f>
        <v>1</v>
      </c>
      <c r="D229" s="122">
        <f>'БазНорм (обр)'!K221</f>
        <v>726.59666666666669</v>
      </c>
      <c r="E229" s="125">
        <f t="shared" si="5"/>
        <v>0</v>
      </c>
      <c r="F229" s="192"/>
    </row>
    <row r="230" spans="1:6" ht="26" outlineLevel="2" x14ac:dyDescent="0.3">
      <c r="A230" s="26" t="str">
        <f>'БазНорм (обр)'!A222</f>
        <v>Поверка торговые гири 5 и 6 класса</v>
      </c>
      <c r="B230" s="52">
        <f>'БазНорм (обр)'!C222</f>
        <v>0</v>
      </c>
      <c r="C230" s="61">
        <f>'БазНорм (обр)'!J222</f>
        <v>1</v>
      </c>
      <c r="D230" s="122">
        <f>'БазНорм (обр)'!K222</f>
        <v>213.02</v>
      </c>
      <c r="E230" s="125">
        <f t="shared" si="5"/>
        <v>0</v>
      </c>
      <c r="F230" s="192"/>
    </row>
    <row r="231" spans="1:6" outlineLevel="2" x14ac:dyDescent="0.3">
      <c r="A231" s="26" t="str">
        <f>'БазНорм (обр)'!A223</f>
        <v>Поверка манометры</v>
      </c>
      <c r="B231" s="52">
        <f>'БазНорм (обр)'!C223</f>
        <v>0</v>
      </c>
      <c r="C231" s="61">
        <f>'БазНорм (обр)'!J223</f>
        <v>1</v>
      </c>
      <c r="D231" s="122">
        <f>'БазНорм (обр)'!K223</f>
        <v>224.4</v>
      </c>
      <c r="E231" s="125">
        <f t="shared" si="5"/>
        <v>0</v>
      </c>
      <c r="F231" s="192"/>
    </row>
    <row r="232" spans="1:6" outlineLevel="2" x14ac:dyDescent="0.3">
      <c r="A232" s="26" t="str">
        <f>'БазНорм (обр)'!A224</f>
        <v>ТО медицинской техники</v>
      </c>
      <c r="B232" s="52">
        <f>'БазНорм (обр)'!C224</f>
        <v>0</v>
      </c>
      <c r="C232" s="61">
        <f>'БазНорм (обр)'!J224</f>
        <v>1</v>
      </c>
      <c r="D232" s="122">
        <f>'БазНорм (обр)'!K224</f>
        <v>203.1372549019608</v>
      </c>
      <c r="E232" s="125">
        <f t="shared" si="5"/>
        <v>0</v>
      </c>
      <c r="F232" s="192"/>
    </row>
    <row r="233" spans="1:6" ht="26" outlineLevel="2" x14ac:dyDescent="0.3">
      <c r="A233" s="26" t="str">
        <f>'БазНорм (обр)'!A225</f>
        <v>Поверка Гигрометры психрометрические</v>
      </c>
      <c r="B233" s="52">
        <f>'БазНорм (обр)'!C225</f>
        <v>0</v>
      </c>
      <c r="C233" s="61">
        <f>'БазНорм (обр)'!J225</f>
        <v>1</v>
      </c>
      <c r="D233" s="122">
        <f>'БазНорм (обр)'!K225</f>
        <v>292.6466666666667</v>
      </c>
      <c r="E233" s="125">
        <f t="shared" si="5"/>
        <v>0</v>
      </c>
      <c r="F233" s="192"/>
    </row>
    <row r="234" spans="1:6" outlineLevel="2" x14ac:dyDescent="0.3">
      <c r="A234" s="26" t="str">
        <f>'БазНорм (обр)'!A226</f>
        <v>Поверка тонометры</v>
      </c>
      <c r="B234" s="52">
        <f>'БазНорм (обр)'!C226</f>
        <v>0</v>
      </c>
      <c r="C234" s="61">
        <f>'БазНорм (обр)'!J226</f>
        <v>1</v>
      </c>
      <c r="D234" s="122">
        <f>'БазНорм (обр)'!K226</f>
        <v>452.95666666666665</v>
      </c>
      <c r="E234" s="125">
        <f t="shared" si="5"/>
        <v>0</v>
      </c>
      <c r="F234" s="192"/>
    </row>
    <row r="235" spans="1:6" ht="26" outlineLevel="2" x14ac:dyDescent="0.3">
      <c r="A235" s="26" t="str">
        <f>'БазНорм (обр)'!A227</f>
        <v>Поверка весы электронные напольные</v>
      </c>
      <c r="B235" s="52">
        <f>'БазНорм (обр)'!C227</f>
        <v>0</v>
      </c>
      <c r="C235" s="61">
        <f>'БазНорм (обр)'!J227</f>
        <v>1</v>
      </c>
      <c r="D235" s="122">
        <f>'БазНорм (обр)'!K227</f>
        <v>1856.5366666666669</v>
      </c>
      <c r="E235" s="125">
        <f t="shared" si="5"/>
        <v>0</v>
      </c>
      <c r="F235" s="192"/>
    </row>
    <row r="236" spans="1:6" outlineLevel="2" x14ac:dyDescent="0.3">
      <c r="A236" s="26" t="str">
        <f>'БазНорм (обр)'!A228</f>
        <v>Поверка весы напольные</v>
      </c>
      <c r="B236" s="52">
        <f>'БазНорм (обр)'!C228</f>
        <v>0</v>
      </c>
      <c r="C236" s="61">
        <f>'БазНорм (обр)'!J228</f>
        <v>1</v>
      </c>
      <c r="D236" s="122">
        <f>'БазНорм (обр)'!K228</f>
        <v>869.09666666666669</v>
      </c>
      <c r="E236" s="125">
        <f t="shared" si="5"/>
        <v>0</v>
      </c>
      <c r="F236" s="192"/>
    </row>
    <row r="237" spans="1:6" ht="26" outlineLevel="2" x14ac:dyDescent="0.3">
      <c r="A237" s="26" t="str">
        <f>'БазНорм (обр)'!A229</f>
        <v>Поверка секундомеры механические</v>
      </c>
      <c r="B237" s="52">
        <f>'БазНорм (обр)'!C229</f>
        <v>0</v>
      </c>
      <c r="C237" s="61">
        <f>'БазНорм (обр)'!J229</f>
        <v>1</v>
      </c>
      <c r="D237" s="122">
        <f>'БазНорм (обр)'!K229</f>
        <v>288.40000000000003</v>
      </c>
      <c r="E237" s="125">
        <f t="shared" si="5"/>
        <v>0</v>
      </c>
      <c r="F237" s="192"/>
    </row>
    <row r="238" spans="1:6" ht="26" outlineLevel="2" x14ac:dyDescent="0.3">
      <c r="A238" s="26" t="str">
        <f>'БазНорм (обр)'!A230</f>
        <v>Поверка динамометры кистевые</v>
      </c>
      <c r="B238" s="52">
        <f>'БазНорм (обр)'!C230</f>
        <v>0</v>
      </c>
      <c r="C238" s="61">
        <f>'БазНорм (обр)'!J230</f>
        <v>1</v>
      </c>
      <c r="D238" s="122">
        <f>'БазНорм (обр)'!K230</f>
        <v>548.16</v>
      </c>
      <c r="E238" s="125">
        <f t="shared" si="5"/>
        <v>0</v>
      </c>
      <c r="F238" s="192"/>
    </row>
    <row r="239" spans="1:6" outlineLevel="2" x14ac:dyDescent="0.3">
      <c r="A239" s="26" t="str">
        <f>'БазНорм (обр)'!A231</f>
        <v>Курсы по теплоустановкам</v>
      </c>
      <c r="B239" s="52">
        <f>'БазНорм (обр)'!C231</f>
        <v>4.2417815482502655E-3</v>
      </c>
      <c r="C239" s="61">
        <f>'БазНорм (обр)'!J231</f>
        <v>1</v>
      </c>
      <c r="D239" s="122">
        <f>'БазНорм (обр)'!K231</f>
        <v>4466.666666666667</v>
      </c>
      <c r="E239" s="125">
        <f t="shared" si="5"/>
        <v>18.946624248851187</v>
      </c>
      <c r="F239" s="192"/>
    </row>
    <row r="240" spans="1:6" s="60" customFormat="1" outlineLevel="2" x14ac:dyDescent="0.3">
      <c r="A240" s="33" t="s">
        <v>64</v>
      </c>
      <c r="B240" s="51" t="s">
        <v>3</v>
      </c>
      <c r="C240" s="126" t="s">
        <v>3</v>
      </c>
      <c r="D240" s="127" t="s">
        <v>3</v>
      </c>
      <c r="E240" s="127">
        <f>SUM(E241:E258)</f>
        <v>48.875433015199718</v>
      </c>
      <c r="F240" s="192"/>
    </row>
    <row r="241" spans="1:6" outlineLevel="3" x14ac:dyDescent="0.3">
      <c r="A241" s="26" t="str">
        <f>'БазНорм (обр)'!A233</f>
        <v>Доска разделочная</v>
      </c>
      <c r="B241" s="52">
        <f>'БазНорм (обр)'!C233</f>
        <v>0</v>
      </c>
      <c r="C241" s="61">
        <f>'БазНорм (обр)'!J233</f>
        <v>1</v>
      </c>
      <c r="D241" s="122">
        <f>'БазНорм (обр)'!K233</f>
        <v>378</v>
      </c>
      <c r="E241" s="125">
        <f>B241/C241*D241</f>
        <v>0</v>
      </c>
      <c r="F241" s="192"/>
    </row>
    <row r="242" spans="1:6" outlineLevel="3" x14ac:dyDescent="0.3">
      <c r="A242" s="26" t="str">
        <f>'БазНорм (обр)'!A234</f>
        <v xml:space="preserve">Блюдце </v>
      </c>
      <c r="B242" s="52">
        <f>'БазНорм (обр)'!C234</f>
        <v>0</v>
      </c>
      <c r="C242" s="61">
        <f>'БазНорм (обр)'!J234</f>
        <v>1</v>
      </c>
      <c r="D242" s="122">
        <f>'БазНорм (обр)'!K234</f>
        <v>80</v>
      </c>
      <c r="E242" s="125">
        <f>B242/C242*D242</f>
        <v>0</v>
      </c>
      <c r="F242" s="192"/>
    </row>
    <row r="243" spans="1:6" outlineLevel="3" x14ac:dyDescent="0.3">
      <c r="A243" s="26" t="str">
        <f>'БазНорм (обр)'!A235</f>
        <v>Тарелка маленькая</v>
      </c>
      <c r="B243" s="52">
        <f>'БазНорм (обр)'!C235</f>
        <v>0</v>
      </c>
      <c r="C243" s="61">
        <f>'БазНорм (обр)'!J235</f>
        <v>1</v>
      </c>
      <c r="D243" s="122">
        <f>'БазНорм (обр)'!K235</f>
        <v>100</v>
      </c>
      <c r="E243" s="125">
        <f t="shared" ref="E243:E262" si="6">B243/C243*D243</f>
        <v>0</v>
      </c>
      <c r="F243" s="192"/>
    </row>
    <row r="244" spans="1:6" outlineLevel="3" x14ac:dyDescent="0.3">
      <c r="A244" s="26" t="str">
        <f>'БазНорм (обр)'!A236</f>
        <v>Тарелка мелкая</v>
      </c>
      <c r="B244" s="52">
        <f>'БазНорм (обр)'!C236</f>
        <v>0.53022269353128315</v>
      </c>
      <c r="C244" s="61">
        <f>'БазНорм (обр)'!J236</f>
        <v>1</v>
      </c>
      <c r="D244" s="122">
        <f>'БазНорм (обр)'!K236</f>
        <v>27.416666666666668</v>
      </c>
      <c r="E244" s="125">
        <f t="shared" si="6"/>
        <v>14.536938847649347</v>
      </c>
      <c r="F244" s="192"/>
    </row>
    <row r="245" spans="1:6" outlineLevel="3" x14ac:dyDescent="0.3">
      <c r="A245" s="26" t="str">
        <f>'БазНорм (обр)'!A237</f>
        <v>Тарелка глубокая</v>
      </c>
      <c r="B245" s="52">
        <f>'БазНорм (обр)'!C237</f>
        <v>0.33934252386002123</v>
      </c>
      <c r="C245" s="61">
        <f>'БазНорм (обр)'!J237</f>
        <v>1</v>
      </c>
      <c r="D245" s="122">
        <f>'БазНорм (обр)'!K237</f>
        <v>34.39</v>
      </c>
      <c r="E245" s="125">
        <f t="shared" si="6"/>
        <v>11.66998939554613</v>
      </c>
      <c r="F245" s="192"/>
    </row>
    <row r="246" spans="1:6" outlineLevel="3" x14ac:dyDescent="0.3">
      <c r="A246" s="26" t="str">
        <f>'БазНорм (обр)'!A238</f>
        <v>Ложка столовая</v>
      </c>
      <c r="B246" s="52">
        <f>'БазНорм (обр)'!C238</f>
        <v>0.21633085896076351</v>
      </c>
      <c r="C246" s="61">
        <f>'БазНорм (обр)'!J238</f>
        <v>1</v>
      </c>
      <c r="D246" s="122">
        <f>'БазНорм (обр)'!K238</f>
        <v>14.466666666666667</v>
      </c>
      <c r="E246" s="125">
        <f t="shared" si="6"/>
        <v>3.1295864262990456</v>
      </c>
      <c r="F246" s="192"/>
    </row>
    <row r="247" spans="1:6" outlineLevel="3" x14ac:dyDescent="0.3">
      <c r="A247" s="26" t="str">
        <f>'БазНорм (обр)'!A239</f>
        <v>Вилка столовая</v>
      </c>
      <c r="B247" s="52">
        <f>'БазНорм (обр)'!C239</f>
        <v>0.21633085896076351</v>
      </c>
      <c r="C247" s="61">
        <f>'БазНорм (обр)'!J239</f>
        <v>1</v>
      </c>
      <c r="D247" s="122">
        <f>'БазНорм (обр)'!K239</f>
        <v>14.466666666666667</v>
      </c>
      <c r="E247" s="125">
        <f t="shared" si="6"/>
        <v>3.1295864262990456</v>
      </c>
      <c r="F247" s="192"/>
    </row>
    <row r="248" spans="1:6" outlineLevel="3" x14ac:dyDescent="0.3">
      <c r="A248" s="26" t="str">
        <f>'БазНорм (обр)'!A240</f>
        <v>Таз 12 л.</v>
      </c>
      <c r="B248" s="52">
        <f>'БазНорм (обр)'!C240</f>
        <v>0</v>
      </c>
      <c r="C248" s="61">
        <f>'БазНорм (обр)'!J240</f>
        <v>1</v>
      </c>
      <c r="D248" s="122">
        <f>'БазНорм (обр)'!K240</f>
        <v>1158</v>
      </c>
      <c r="E248" s="125">
        <f t="shared" si="6"/>
        <v>0</v>
      </c>
      <c r="F248" s="192"/>
    </row>
    <row r="249" spans="1:6" outlineLevel="3" x14ac:dyDescent="0.3">
      <c r="A249" s="26" t="str">
        <f>'БазНорм (обр)'!A241</f>
        <v>Таз 5 л</v>
      </c>
      <c r="B249" s="52">
        <f>'БазНорм (обр)'!C241</f>
        <v>0</v>
      </c>
      <c r="C249" s="61">
        <f>'БазНорм (обр)'!J241</f>
        <v>1</v>
      </c>
      <c r="D249" s="122">
        <f>'БазНорм (обр)'!K241</f>
        <v>90.1</v>
      </c>
      <c r="E249" s="125">
        <f t="shared" si="6"/>
        <v>0</v>
      </c>
      <c r="F249" s="192"/>
    </row>
    <row r="250" spans="1:6" outlineLevel="3" x14ac:dyDescent="0.3">
      <c r="A250" s="26" t="str">
        <f>'БазНорм (обр)'!A242</f>
        <v>Противень</v>
      </c>
      <c r="B250" s="52">
        <f>'БазНорм (обр)'!C242</f>
        <v>0</v>
      </c>
      <c r="C250" s="61">
        <f>'БазНорм (обр)'!J242</f>
        <v>1</v>
      </c>
      <c r="D250" s="122">
        <f>'БазНорм (обр)'!K242</f>
        <v>676</v>
      </c>
      <c r="E250" s="125">
        <f t="shared" si="6"/>
        <v>0</v>
      </c>
      <c r="F250" s="192"/>
    </row>
    <row r="251" spans="1:6" outlineLevel="3" x14ac:dyDescent="0.3">
      <c r="A251" s="26" t="str">
        <f>'БазНорм (обр)'!A243</f>
        <v>Лоток для мяса</v>
      </c>
      <c r="B251" s="52">
        <f>'БазНорм (обр)'!C243</f>
        <v>0</v>
      </c>
      <c r="C251" s="61">
        <f>'БазНорм (обр)'!J243</f>
        <v>1</v>
      </c>
      <c r="D251" s="122">
        <f>'БазНорм (обр)'!K243</f>
        <v>1885.5</v>
      </c>
      <c r="E251" s="125">
        <f t="shared" si="6"/>
        <v>0</v>
      </c>
      <c r="F251" s="192"/>
    </row>
    <row r="252" spans="1:6" outlineLevel="3" x14ac:dyDescent="0.3">
      <c r="A252" s="26" t="str">
        <f>'БазНорм (обр)'!A244</f>
        <v>Лоток глубокий</v>
      </c>
      <c r="B252" s="52">
        <f>'БазНорм (обр)'!C244</f>
        <v>0</v>
      </c>
      <c r="C252" s="61">
        <f>'БазНорм (обр)'!J244</f>
        <v>1</v>
      </c>
      <c r="D252" s="122">
        <f>'БазНорм (обр)'!K244</f>
        <v>862</v>
      </c>
      <c r="E252" s="125">
        <f t="shared" si="6"/>
        <v>0</v>
      </c>
      <c r="F252" s="192"/>
    </row>
    <row r="253" spans="1:6" outlineLevel="3" x14ac:dyDescent="0.3">
      <c r="A253" s="26" t="str">
        <f>'БазНорм (обр)'!A245</f>
        <v>Кастрюля 15 л.</v>
      </c>
      <c r="B253" s="52">
        <f>'БазНорм (обр)'!C245</f>
        <v>0</v>
      </c>
      <c r="C253" s="61">
        <f>'БазНорм (обр)'!J245</f>
        <v>1</v>
      </c>
      <c r="D253" s="122">
        <f>'БазНорм (обр)'!K245</f>
        <v>2631</v>
      </c>
      <c r="E253" s="125">
        <f t="shared" si="6"/>
        <v>0</v>
      </c>
      <c r="F253" s="192"/>
    </row>
    <row r="254" spans="1:6" outlineLevel="3" x14ac:dyDescent="0.3">
      <c r="A254" s="26" t="str">
        <f>'БазНорм (обр)'!A246</f>
        <v>Кастрюля 20 л.</v>
      </c>
      <c r="B254" s="52">
        <f>'БазНорм (обр)'!C246</f>
        <v>0</v>
      </c>
      <c r="C254" s="61">
        <f>'БазНорм (обр)'!J246</f>
        <v>1</v>
      </c>
      <c r="D254" s="122">
        <f>'БазНорм (обр)'!K246</f>
        <v>1430.1</v>
      </c>
      <c r="E254" s="125">
        <f t="shared" si="6"/>
        <v>0</v>
      </c>
      <c r="F254" s="192"/>
    </row>
    <row r="255" spans="1:6" outlineLevel="3" x14ac:dyDescent="0.3">
      <c r="A255" s="26" t="str">
        <f>'БазНорм (обр)'!A247</f>
        <v>Корзина для стаканов и чашек</v>
      </c>
      <c r="B255" s="52">
        <f>'БазНорм (обр)'!C247</f>
        <v>0</v>
      </c>
      <c r="C255" s="61">
        <f>'БазНорм (обр)'!J247</f>
        <v>1</v>
      </c>
      <c r="D255" s="122">
        <f>'БазНорм (обр)'!K247</f>
        <v>2178</v>
      </c>
      <c r="E255" s="125">
        <f t="shared" si="6"/>
        <v>0</v>
      </c>
      <c r="F255" s="192"/>
    </row>
    <row r="256" spans="1:6" outlineLevel="3" x14ac:dyDescent="0.3">
      <c r="A256" s="26" t="str">
        <f>'БазНорм (обр)'!A248</f>
        <v>Стакан граненый</v>
      </c>
      <c r="B256" s="52">
        <f>'БазНорм (обр)'!C248</f>
        <v>0.22905620360551432</v>
      </c>
      <c r="C256" s="61">
        <f>'БазНорм (обр)'!J248</f>
        <v>1</v>
      </c>
      <c r="D256" s="122">
        <f>'БазНорм (обр)'!K248</f>
        <v>18</v>
      </c>
      <c r="E256" s="125">
        <f t="shared" si="6"/>
        <v>4.1230116648992574</v>
      </c>
      <c r="F256" s="192"/>
    </row>
    <row r="257" spans="1:6" outlineLevel="3" x14ac:dyDescent="0.3">
      <c r="A257" s="26" t="str">
        <f>'БазНорм (обр)'!A249</f>
        <v>Сито</v>
      </c>
      <c r="B257" s="52">
        <f>'БазНорм (обр)'!C249</f>
        <v>0</v>
      </c>
      <c r="C257" s="61">
        <f>'БазНорм (обр)'!J249</f>
        <v>1</v>
      </c>
      <c r="D257" s="122">
        <f>'БазНорм (обр)'!K249</f>
        <v>1642</v>
      </c>
      <c r="E257" s="125">
        <f t="shared" si="6"/>
        <v>0</v>
      </c>
      <c r="F257" s="192"/>
    </row>
    <row r="258" spans="1:6" outlineLevel="3" x14ac:dyDescent="0.3">
      <c r="A258" s="26" t="str">
        <f>'БазНорм (обр)'!A250</f>
        <v>Нож повара</v>
      </c>
      <c r="B258" s="52">
        <f>'БазНорм (обр)'!C250</f>
        <v>6.3626723223753979E-3</v>
      </c>
      <c r="C258" s="61">
        <f>'БазНорм (обр)'!J250</f>
        <v>1</v>
      </c>
      <c r="D258" s="122">
        <f>'БазНорм (обр)'!K250</f>
        <v>1931</v>
      </c>
      <c r="E258" s="125">
        <f t="shared" si="6"/>
        <v>12.286320254506894</v>
      </c>
      <c r="F258" s="192"/>
    </row>
    <row r="259" spans="1:6" s="60" customFormat="1" outlineLevel="2" x14ac:dyDescent="0.3">
      <c r="A259" s="33" t="s">
        <v>480</v>
      </c>
      <c r="B259" s="51" t="s">
        <v>3</v>
      </c>
      <c r="C259" s="126" t="s">
        <v>3</v>
      </c>
      <c r="D259" s="127" t="s">
        <v>3</v>
      </c>
      <c r="E259" s="127">
        <f>SUM(E260:E262)</f>
        <v>0</v>
      </c>
      <c r="F259" s="192"/>
    </row>
    <row r="260" spans="1:6" outlineLevel="3" x14ac:dyDescent="0.3">
      <c r="A260" s="26" t="str">
        <f>'БазНорм (обр)'!A252</f>
        <v>Посудомоечная машина</v>
      </c>
      <c r="B260" s="52">
        <f>'БазНорм (обр)'!C252</f>
        <v>0</v>
      </c>
      <c r="C260" s="61">
        <f>'БазНорм (обр)'!J252</f>
        <v>5</v>
      </c>
      <c r="D260" s="122">
        <f>'БазНорм (обр)'!K252</f>
        <v>130726.66666666667</v>
      </c>
      <c r="E260" s="125">
        <f t="shared" si="6"/>
        <v>0</v>
      </c>
      <c r="F260" s="192"/>
    </row>
    <row r="261" spans="1:6" ht="26" outlineLevel="3" x14ac:dyDescent="0.3">
      <c r="A261" s="26" t="str">
        <f>'БазНорм (обр)'!A253</f>
        <v>Холодильная камера 2х дверная Полюс-R 1400"</v>
      </c>
      <c r="B261" s="52">
        <f>'БазНорм (обр)'!C253</f>
        <v>0</v>
      </c>
      <c r="C261" s="61">
        <f>'БазНорм (обр)'!J253</f>
        <v>5</v>
      </c>
      <c r="D261" s="122">
        <f>'БазНорм (обр)'!K253</f>
        <v>104000</v>
      </c>
      <c r="E261" s="125">
        <f t="shared" si="6"/>
        <v>0</v>
      </c>
      <c r="F261" s="192"/>
    </row>
    <row r="262" spans="1:6" ht="26" outlineLevel="3" x14ac:dyDescent="0.3">
      <c r="A262" s="26" t="str">
        <f>'БазНорм (обр)'!A254</f>
        <v>Холодильная камера 1 дверная, "Полюс-R700"</v>
      </c>
      <c r="B262" s="52">
        <f>'БазНорм (обр)'!C254</f>
        <v>0</v>
      </c>
      <c r="C262" s="61">
        <f>'БазНорм (обр)'!J254</f>
        <v>5</v>
      </c>
      <c r="D262" s="122">
        <f>'БазНорм (обр)'!K254</f>
        <v>64500</v>
      </c>
      <c r="E262" s="125">
        <f t="shared" si="6"/>
        <v>0</v>
      </c>
      <c r="F262" s="192"/>
    </row>
    <row r="263" spans="1:6" s="60" customFormat="1" ht="26" outlineLevel="2" x14ac:dyDescent="0.3">
      <c r="A263" s="33" t="s">
        <v>68</v>
      </c>
      <c r="B263" s="51" t="s">
        <v>3</v>
      </c>
      <c r="C263" s="126" t="s">
        <v>3</v>
      </c>
      <c r="D263" s="127" t="s">
        <v>3</v>
      </c>
      <c r="E263" s="127">
        <f>SUM(E264:E292)</f>
        <v>206.5933221570271</v>
      </c>
      <c r="F263" s="192"/>
    </row>
    <row r="264" spans="1:6" outlineLevel="3" x14ac:dyDescent="0.3">
      <c r="A264" s="26" t="str">
        <f>'БазНорм (обр)'!A256</f>
        <v>Мыло хозяйственное</v>
      </c>
      <c r="B264" s="52">
        <f>'БазНорм (обр)'!C256</f>
        <v>0.41911148365465217</v>
      </c>
      <c r="C264" s="61">
        <f>'БазНорм (обр)'!J256</f>
        <v>1</v>
      </c>
      <c r="D264" s="122">
        <f>'БазНорм (обр)'!K256</f>
        <v>17.466666666666665</v>
      </c>
      <c r="E264" s="125">
        <f t="shared" ref="E264:E292" si="7">B264*D264</f>
        <v>7.3204805811679243</v>
      </c>
      <c r="F264" s="192"/>
    </row>
    <row r="265" spans="1:6" outlineLevel="3" x14ac:dyDescent="0.3">
      <c r="A265" s="26" t="str">
        <f>'БазНорм (обр)'!A257</f>
        <v>Мыло детское</v>
      </c>
      <c r="B265" s="52">
        <f>'БазНорм (обр)'!C257</f>
        <v>0.41911148365465217</v>
      </c>
      <c r="C265" s="61">
        <f>'БазНорм (обр)'!J257</f>
        <v>1</v>
      </c>
      <c r="D265" s="122">
        <f>'БазНорм (обр)'!K257</f>
        <v>12.933333333333332</v>
      </c>
      <c r="E265" s="125">
        <f t="shared" si="7"/>
        <v>5.4205085219335007</v>
      </c>
      <c r="F265" s="192"/>
    </row>
    <row r="266" spans="1:6" outlineLevel="3" x14ac:dyDescent="0.3">
      <c r="A266" s="26" t="str">
        <f>'БазНорм (обр)'!A258</f>
        <v>Порошок стиральный 0,4 кг.</v>
      </c>
      <c r="B266" s="52">
        <f>'БазНорм (обр)'!C258</f>
        <v>0.15088013411567477</v>
      </c>
      <c r="C266" s="61">
        <f>'БазНорм (обр)'!J258</f>
        <v>1</v>
      </c>
      <c r="D266" s="122">
        <f>'БазНорм (обр)'!K258</f>
        <v>36.5</v>
      </c>
      <c r="E266" s="125">
        <f t="shared" si="7"/>
        <v>5.5071248952221294</v>
      </c>
      <c r="F266" s="192"/>
    </row>
    <row r="267" spans="1:6" outlineLevel="3" x14ac:dyDescent="0.3">
      <c r="A267" s="26" t="str">
        <f>'БазНорм (обр)'!A259</f>
        <v>Порошок стиральный 1,8 кг.</v>
      </c>
      <c r="B267" s="52">
        <f>'БазНорм (обр)'!C259</f>
        <v>0</v>
      </c>
      <c r="C267" s="61">
        <f>'БазНорм (обр)'!J259</f>
        <v>1</v>
      </c>
      <c r="D267" s="122">
        <f>'БазНорм (обр)'!K259</f>
        <v>143.66666666666666</v>
      </c>
      <c r="E267" s="125">
        <f t="shared" si="7"/>
        <v>0</v>
      </c>
      <c r="F267" s="192"/>
    </row>
    <row r="268" spans="1:6" outlineLevel="3" x14ac:dyDescent="0.3">
      <c r="A268" s="26" t="str">
        <f>'БазНорм (обр)'!A260</f>
        <v>Сода кальценированная 0,4 кг</v>
      </c>
      <c r="B268" s="52">
        <f>'БазНорм (обр)'!C260</f>
        <v>0.25146689019279128</v>
      </c>
      <c r="C268" s="61">
        <f>'БазНорм (обр)'!J260</f>
        <v>1</v>
      </c>
      <c r="D268" s="122">
        <f>'БазНорм (обр)'!K260</f>
        <v>19.166666666666668</v>
      </c>
      <c r="E268" s="125">
        <f t="shared" si="7"/>
        <v>4.8197820620284997</v>
      </c>
      <c r="F268" s="192"/>
    </row>
    <row r="269" spans="1:6" outlineLevel="3" x14ac:dyDescent="0.3">
      <c r="A269" s="26" t="str">
        <f>'БазНорм (обр)'!A261</f>
        <v>Паста чистящая</v>
      </c>
      <c r="B269" s="52">
        <f>'БазНорм (обр)'!C261</f>
        <v>0.16764459346186086</v>
      </c>
      <c r="C269" s="61">
        <f>'БазНорм (обр)'!J261</f>
        <v>1</v>
      </c>
      <c r="D269" s="122">
        <f>'БазНорм (обр)'!K261</f>
        <v>20.099999999999998</v>
      </c>
      <c r="E269" s="125">
        <f t="shared" si="7"/>
        <v>3.3696563285834031</v>
      </c>
      <c r="F269" s="192"/>
    </row>
    <row r="270" spans="1:6" ht="26" outlineLevel="3" x14ac:dyDescent="0.3">
      <c r="A270" s="26" t="str">
        <f>'БазНорм (обр)'!A262</f>
        <v>Средство для мытья плит 0,75 л.</v>
      </c>
      <c r="B270" s="52">
        <f>'БазНорм (обр)'!C262</f>
        <v>0</v>
      </c>
      <c r="C270" s="61">
        <f>'БазНорм (обр)'!J262</f>
        <v>1</v>
      </c>
      <c r="D270" s="122">
        <f>'БазНорм (обр)'!K262</f>
        <v>39.166666666666664</v>
      </c>
      <c r="E270" s="125">
        <f t="shared" si="7"/>
        <v>0</v>
      </c>
      <c r="F270" s="192"/>
    </row>
    <row r="271" spans="1:6" outlineLevel="3" x14ac:dyDescent="0.3">
      <c r="A271" s="26" t="str">
        <f>'БазНорм (обр)'!A263</f>
        <v xml:space="preserve">Средсто для мытья посуды </v>
      </c>
      <c r="B271" s="52">
        <f>'БазНорм (обр)'!C263</f>
        <v>0</v>
      </c>
      <c r="C271" s="61">
        <f>'БазНорм (обр)'!J263</f>
        <v>1</v>
      </c>
      <c r="D271" s="122">
        <f>'БазНорм (обр)'!K263</f>
        <v>101.66666666666667</v>
      </c>
      <c r="E271" s="125">
        <f t="shared" si="7"/>
        <v>0</v>
      </c>
      <c r="F271" s="192"/>
    </row>
    <row r="272" spans="1:6" ht="26" outlineLevel="3" x14ac:dyDescent="0.3">
      <c r="A272" s="26" t="str">
        <f>'БазНорм (обр)'!A264</f>
        <v>Чистящий порошок Пемолюкс 0,45 кг</v>
      </c>
      <c r="B272" s="52">
        <f>'БазНорм (обр)'!C264</f>
        <v>0.16764459346186086</v>
      </c>
      <c r="C272" s="61">
        <f>'БазНорм (обр)'!J264</f>
        <v>1</v>
      </c>
      <c r="D272" s="122">
        <f>'БазНорм (обр)'!K264</f>
        <v>32.666666666666664</v>
      </c>
      <c r="E272" s="125">
        <f t="shared" si="7"/>
        <v>5.4763900530874547</v>
      </c>
      <c r="F272" s="192"/>
    </row>
    <row r="273" spans="1:6" ht="26" outlineLevel="3" x14ac:dyDescent="0.3">
      <c r="A273" s="26" t="str">
        <f>'БазНорм (обр)'!A265</f>
        <v>Моющее средство для посудомоечной машины 2,5 кг.</v>
      </c>
      <c r="B273" s="52">
        <f>'БазНорм (обр)'!C265</f>
        <v>0</v>
      </c>
      <c r="C273" s="61">
        <f>'БазНорм (обр)'!J265</f>
        <v>1</v>
      </c>
      <c r="D273" s="122">
        <f>'БазНорм (обр)'!K265</f>
        <v>415</v>
      </c>
      <c r="E273" s="125">
        <f t="shared" si="7"/>
        <v>0</v>
      </c>
      <c r="F273" s="192"/>
    </row>
    <row r="274" spans="1:6" ht="26" outlineLevel="3" x14ac:dyDescent="0.3">
      <c r="A274" s="26" t="str">
        <f>'БазНорм (обр)'!A266</f>
        <v>Чистящий псредство Доместос 1 л.</v>
      </c>
      <c r="B274" s="52">
        <f>'БазНорм (обр)'!C266</f>
        <v>0</v>
      </c>
      <c r="C274" s="61">
        <f>'БазНорм (обр)'!J266</f>
        <v>1</v>
      </c>
      <c r="D274" s="122">
        <f>'БазНорм (обр)'!K266</f>
        <v>110.33333333333333</v>
      </c>
      <c r="E274" s="125">
        <f t="shared" si="7"/>
        <v>0</v>
      </c>
      <c r="F274" s="192"/>
    </row>
    <row r="275" spans="1:6" outlineLevel="3" x14ac:dyDescent="0.3">
      <c r="A275" s="26" t="str">
        <f>'БазНорм (обр)'!A267</f>
        <v>Чистящее средство 0,6 л.</v>
      </c>
      <c r="B275" s="52">
        <f>'БазНорм (обр)'!C267</f>
        <v>0</v>
      </c>
      <c r="C275" s="61">
        <f>'БазНорм (обр)'!J267</f>
        <v>1</v>
      </c>
      <c r="D275" s="122">
        <f>'БазНорм (обр)'!K267</f>
        <v>58.333333333333336</v>
      </c>
      <c r="E275" s="125">
        <f t="shared" si="7"/>
        <v>0</v>
      </c>
      <c r="F275" s="192"/>
    </row>
    <row r="276" spans="1:6" ht="26" outlineLevel="3" x14ac:dyDescent="0.3">
      <c r="A276" s="26" t="str">
        <f>'БазНорм (обр)'!A268</f>
        <v>Средство для мытья стекол 0,5 л.</v>
      </c>
      <c r="B276" s="52">
        <f>'БазНорм (обр)'!C268</f>
        <v>0</v>
      </c>
      <c r="C276" s="61">
        <f>'БазНорм (обр)'!J268</f>
        <v>1</v>
      </c>
      <c r="D276" s="122">
        <f>'БазНорм (обр)'!K268</f>
        <v>105.33333333333333</v>
      </c>
      <c r="E276" s="125">
        <f t="shared" si="7"/>
        <v>0</v>
      </c>
      <c r="F276" s="192"/>
    </row>
    <row r="277" spans="1:6" ht="26" outlineLevel="3" x14ac:dyDescent="0.3">
      <c r="A277" s="26" t="str">
        <f>'БазНорм (обр)'!A269</f>
        <v>Кондиционер для белья Ленор 1 л.</v>
      </c>
      <c r="B277" s="52">
        <f>'БазНорм (обр)'!C269</f>
        <v>0</v>
      </c>
      <c r="C277" s="61">
        <f>'БазНорм (обр)'!J269</f>
        <v>1</v>
      </c>
      <c r="D277" s="122">
        <f>'БазНорм (обр)'!K269</f>
        <v>120.66666666666667</v>
      </c>
      <c r="E277" s="125">
        <f t="shared" si="7"/>
        <v>0</v>
      </c>
      <c r="F277" s="192"/>
    </row>
    <row r="278" spans="1:6" outlineLevel="3" x14ac:dyDescent="0.3">
      <c r="A278" s="26" t="str">
        <f>'БазНорм (обр)'!A270</f>
        <v>Отбеливатель 1 л.</v>
      </c>
      <c r="B278" s="52">
        <f>'БазНорм (обр)'!C270</f>
        <v>0</v>
      </c>
      <c r="C278" s="61">
        <f>'БазНорм (обр)'!J270</f>
        <v>1</v>
      </c>
      <c r="D278" s="122">
        <f>'БазНорм (обр)'!K270</f>
        <v>61.933333333333337</v>
      </c>
      <c r="E278" s="125">
        <f t="shared" si="7"/>
        <v>0</v>
      </c>
      <c r="F278" s="192"/>
    </row>
    <row r="279" spans="1:6" outlineLevel="3" x14ac:dyDescent="0.3">
      <c r="A279" s="26" t="str">
        <f>'БазНорм (обр)'!A271</f>
        <v>Чистящее средсво для ванн 1 л.</v>
      </c>
      <c r="B279" s="52">
        <f>'БазНорм (обр)'!C271</f>
        <v>0</v>
      </c>
      <c r="C279" s="61">
        <f>'БазНорм (обр)'!J271</f>
        <v>1</v>
      </c>
      <c r="D279" s="122">
        <f>'БазНорм (обр)'!K271</f>
        <v>136.46666666666667</v>
      </c>
      <c r="E279" s="125">
        <f t="shared" si="7"/>
        <v>0</v>
      </c>
      <c r="F279" s="192"/>
    </row>
    <row r="280" spans="1:6" outlineLevel="3" x14ac:dyDescent="0.3">
      <c r="A280" s="26" t="str">
        <f>'БазНорм (обр)'!A272</f>
        <v>Жидкое мыло детское</v>
      </c>
      <c r="B280" s="52">
        <f>'БазНорм (обр)'!C272</f>
        <v>6.286672254819782E-2</v>
      </c>
      <c r="C280" s="61">
        <f>'БазНорм (обр)'!J272</f>
        <v>1</v>
      </c>
      <c r="D280" s="122">
        <f>'БазНорм (обр)'!K272</f>
        <v>56.233333333333327</v>
      </c>
      <c r="E280" s="125">
        <f t="shared" si="7"/>
        <v>3.5352053646269903</v>
      </c>
      <c r="F280" s="192"/>
    </row>
    <row r="281" spans="1:6" outlineLevel="3" x14ac:dyDescent="0.3">
      <c r="A281" s="26" t="str">
        <f>'БазНорм (обр)'!A273</f>
        <v>Жидкое мыло детское 5 л.</v>
      </c>
      <c r="B281" s="52">
        <f>'БазНорм (обр)'!C273</f>
        <v>0</v>
      </c>
      <c r="C281" s="61">
        <f>'БазНорм (обр)'!J273</f>
        <v>1</v>
      </c>
      <c r="D281" s="122">
        <f>'БазНорм (обр)'!K273</f>
        <v>331.66666666666669</v>
      </c>
      <c r="E281" s="125">
        <f t="shared" si="7"/>
        <v>0</v>
      </c>
      <c r="F281" s="192"/>
    </row>
    <row r="282" spans="1:6" outlineLevel="3" x14ac:dyDescent="0.3">
      <c r="A282" s="26" t="str">
        <f>'БазНорм (обр)'!A274</f>
        <v>Освежитель воздуха</v>
      </c>
      <c r="B282" s="52">
        <f>'БазНорм (обр)'!C274</f>
        <v>0</v>
      </c>
      <c r="C282" s="61">
        <f>'БазНорм (обр)'!J274</f>
        <v>1</v>
      </c>
      <c r="D282" s="122">
        <f>'БазНорм (обр)'!K274</f>
        <v>52.333333333333336</v>
      </c>
      <c r="E282" s="125">
        <f t="shared" si="7"/>
        <v>0</v>
      </c>
      <c r="F282" s="192"/>
    </row>
    <row r="283" spans="1:6" outlineLevel="3" x14ac:dyDescent="0.3">
      <c r="A283" s="26" t="str">
        <f>'БазНорм (обр)'!A275</f>
        <v>Ди-хлор 300 шт.</v>
      </c>
      <c r="B283" s="52">
        <f>'БазНорм (обр)'!C275</f>
        <v>3.7720033528918694E-2</v>
      </c>
      <c r="C283" s="61">
        <f>'БазНорм (обр)'!J275</f>
        <v>1</v>
      </c>
      <c r="D283" s="122">
        <f>'БазНорм (обр)'!K275</f>
        <v>533.33333333333337</v>
      </c>
      <c r="E283" s="125">
        <f t="shared" si="7"/>
        <v>20.117351215423305</v>
      </c>
      <c r="F283" s="192"/>
    </row>
    <row r="284" spans="1:6" outlineLevel="3" x14ac:dyDescent="0.3">
      <c r="A284" s="26" t="str">
        <f>'БазНорм (обр)'!A276</f>
        <v>Хлорамин</v>
      </c>
      <c r="B284" s="52">
        <f>'БазНорм (обр)'!C276</f>
        <v>0</v>
      </c>
      <c r="C284" s="61">
        <f>'БазНорм (обр)'!J276</f>
        <v>1</v>
      </c>
      <c r="D284" s="122">
        <f>'БазНорм (обр)'!K276</f>
        <v>165.66666666666666</v>
      </c>
      <c r="E284" s="125">
        <f t="shared" si="7"/>
        <v>0</v>
      </c>
      <c r="F284" s="192"/>
    </row>
    <row r="285" spans="1:6" outlineLevel="3" x14ac:dyDescent="0.3">
      <c r="A285" s="26" t="str">
        <f>'БазНорм (обр)'!A277</f>
        <v>Средство для мытья окон</v>
      </c>
      <c r="B285" s="52">
        <f>'БазНорм (обр)'!C277</f>
        <v>3.143336127409891E-2</v>
      </c>
      <c r="C285" s="61">
        <f>'БазНорм (обр)'!J277</f>
        <v>1</v>
      </c>
      <c r="D285" s="122">
        <f>'БазНорм (обр)'!K277</f>
        <v>56</v>
      </c>
      <c r="E285" s="125">
        <f t="shared" si="7"/>
        <v>1.760268231349539</v>
      </c>
      <c r="F285" s="192"/>
    </row>
    <row r="286" spans="1:6" outlineLevel="3" x14ac:dyDescent="0.3">
      <c r="A286" s="26" t="str">
        <f>'БазНорм (обр)'!A278</f>
        <v>Оптимакс 1 л.</v>
      </c>
      <c r="B286" s="52">
        <f>'БазНорм (обр)'!C278</f>
        <v>6.286672254819782E-2</v>
      </c>
      <c r="C286" s="61">
        <f>'БазНорм (обр)'!J278</f>
        <v>1</v>
      </c>
      <c r="D286" s="122">
        <f>'БазНорм (обр)'!K278</f>
        <v>333.33333333333331</v>
      </c>
      <c r="E286" s="125">
        <f t="shared" si="7"/>
        <v>20.955574182732605</v>
      </c>
      <c r="F286" s="192"/>
    </row>
    <row r="287" spans="1:6" outlineLevel="3" x14ac:dyDescent="0.3">
      <c r="A287" s="26" t="str">
        <f>'БазНорм (обр)'!A279</f>
        <v>Жавель солид</v>
      </c>
      <c r="B287" s="52">
        <f>'БазНорм (обр)'!C279</f>
        <v>0</v>
      </c>
      <c r="C287" s="61">
        <f>'БазНорм (обр)'!J279</f>
        <v>1</v>
      </c>
      <c r="D287" s="122">
        <f>'БазНорм (обр)'!K279</f>
        <v>760</v>
      </c>
      <c r="E287" s="125">
        <f t="shared" si="7"/>
        <v>0</v>
      </c>
      <c r="F287" s="192"/>
    </row>
    <row r="288" spans="1:6" outlineLevel="3" x14ac:dyDescent="0.3">
      <c r="A288" s="26" t="str">
        <f>'БазНорм (обр)'!A280</f>
        <v>Химический индикатор 50 шт.</v>
      </c>
      <c r="B288" s="52">
        <f>'БазНорм (обр)'!C280</f>
        <v>0</v>
      </c>
      <c r="C288" s="61">
        <f>'БазНорм (обр)'!J280</f>
        <v>1</v>
      </c>
      <c r="D288" s="122">
        <f>'БазНорм (обр)'!K280</f>
        <v>610</v>
      </c>
      <c r="E288" s="125">
        <f t="shared" si="7"/>
        <v>0</v>
      </c>
      <c r="F288" s="192"/>
    </row>
    <row r="289" spans="1:6" outlineLevel="3" x14ac:dyDescent="0.3">
      <c r="A289" s="26" t="str">
        <f>'БазНорм (обр)'!A281</f>
        <v>Средство САНФОР 750 мл</v>
      </c>
      <c r="B289" s="52">
        <f>'БазНорм (обр)'!C281</f>
        <v>6.286672254819782E-2</v>
      </c>
      <c r="C289" s="61">
        <f>'БазНорм (обр)'!J281</f>
        <v>1</v>
      </c>
      <c r="D289" s="122">
        <f>'БазНорм (обр)'!K281</f>
        <v>131.66666666666666</v>
      </c>
      <c r="E289" s="125">
        <f t="shared" si="7"/>
        <v>8.2774518021793799</v>
      </c>
      <c r="F289" s="192"/>
    </row>
    <row r="290" spans="1:6" ht="26" outlineLevel="3" x14ac:dyDescent="0.3">
      <c r="A290" s="26" t="str">
        <f>'БазНорм (обр)'!A282</f>
        <v>Средство для чистки туалетов (САНОКС)</v>
      </c>
      <c r="B290" s="52">
        <f>'БазНорм (обр)'!C282</f>
        <v>0</v>
      </c>
      <c r="C290" s="61">
        <f>'БазНорм (обр)'!J282</f>
        <v>1</v>
      </c>
      <c r="D290" s="122">
        <f>'БазНорм (обр)'!K282</f>
        <v>64.84</v>
      </c>
      <c r="E290" s="125">
        <f t="shared" si="7"/>
        <v>0</v>
      </c>
      <c r="F290" s="192"/>
    </row>
    <row r="291" spans="1:6" ht="26" outlineLevel="3" x14ac:dyDescent="0.3">
      <c r="A291" s="26" t="str">
        <f>'БазНорм (обр)'!A283</f>
        <v>Средство дизенфицирующее Дихлор(300 таблеток)</v>
      </c>
      <c r="B291" s="52">
        <f>'БазНорм (обр)'!C283</f>
        <v>3.143336127409891E-2</v>
      </c>
      <c r="C291" s="61">
        <f>'БазНорм (обр)'!J283</f>
        <v>1</v>
      </c>
      <c r="D291" s="122">
        <f>'БазНорм (обр)'!K283</f>
        <v>792</v>
      </c>
      <c r="E291" s="125">
        <f t="shared" si="7"/>
        <v>24.895222129086338</v>
      </c>
      <c r="F291" s="192"/>
    </row>
    <row r="292" spans="1:6" outlineLevel="3" x14ac:dyDescent="0.3">
      <c r="A292" s="26" t="str">
        <f>'БазНорм (обр)'!A284</f>
        <v>Средство для мытья пола 5 л</v>
      </c>
      <c r="B292" s="52">
        <f>'БазНорм (обр)'!C284</f>
        <v>6.286672254819782E-2</v>
      </c>
      <c r="C292" s="61">
        <f>'БазНорм (обр)'!J284</f>
        <v>1</v>
      </c>
      <c r="D292" s="122">
        <f>'БазНорм (обр)'!K284</f>
        <v>1513.3333333333333</v>
      </c>
      <c r="E292" s="125">
        <f t="shared" si="7"/>
        <v>95.138306789606034</v>
      </c>
      <c r="F292" s="192"/>
    </row>
    <row r="293" spans="1:6" s="60" customFormat="1" outlineLevel="2" x14ac:dyDescent="0.3">
      <c r="A293" s="33" t="s">
        <v>31</v>
      </c>
      <c r="B293" s="51" t="s">
        <v>3</v>
      </c>
      <c r="C293" s="126" t="s">
        <v>3</v>
      </c>
      <c r="D293" s="127" t="s">
        <v>3</v>
      </c>
      <c r="E293" s="127">
        <f>SUM(E294:E296)</f>
        <v>0</v>
      </c>
      <c r="F293" s="192"/>
    </row>
    <row r="294" spans="1:6" ht="26" outlineLevel="3" x14ac:dyDescent="0.3">
      <c r="A294" s="26" t="str">
        <f>'БазНорм (обр)'!A286</f>
        <v>Спец одежда. Костюм мужской</v>
      </c>
      <c r="B294" s="52">
        <f>'БазНорм (обр)'!C286</f>
        <v>0</v>
      </c>
      <c r="C294" s="61">
        <f>'БазНорм (обр)'!J286</f>
        <v>1</v>
      </c>
      <c r="D294" s="122">
        <f>'БазНорм (обр)'!K286</f>
        <v>3978.3333333333335</v>
      </c>
      <c r="E294" s="125">
        <f>B294/C294*D294</f>
        <v>0</v>
      </c>
      <c r="F294" s="192"/>
    </row>
    <row r="295" spans="1:6" outlineLevel="3" x14ac:dyDescent="0.3">
      <c r="A295" s="26" t="str">
        <f>'БазНорм (обр)'!A287</f>
        <v>Спец одежда. Халат женскй</v>
      </c>
      <c r="B295" s="52">
        <f>'БазНорм (обр)'!C287</f>
        <v>0</v>
      </c>
      <c r="C295" s="61">
        <f>'БазНорм (обр)'!J287</f>
        <v>1</v>
      </c>
      <c r="D295" s="122">
        <f>'БазНорм (обр)'!K287</f>
        <v>870</v>
      </c>
      <c r="E295" s="125">
        <f>B295/C295*D295</f>
        <v>0</v>
      </c>
      <c r="F295" s="192"/>
    </row>
    <row r="296" spans="1:6" outlineLevel="3" x14ac:dyDescent="0.3">
      <c r="A296" s="26" t="str">
        <f>'БазНорм (обр)'!A288</f>
        <v>Халат капроновый рабочий</v>
      </c>
      <c r="B296" s="52">
        <f>'БазНорм (обр)'!C288</f>
        <v>0</v>
      </c>
      <c r="C296" s="61">
        <f>'БазНорм (обр)'!J288</f>
        <v>1</v>
      </c>
      <c r="D296" s="122">
        <f>'БазНорм (обр)'!K288</f>
        <v>791.33333333333337</v>
      </c>
      <c r="E296" s="125">
        <f>B296/C296*D296</f>
        <v>0</v>
      </c>
      <c r="F296" s="192"/>
    </row>
    <row r="297" spans="1:6" ht="52" outlineLevel="2" x14ac:dyDescent="0.3">
      <c r="A297" s="33" t="s">
        <v>479</v>
      </c>
      <c r="B297" s="51" t="s">
        <v>3</v>
      </c>
      <c r="C297" s="126" t="s">
        <v>3</v>
      </c>
      <c r="D297" s="127" t="s">
        <v>3</v>
      </c>
      <c r="E297" s="127">
        <f>SUM(E298:E341)</f>
        <v>0</v>
      </c>
      <c r="F297" s="192"/>
    </row>
    <row r="298" spans="1:6" ht="26" outlineLevel="3" x14ac:dyDescent="0.3">
      <c r="A298" s="26" t="str">
        <f>'БазНорм (обр)'!A290</f>
        <v>Ножовка по металлу 300мм(5 см,полотен)</v>
      </c>
      <c r="B298" s="52">
        <f>'БазНорм (обр)'!C290</f>
        <v>0</v>
      </c>
      <c r="C298" s="61">
        <f>'БазНорм (обр)'!J290</f>
        <v>1</v>
      </c>
      <c r="D298" s="122">
        <f>'БазНорм (обр)'!K290</f>
        <v>283.33333333333331</v>
      </c>
      <c r="E298" s="125">
        <f t="shared" ref="E298:E307" si="8">B298/C298*D298</f>
        <v>0</v>
      </c>
      <c r="F298" s="192"/>
    </row>
    <row r="299" spans="1:6" outlineLevel="3" x14ac:dyDescent="0.3">
      <c r="A299" s="26" t="str">
        <f>'БазНорм (обр)'!A291</f>
        <v>Ножовка по дереву 350мм</v>
      </c>
      <c r="B299" s="52">
        <f>'БазНорм (обр)'!C291</f>
        <v>0</v>
      </c>
      <c r="C299" s="61">
        <f>'БазНорм (обр)'!J291</f>
        <v>1</v>
      </c>
      <c r="D299" s="122">
        <f>'БазНорм (обр)'!K291</f>
        <v>483.34</v>
      </c>
      <c r="E299" s="125">
        <f t="shared" si="8"/>
        <v>0</v>
      </c>
      <c r="F299" s="192"/>
    </row>
    <row r="300" spans="1:6" outlineLevel="3" x14ac:dyDescent="0.3">
      <c r="A300" s="26" t="str">
        <f>'БазНорм (обр)'!A292</f>
        <v>Стамеска  16мм</v>
      </c>
      <c r="B300" s="52">
        <f>'БазНорм (обр)'!C292</f>
        <v>0</v>
      </c>
      <c r="C300" s="61">
        <f>'БазНорм (обр)'!J292</f>
        <v>1</v>
      </c>
      <c r="D300" s="122">
        <f>'БазНорм (обр)'!K292</f>
        <v>233.33333333333334</v>
      </c>
      <c r="E300" s="125">
        <f t="shared" si="8"/>
        <v>0</v>
      </c>
      <c r="F300" s="192"/>
    </row>
    <row r="301" spans="1:6" outlineLevel="3" x14ac:dyDescent="0.3">
      <c r="A301" s="26" t="str">
        <f>'БазНорм (обр)'!A293</f>
        <v>Молоток</v>
      </c>
      <c r="B301" s="52">
        <f>'БазНорм (обр)'!C293</f>
        <v>0</v>
      </c>
      <c r="C301" s="61">
        <f>'БазНорм (обр)'!J293</f>
        <v>1</v>
      </c>
      <c r="D301" s="122">
        <f>'БазНорм (обр)'!K293</f>
        <v>230</v>
      </c>
      <c r="E301" s="125">
        <f t="shared" si="8"/>
        <v>0</v>
      </c>
      <c r="F301" s="192"/>
    </row>
    <row r="302" spans="1:6" outlineLevel="3" x14ac:dyDescent="0.3">
      <c r="A302" s="26" t="str">
        <f>'БазНорм (обр)'!A294</f>
        <v>Набор напильников</v>
      </c>
      <c r="B302" s="52">
        <f>'БазНорм (обр)'!C294</f>
        <v>0</v>
      </c>
      <c r="C302" s="61">
        <f>'БазНорм (обр)'!J294</f>
        <v>1</v>
      </c>
      <c r="D302" s="122">
        <f>'БазНорм (обр)'!K294</f>
        <v>1846.6666666666667</v>
      </c>
      <c r="E302" s="125">
        <f t="shared" si="8"/>
        <v>0</v>
      </c>
      <c r="F302" s="192"/>
    </row>
    <row r="303" spans="1:6" outlineLevel="3" x14ac:dyDescent="0.3">
      <c r="A303" s="26" t="str">
        <f>'БазНорм (обр)'!A295</f>
        <v>Ведро пластик 10л</v>
      </c>
      <c r="B303" s="52">
        <f>'БазНорм (обр)'!C295</f>
        <v>0</v>
      </c>
      <c r="C303" s="61">
        <f>'БазНорм (обр)'!J295</f>
        <v>1</v>
      </c>
      <c r="D303" s="122">
        <f>'БазНорм (обр)'!K295</f>
        <v>153.66666666666666</v>
      </c>
      <c r="E303" s="125">
        <f t="shared" si="8"/>
        <v>0</v>
      </c>
      <c r="F303" s="192"/>
    </row>
    <row r="304" spans="1:6" outlineLevel="3" x14ac:dyDescent="0.3">
      <c r="A304" s="26" t="str">
        <f>'БазНорм (обр)'!A296</f>
        <v>Ведро оцинкованное 15л</v>
      </c>
      <c r="B304" s="52">
        <f>'БазНорм (обр)'!C296</f>
        <v>0</v>
      </c>
      <c r="C304" s="61">
        <f>'БазНорм (обр)'!J296</f>
        <v>1</v>
      </c>
      <c r="D304" s="122">
        <f>'БазНорм (обр)'!K296</f>
        <v>232</v>
      </c>
      <c r="E304" s="125">
        <f t="shared" si="8"/>
        <v>0</v>
      </c>
      <c r="F304" s="192"/>
    </row>
    <row r="305" spans="1:6" outlineLevel="3" x14ac:dyDescent="0.3">
      <c r="A305" s="26" t="str">
        <f>'БазНорм (обр)'!A297</f>
        <v>Ерш унитазный</v>
      </c>
      <c r="B305" s="52">
        <f>'БазНорм (обр)'!C297</f>
        <v>0</v>
      </c>
      <c r="C305" s="61">
        <f>'БазНорм (обр)'!J297</f>
        <v>1</v>
      </c>
      <c r="D305" s="122">
        <f>'БазНорм (обр)'!K297</f>
        <v>57.666666666666664</v>
      </c>
      <c r="E305" s="125">
        <f t="shared" si="8"/>
        <v>0</v>
      </c>
      <c r="F305" s="192"/>
    </row>
    <row r="306" spans="1:6" outlineLevel="3" x14ac:dyDescent="0.3">
      <c r="A306" s="26" t="str">
        <f>'БазНорм (обр)'!A298</f>
        <v xml:space="preserve">Замок врезной </v>
      </c>
      <c r="B306" s="52">
        <f>'БазНорм (обр)'!C298</f>
        <v>0</v>
      </c>
      <c r="C306" s="61">
        <f>'БазНорм (обр)'!J298</f>
        <v>1</v>
      </c>
      <c r="D306" s="122">
        <f>'БазНорм (обр)'!K298</f>
        <v>239.26666666666665</v>
      </c>
      <c r="E306" s="125">
        <f t="shared" si="8"/>
        <v>0</v>
      </c>
      <c r="F306" s="192"/>
    </row>
    <row r="307" spans="1:6" outlineLevel="3" x14ac:dyDescent="0.3">
      <c r="A307" s="26" t="str">
        <f>'БазНорм (обр)'!A299</f>
        <v>Замок навесной</v>
      </c>
      <c r="B307" s="52">
        <f>'БазНорм (обр)'!C299</f>
        <v>0</v>
      </c>
      <c r="C307" s="61">
        <f>'БазНорм (обр)'!J299</f>
        <v>1</v>
      </c>
      <c r="D307" s="122">
        <f>'БазНорм (обр)'!K299</f>
        <v>455</v>
      </c>
      <c r="E307" s="125">
        <f t="shared" si="8"/>
        <v>0</v>
      </c>
      <c r="F307" s="192"/>
    </row>
    <row r="308" spans="1:6" outlineLevel="3" x14ac:dyDescent="0.3">
      <c r="A308" s="26" t="str">
        <f>'БазНорм (обр)'!A300</f>
        <v>Изолента</v>
      </c>
      <c r="B308" s="52">
        <f>'БазНорм (обр)'!C300</f>
        <v>0</v>
      </c>
      <c r="C308" s="61">
        <f>'БазНорм (обр)'!J300</f>
        <v>1</v>
      </c>
      <c r="D308" s="122">
        <f>'БазНорм (обр)'!K300</f>
        <v>49.333333333333336</v>
      </c>
      <c r="E308" s="125">
        <f>B308*D308</f>
        <v>0</v>
      </c>
      <c r="F308" s="192"/>
    </row>
    <row r="309" spans="1:6" outlineLevel="3" x14ac:dyDescent="0.3">
      <c r="A309" s="26" t="str">
        <f>'БазНорм (обр)'!A301</f>
        <v>Лопата снеговая с черенком</v>
      </c>
      <c r="B309" s="52">
        <f>'БазНорм (обр)'!C301</f>
        <v>0</v>
      </c>
      <c r="C309" s="61">
        <f>'БазНорм (обр)'!J301</f>
        <v>1</v>
      </c>
      <c r="D309" s="122">
        <f>'БазНорм (обр)'!K301</f>
        <v>504.33333333333331</v>
      </c>
      <c r="E309" s="125">
        <f>B309/C309*D309</f>
        <v>0</v>
      </c>
      <c r="F309" s="192"/>
    </row>
    <row r="310" spans="1:6" outlineLevel="3" x14ac:dyDescent="0.3">
      <c r="A310" s="26" t="str">
        <f>'БазНорм (обр)'!A302</f>
        <v>Лопата совковая с черенком</v>
      </c>
      <c r="B310" s="52">
        <f>'БазНорм (обр)'!C302</f>
        <v>0</v>
      </c>
      <c r="C310" s="61">
        <f>'БазНорм (обр)'!J302</f>
        <v>1</v>
      </c>
      <c r="D310" s="122">
        <f>'БазНорм (обр)'!K302</f>
        <v>212.66666666666666</v>
      </c>
      <c r="E310" s="125">
        <f>B310/C310*D310</f>
        <v>0</v>
      </c>
      <c r="F310" s="192"/>
    </row>
    <row r="311" spans="1:6" outlineLevel="3" x14ac:dyDescent="0.3">
      <c r="A311" s="26" t="str">
        <f>'БазНорм (обр)'!A303</f>
        <v>Лопата штыковая с черенком</v>
      </c>
      <c r="B311" s="52">
        <f>'БазНорм (обр)'!C303</f>
        <v>0</v>
      </c>
      <c r="C311" s="61">
        <f>'БазНорм (обр)'!J303</f>
        <v>1</v>
      </c>
      <c r="D311" s="122">
        <f>'БазНорм (обр)'!K303</f>
        <v>532.33333333333337</v>
      </c>
      <c r="E311" s="125">
        <f>B311/C311*D311</f>
        <v>0</v>
      </c>
      <c r="F311" s="192"/>
    </row>
    <row r="312" spans="1:6" outlineLevel="3" x14ac:dyDescent="0.3">
      <c r="A312" s="26" t="str">
        <f>'БазНорм (обр)'!A304</f>
        <v>Мешок п/п зеленый</v>
      </c>
      <c r="B312" s="52">
        <f>'БазНорм (обр)'!C304</f>
        <v>0</v>
      </c>
      <c r="C312" s="61">
        <f>'БазНорм (обр)'!J304</f>
        <v>1</v>
      </c>
      <c r="D312" s="122">
        <f>'БазНорм (обр)'!K304</f>
        <v>28.710000000000004</v>
      </c>
      <c r="E312" s="125">
        <f>B312*D312</f>
        <v>0</v>
      </c>
      <c r="F312" s="192"/>
    </row>
    <row r="313" spans="1:6" outlineLevel="3" x14ac:dyDescent="0.3">
      <c r="A313" s="26" t="str">
        <f>'БазНорм (обр)'!A305</f>
        <v>Насадка на швабру</v>
      </c>
      <c r="B313" s="52">
        <f>'БазНорм (обр)'!C305</f>
        <v>0</v>
      </c>
      <c r="C313" s="61">
        <f>'БазНорм (обр)'!J305</f>
        <v>1</v>
      </c>
      <c r="D313" s="122">
        <f>'БазНорм (обр)'!K305</f>
        <v>159.5</v>
      </c>
      <c r="E313" s="125">
        <f>B313*D313</f>
        <v>0</v>
      </c>
      <c r="F313" s="192"/>
    </row>
    <row r="314" spans="1:6" outlineLevel="3" x14ac:dyDescent="0.3">
      <c r="A314" s="26" t="str">
        <f>'БазНорм (обр)'!A306</f>
        <v>Швабра для пола</v>
      </c>
      <c r="B314" s="52">
        <f>'БазНорм (обр)'!C306</f>
        <v>0</v>
      </c>
      <c r="C314" s="61">
        <f>'БазНорм (обр)'!J306</f>
        <v>1</v>
      </c>
      <c r="D314" s="122">
        <f>'БазНорм (обр)'!K306</f>
        <v>307.39999999999998</v>
      </c>
      <c r="E314" s="125">
        <f>B314/C314*D314</f>
        <v>0</v>
      </c>
      <c r="F314" s="192"/>
    </row>
    <row r="315" spans="1:6" outlineLevel="3" x14ac:dyDescent="0.3">
      <c r="A315" s="26" t="str">
        <f>'БазНорм (обр)'!A307</f>
        <v>Веник пластик</v>
      </c>
      <c r="B315" s="52">
        <f>'БазНорм (обр)'!C307</f>
        <v>0</v>
      </c>
      <c r="C315" s="61">
        <f>'БазНорм (обр)'!J307</f>
        <v>1</v>
      </c>
      <c r="D315" s="122">
        <f>'БазНорм (обр)'!K307</f>
        <v>177.43333333333331</v>
      </c>
      <c r="E315" s="125">
        <f>B315/C315*D315</f>
        <v>0</v>
      </c>
      <c r="F315" s="192"/>
    </row>
    <row r="316" spans="1:6" ht="26" outlineLevel="3" x14ac:dyDescent="0.3">
      <c r="A316" s="26" t="str">
        <f>'БазНорм (обр)'!A308</f>
        <v>Пакеты для мусора 120 л черные</v>
      </c>
      <c r="B316" s="52">
        <f>'БазНорм (обр)'!C308</f>
        <v>0</v>
      </c>
      <c r="C316" s="61">
        <f>'БазНорм (обр)'!J308</f>
        <v>1</v>
      </c>
      <c r="D316" s="122">
        <f>'БазНорм (обр)'!K308</f>
        <v>18</v>
      </c>
      <c r="E316" s="125">
        <f t="shared" ref="E316:E323" si="9">B316*D316</f>
        <v>0</v>
      </c>
      <c r="F316" s="192"/>
    </row>
    <row r="317" spans="1:6" outlineLevel="3" x14ac:dyDescent="0.3">
      <c r="A317" s="26" t="str">
        <f>'БазНорм (обр)'!A309</f>
        <v>Пакеты для мусора 30л.*50 шт.</v>
      </c>
      <c r="B317" s="52">
        <f>'БазНорм (обр)'!C309</f>
        <v>0</v>
      </c>
      <c r="C317" s="61">
        <f>'БазНорм (обр)'!J309</f>
        <v>1</v>
      </c>
      <c r="D317" s="122">
        <f>'БазНорм (обр)'!K309</f>
        <v>63.6</v>
      </c>
      <c r="E317" s="125">
        <f t="shared" si="9"/>
        <v>0</v>
      </c>
      <c r="F317" s="192"/>
    </row>
    <row r="318" spans="1:6" ht="26" outlineLevel="3" x14ac:dyDescent="0.3">
      <c r="A318" s="26" t="str">
        <f>'БазНорм (обр)'!A310</f>
        <v>Пакеты для мусора 120 л. *10 шт.</v>
      </c>
      <c r="B318" s="52">
        <f>'БазНорм (обр)'!C310</f>
        <v>0</v>
      </c>
      <c r="C318" s="61">
        <f>'БазНорм (обр)'!J310</f>
        <v>1</v>
      </c>
      <c r="D318" s="122">
        <f>'БазНорм (обр)'!K310</f>
        <v>85.066666666666663</v>
      </c>
      <c r="E318" s="125">
        <f t="shared" si="9"/>
        <v>0</v>
      </c>
      <c r="F318" s="192"/>
    </row>
    <row r="319" spans="1:6" outlineLevel="3" x14ac:dyDescent="0.3">
      <c r="A319" s="26" t="str">
        <f>'БазНорм (обр)'!A311</f>
        <v>Перчатки латексные</v>
      </c>
      <c r="B319" s="52">
        <f>'БазНорм (обр)'!C311</f>
        <v>0</v>
      </c>
      <c r="C319" s="61">
        <f>'БазНорм (обр)'!J311</f>
        <v>1</v>
      </c>
      <c r="D319" s="122">
        <f>'БазНорм (обр)'!K311</f>
        <v>60.666666666666664</v>
      </c>
      <c r="E319" s="125">
        <f t="shared" si="9"/>
        <v>0</v>
      </c>
      <c r="F319" s="192"/>
    </row>
    <row r="320" spans="1:6" outlineLevel="3" x14ac:dyDescent="0.3">
      <c r="A320" s="26" t="str">
        <f>'БазНорм (обр)'!A312</f>
        <v>Перчатки резиновые НЭП</v>
      </c>
      <c r="B320" s="52">
        <f>'БазНорм (обр)'!C312</f>
        <v>0</v>
      </c>
      <c r="C320" s="61">
        <f>'БазНорм (обр)'!J312</f>
        <v>1</v>
      </c>
      <c r="D320" s="122">
        <f>'БазНорм (обр)'!K312</f>
        <v>63.6</v>
      </c>
      <c r="E320" s="125">
        <f t="shared" si="9"/>
        <v>0</v>
      </c>
      <c r="F320" s="192"/>
    </row>
    <row r="321" spans="1:6" outlineLevel="3" x14ac:dyDescent="0.3">
      <c r="A321" s="26" t="str">
        <f>'БазНорм (обр)'!A313</f>
        <v>Перчатки ХБ ПВХ</v>
      </c>
      <c r="B321" s="52">
        <f>'БазНорм (обр)'!C313</f>
        <v>0</v>
      </c>
      <c r="C321" s="61">
        <f>'БазНорм (обр)'!J313</f>
        <v>1</v>
      </c>
      <c r="D321" s="122">
        <f>'БазНорм (обр)'!K313</f>
        <v>30.599999999999998</v>
      </c>
      <c r="E321" s="125">
        <f t="shared" si="9"/>
        <v>0</v>
      </c>
      <c r="F321" s="192"/>
    </row>
    <row r="322" spans="1:6" outlineLevel="3" x14ac:dyDescent="0.3">
      <c r="A322" s="26" t="str">
        <f>'БазНорм (обр)'!A314</f>
        <v>Полотно вафельное</v>
      </c>
      <c r="B322" s="52">
        <f>'БазНорм (обр)'!C314</f>
        <v>0</v>
      </c>
      <c r="C322" s="61">
        <f>'БазНорм (обр)'!J314</f>
        <v>1</v>
      </c>
      <c r="D322" s="122">
        <f>'БазНорм (обр)'!K314</f>
        <v>110.66666666666667</v>
      </c>
      <c r="E322" s="125">
        <f t="shared" si="9"/>
        <v>0</v>
      </c>
      <c r="F322" s="192"/>
    </row>
    <row r="323" spans="1:6" outlineLevel="3" x14ac:dyDescent="0.3">
      <c r="A323" s="26" t="str">
        <f>'БазНорм (обр)'!A315</f>
        <v>Полотенечная ткань</v>
      </c>
      <c r="B323" s="52">
        <f>'БазНорм (обр)'!C315</f>
        <v>0</v>
      </c>
      <c r="C323" s="61">
        <f>'БазНорм (обр)'!J315</f>
        <v>1</v>
      </c>
      <c r="D323" s="122">
        <f>'БазНорм (обр)'!K315</f>
        <v>74.2</v>
      </c>
      <c r="E323" s="125">
        <f t="shared" si="9"/>
        <v>0</v>
      </c>
      <c r="F323" s="192"/>
    </row>
    <row r="324" spans="1:6" outlineLevel="3" x14ac:dyDescent="0.3">
      <c r="A324" s="26" t="str">
        <f>'БазНорм (обр)'!A316</f>
        <v>Полотно для мытья пола</v>
      </c>
      <c r="B324" s="52">
        <f>'БазНорм (обр)'!C316</f>
        <v>0</v>
      </c>
      <c r="C324" s="61">
        <f>'БазНорм (обр)'!J316</f>
        <v>1</v>
      </c>
      <c r="D324" s="122">
        <f>'БазНорм (обр)'!K316</f>
        <v>126.33333333333333</v>
      </c>
      <c r="E324" s="125">
        <f t="shared" ref="E324:E334" si="10">B324/C324*D324</f>
        <v>0</v>
      </c>
      <c r="F324" s="192"/>
    </row>
    <row r="325" spans="1:6" outlineLevel="3" x14ac:dyDescent="0.3">
      <c r="A325" s="26" t="str">
        <f>'БазНорм (обр)'!A317</f>
        <v>Швабра отжим. губ с ведром</v>
      </c>
      <c r="B325" s="52">
        <f>'БазНорм (обр)'!C317</f>
        <v>0</v>
      </c>
      <c r="C325" s="61">
        <f>'БазНорм (обр)'!J317</f>
        <v>1</v>
      </c>
      <c r="D325" s="122">
        <f>'БазНорм (обр)'!K317</f>
        <v>850.66666666666663</v>
      </c>
      <c r="E325" s="125">
        <f t="shared" si="10"/>
        <v>0</v>
      </c>
      <c r="F325" s="192"/>
    </row>
    <row r="326" spans="1:6" outlineLevel="3" x14ac:dyDescent="0.3">
      <c r="A326" s="26" t="str">
        <f>'БазНорм (обр)'!A318</f>
        <v>Перфоратор аккумуляторный</v>
      </c>
      <c r="B326" s="52">
        <f>'БазНорм (обр)'!C318</f>
        <v>0</v>
      </c>
      <c r="C326" s="61">
        <f>'БазНорм (обр)'!J318</f>
        <v>5</v>
      </c>
      <c r="D326" s="122">
        <f>'БазНорм (обр)'!K318</f>
        <v>10852</v>
      </c>
      <c r="E326" s="125">
        <f t="shared" si="10"/>
        <v>0</v>
      </c>
      <c r="F326" s="192"/>
    </row>
    <row r="327" spans="1:6" outlineLevel="3" x14ac:dyDescent="0.3">
      <c r="A327" s="26" t="str">
        <f>'БазНорм (обр)'!A319</f>
        <v>Бензиновый триммер</v>
      </c>
      <c r="B327" s="52">
        <f>'БазНорм (обр)'!C319</f>
        <v>0</v>
      </c>
      <c r="C327" s="61">
        <f>'БазНорм (обр)'!J319</f>
        <v>5</v>
      </c>
      <c r="D327" s="122">
        <f>'БазНорм (обр)'!K319</f>
        <v>7200</v>
      </c>
      <c r="E327" s="125">
        <f t="shared" si="10"/>
        <v>0</v>
      </c>
      <c r="F327" s="192"/>
    </row>
    <row r="328" spans="1:6" outlineLevel="3" x14ac:dyDescent="0.3">
      <c r="A328" s="26" t="str">
        <f>'БазНорм (обр)'!A320</f>
        <v xml:space="preserve">Рубанок HAMMER </v>
      </c>
      <c r="B328" s="52">
        <f>'БазНорм (обр)'!C320</f>
        <v>0</v>
      </c>
      <c r="C328" s="61">
        <f>'БазНорм (обр)'!J320</f>
        <v>5</v>
      </c>
      <c r="D328" s="122">
        <f>'БазНорм (обр)'!K320</f>
        <v>12600</v>
      </c>
      <c r="E328" s="125">
        <f t="shared" si="10"/>
        <v>0</v>
      </c>
      <c r="F328" s="192"/>
    </row>
    <row r="329" spans="1:6" outlineLevel="3" x14ac:dyDescent="0.3">
      <c r="A329" s="26" t="str">
        <f>'БазНорм (обр)'!A321</f>
        <v>Пила циркулярная HAMMER</v>
      </c>
      <c r="B329" s="52">
        <f>'БазНорм (обр)'!C321</f>
        <v>0</v>
      </c>
      <c r="C329" s="61">
        <f>'БазНорм (обр)'!J321</f>
        <v>5</v>
      </c>
      <c r="D329" s="122">
        <f>'БазНорм (обр)'!K321</f>
        <v>9483.3333333333339</v>
      </c>
      <c r="E329" s="125">
        <f t="shared" si="10"/>
        <v>0</v>
      </c>
      <c r="F329" s="192"/>
    </row>
    <row r="330" spans="1:6" outlineLevel="3" x14ac:dyDescent="0.3">
      <c r="A330" s="26" t="str">
        <f>'БазНорм (обр)'!A322</f>
        <v>Точило HAMMER</v>
      </c>
      <c r="B330" s="52">
        <f>'БазНорм (обр)'!C322</f>
        <v>0</v>
      </c>
      <c r="C330" s="61">
        <f>'БазНорм (обр)'!J322</f>
        <v>5</v>
      </c>
      <c r="D330" s="122">
        <f>'БазНорм (обр)'!K322</f>
        <v>6900</v>
      </c>
      <c r="E330" s="125">
        <f t="shared" si="10"/>
        <v>0</v>
      </c>
      <c r="F330" s="192"/>
    </row>
    <row r="331" spans="1:6" ht="26" outlineLevel="3" x14ac:dyDescent="0.3">
      <c r="A331" s="26" t="str">
        <f>'БазНорм (обр)'!A323</f>
        <v>Набор сверл по металлу от 1 до 10(19шт)</v>
      </c>
      <c r="B331" s="52">
        <f>'БазНорм (обр)'!C323</f>
        <v>0</v>
      </c>
      <c r="C331" s="61">
        <f>'БазНорм (обр)'!J323</f>
        <v>1</v>
      </c>
      <c r="D331" s="122">
        <f>'БазНорм (обр)'!K323</f>
        <v>843.33333333333337</v>
      </c>
      <c r="E331" s="125">
        <f t="shared" si="10"/>
        <v>0</v>
      </c>
      <c r="F331" s="192"/>
    </row>
    <row r="332" spans="1:6" ht="26" outlineLevel="3" x14ac:dyDescent="0.3">
      <c r="A332" s="26" t="str">
        <f>'БазНорм (обр)'!A324</f>
        <v>Тряпкодержатель с салфеткой для пола усиленный</v>
      </c>
      <c r="B332" s="52">
        <f>'БазНорм (обр)'!C324</f>
        <v>0</v>
      </c>
      <c r="C332" s="61">
        <f>'БазНорм (обр)'!J324</f>
        <v>1</v>
      </c>
      <c r="D332" s="122">
        <f>'БазНорм (обр)'!K324</f>
        <v>689.67</v>
      </c>
      <c r="E332" s="125">
        <f t="shared" si="10"/>
        <v>0</v>
      </c>
      <c r="F332" s="192"/>
    </row>
    <row r="333" spans="1:6" outlineLevel="3" x14ac:dyDescent="0.3">
      <c r="A333" s="26" t="str">
        <f>'БазНорм (обр)'!A325</f>
        <v>Замки навесные маленькие</v>
      </c>
      <c r="B333" s="52">
        <f>'БазНорм (обр)'!C325</f>
        <v>0</v>
      </c>
      <c r="C333" s="61">
        <f>'БазНорм (обр)'!J325</f>
        <v>1</v>
      </c>
      <c r="D333" s="122">
        <f>'БазНорм (обр)'!K325</f>
        <v>242.66666666666666</v>
      </c>
      <c r="E333" s="125">
        <f t="shared" si="10"/>
        <v>0</v>
      </c>
      <c r="F333" s="192"/>
    </row>
    <row r="334" spans="1:6" outlineLevel="3" x14ac:dyDescent="0.3">
      <c r="A334" s="26" t="str">
        <f>'БазНорм (обр)'!A326</f>
        <v>Замки навесные большие</v>
      </c>
      <c r="B334" s="52">
        <f>'БазНорм (обр)'!C326</f>
        <v>0</v>
      </c>
      <c r="C334" s="61">
        <f>'БазНорм (обр)'!J326</f>
        <v>1</v>
      </c>
      <c r="D334" s="122">
        <f>'БазНорм (обр)'!K326</f>
        <v>483.66666666666669</v>
      </c>
      <c r="E334" s="125">
        <f t="shared" si="10"/>
        <v>0</v>
      </c>
      <c r="F334" s="192"/>
    </row>
    <row r="335" spans="1:6" outlineLevel="3" x14ac:dyDescent="0.3">
      <c r="A335" s="26" t="str">
        <f>'БазНорм (обр)'!A327</f>
        <v>Знаки вспомогательные</v>
      </c>
      <c r="B335" s="52">
        <f>'БазНорм (обр)'!C327</f>
        <v>0</v>
      </c>
      <c r="C335" s="61">
        <f>'БазНорм (обр)'!J327</f>
        <v>1</v>
      </c>
      <c r="D335" s="122">
        <f>'БазНорм (обр)'!K327</f>
        <v>42.300000000000004</v>
      </c>
      <c r="E335" s="125">
        <f t="shared" ref="E335:E341" si="11">B335*D335</f>
        <v>0</v>
      </c>
      <c r="F335" s="192"/>
    </row>
    <row r="336" spans="1:6" outlineLevel="3" x14ac:dyDescent="0.3">
      <c r="A336" s="26" t="str">
        <f>'БазНорм (обр)'!A328</f>
        <v>Знаки эвакуационные</v>
      </c>
      <c r="B336" s="52">
        <f>'БазНорм (обр)'!C328</f>
        <v>0</v>
      </c>
      <c r="C336" s="61">
        <f>'БазНорм (обр)'!J328</f>
        <v>1</v>
      </c>
      <c r="D336" s="122">
        <f>'БазНорм (обр)'!K328</f>
        <v>101.33333333333333</v>
      </c>
      <c r="E336" s="125">
        <f t="shared" si="11"/>
        <v>0</v>
      </c>
      <c r="F336" s="192"/>
    </row>
    <row r="337" spans="1:6" outlineLevel="3" x14ac:dyDescent="0.3">
      <c r="A337" s="26" t="str">
        <f>'БазНорм (обр)'!A329</f>
        <v>Бумага туалетная</v>
      </c>
      <c r="B337" s="52">
        <f>'БазНорм (обр)'!C329</f>
        <v>0</v>
      </c>
      <c r="C337" s="61">
        <f>'БазНорм (обр)'!J329</f>
        <v>1</v>
      </c>
      <c r="D337" s="122">
        <f>'БазНорм (обр)'!K329</f>
        <v>8.73</v>
      </c>
      <c r="E337" s="125">
        <f t="shared" si="11"/>
        <v>0</v>
      </c>
      <c r="F337" s="192"/>
    </row>
    <row r="338" spans="1:6" outlineLevel="3" x14ac:dyDescent="0.3">
      <c r="A338" s="26" t="str">
        <f>'БазНорм (обр)'!A330</f>
        <v>Бумажные полотенца 2 шт.</v>
      </c>
      <c r="B338" s="52">
        <f>'БазНорм (обр)'!C330</f>
        <v>0</v>
      </c>
      <c r="C338" s="61">
        <f>'БазНорм (обр)'!J330</f>
        <v>1</v>
      </c>
      <c r="D338" s="122">
        <f>'БазНорм (обр)'!K330</f>
        <v>50.82</v>
      </c>
      <c r="E338" s="125">
        <f t="shared" si="11"/>
        <v>0</v>
      </c>
      <c r="F338" s="192"/>
    </row>
    <row r="339" spans="1:6" outlineLevel="3" x14ac:dyDescent="0.3">
      <c r="A339" s="26" t="str">
        <f>'БазНорм (обр)'!A331</f>
        <v>Салфетки</v>
      </c>
      <c r="B339" s="52">
        <f>'БазНорм (обр)'!C331</f>
        <v>0</v>
      </c>
      <c r="C339" s="61">
        <f>'БазНорм (обр)'!J331</f>
        <v>1</v>
      </c>
      <c r="D339" s="122">
        <f>'БазНорм (обр)'!K331</f>
        <v>20.37</v>
      </c>
      <c r="E339" s="125">
        <f t="shared" si="11"/>
        <v>0</v>
      </c>
      <c r="F339" s="192"/>
    </row>
    <row r="340" spans="1:6" outlineLevel="3" x14ac:dyDescent="0.3">
      <c r="A340" s="26" t="str">
        <f>'БазНорм (обр)'!A332</f>
        <v>Салфетки из микрофибры</v>
      </c>
      <c r="B340" s="52">
        <f>'БазНорм (обр)'!C332</f>
        <v>0</v>
      </c>
      <c r="C340" s="61">
        <f>'БазНорм (обр)'!J332</f>
        <v>1</v>
      </c>
      <c r="D340" s="122">
        <f>'БазНорм (обр)'!K332</f>
        <v>92.34</v>
      </c>
      <c r="E340" s="125">
        <f t="shared" si="11"/>
        <v>0</v>
      </c>
      <c r="F340" s="192"/>
    </row>
    <row r="341" spans="1:6" outlineLevel="3" x14ac:dyDescent="0.3">
      <c r="A341" s="26" t="str">
        <f>'БазНорм (обр)'!A333</f>
        <v>Платочки бумажные</v>
      </c>
      <c r="B341" s="52">
        <f>'БазНорм (обр)'!C333</f>
        <v>0</v>
      </c>
      <c r="C341" s="61">
        <f>'БазНорм (обр)'!J333</f>
        <v>1</v>
      </c>
      <c r="D341" s="122">
        <f>'БазНорм (обр)'!K333</f>
        <v>5.3</v>
      </c>
      <c r="E341" s="125">
        <f t="shared" si="11"/>
        <v>0</v>
      </c>
      <c r="F341" s="193"/>
    </row>
    <row r="342" spans="1:6" x14ac:dyDescent="0.3">
      <c r="A342" s="194" t="s">
        <v>101</v>
      </c>
      <c r="B342" s="194"/>
      <c r="C342" s="194"/>
      <c r="D342" s="194"/>
      <c r="E342" s="73">
        <f>E11+E162</f>
        <v>9939.2645635508125</v>
      </c>
      <c r="F342" s="57"/>
    </row>
  </sheetData>
  <mergeCells count="18">
    <mergeCell ref="A342:D342"/>
    <mergeCell ref="A216:D216"/>
    <mergeCell ref="A172:D172"/>
    <mergeCell ref="A163:D163"/>
    <mergeCell ref="A202:D202"/>
    <mergeCell ref="A204:D204"/>
    <mergeCell ref="A208:D208"/>
    <mergeCell ref="A212:D212"/>
    <mergeCell ref="A162:D162"/>
    <mergeCell ref="A11:D11"/>
    <mergeCell ref="A4:F4"/>
    <mergeCell ref="A5:F5"/>
    <mergeCell ref="A9:F9"/>
    <mergeCell ref="A10:F10"/>
    <mergeCell ref="F11:F341"/>
    <mergeCell ref="A12:D12"/>
    <mergeCell ref="A15:D15"/>
    <mergeCell ref="A87:D87"/>
  </mergeCells>
  <phoneticPr fontId="18" type="noConversion"/>
  <pageMargins left="1.2598425196850394" right="0.70866141732283472" top="0.26" bottom="0.35" header="0.31496062992125984" footer="0.31496062992125984"/>
  <pageSetup paperSize="9" scale="80" fitToHeight="0" orientation="landscape" r:id="rId1"/>
  <rowBreaks count="3" manualBreakCount="3">
    <brk id="218" max="5" man="1"/>
    <brk id="246" max="5" man="1"/>
    <brk id="279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352"/>
  <sheetViews>
    <sheetView view="pageBreakPreview" zoomScale="85" zoomScaleNormal="100" zoomScaleSheetLayoutView="85" workbookViewId="0">
      <selection activeCell="D2" sqref="D2"/>
    </sheetView>
  </sheetViews>
  <sheetFormatPr defaultColWidth="8.81640625" defaultRowHeight="13" outlineLevelRow="3" x14ac:dyDescent="0.3"/>
  <cols>
    <col min="1" max="1" width="30.7265625" style="53" customWidth="1"/>
    <col min="2" max="2" width="28.81640625" style="53" customWidth="1"/>
    <col min="3" max="4" width="30.7265625" style="53" customWidth="1"/>
    <col min="5" max="16384" width="8.81640625" style="53"/>
  </cols>
  <sheetData>
    <row r="1" spans="1:4" ht="14.5" customHeight="1" x14ac:dyDescent="0.3">
      <c r="D1" s="157" t="s">
        <v>119</v>
      </c>
    </row>
    <row r="2" spans="1:4" ht="56.5" customHeight="1" x14ac:dyDescent="0.3">
      <c r="D2" s="158" t="s">
        <v>557</v>
      </c>
    </row>
    <row r="4" spans="1:4" x14ac:dyDescent="0.3">
      <c r="A4" s="182" t="s">
        <v>69</v>
      </c>
      <c r="B4" s="182"/>
      <c r="C4" s="182"/>
      <c r="D4" s="182"/>
    </row>
    <row r="5" spans="1:4" x14ac:dyDescent="0.3">
      <c r="A5" s="182" t="s">
        <v>70</v>
      </c>
      <c r="B5" s="182"/>
      <c r="C5" s="182"/>
      <c r="D5" s="182"/>
    </row>
    <row r="6" spans="1:4" x14ac:dyDescent="0.3">
      <c r="A6" s="182" t="s">
        <v>71</v>
      </c>
      <c r="B6" s="182"/>
      <c r="C6" s="182"/>
      <c r="D6" s="182"/>
    </row>
    <row r="7" spans="1:4" x14ac:dyDescent="0.3">
      <c r="A7" s="182" t="s">
        <v>72</v>
      </c>
      <c r="B7" s="182"/>
      <c r="C7" s="182"/>
      <c r="D7" s="182"/>
    </row>
    <row r="8" spans="1:4" x14ac:dyDescent="0.3">
      <c r="A8" s="8"/>
    </row>
    <row r="9" spans="1:4" ht="16.5" customHeight="1" x14ac:dyDescent="0.3">
      <c r="A9" s="56" t="s">
        <v>73</v>
      </c>
      <c r="B9" s="56" t="s">
        <v>74</v>
      </c>
      <c r="C9" s="56" t="s">
        <v>75</v>
      </c>
      <c r="D9" s="56" t="s">
        <v>76</v>
      </c>
    </row>
    <row r="10" spans="1:4" x14ac:dyDescent="0.3">
      <c r="A10" s="56">
        <v>1</v>
      </c>
      <c r="B10" s="56">
        <v>2</v>
      </c>
      <c r="C10" s="56">
        <v>3</v>
      </c>
      <c r="D10" s="56">
        <v>4</v>
      </c>
    </row>
    <row r="11" spans="1:4" x14ac:dyDescent="0.3">
      <c r="A11" s="184" t="s">
        <v>77</v>
      </c>
      <c r="B11" s="184"/>
      <c r="C11" s="184"/>
      <c r="D11" s="184"/>
    </row>
    <row r="12" spans="1:4" x14ac:dyDescent="0.3">
      <c r="A12" s="185" t="s">
        <v>552</v>
      </c>
      <c r="B12" s="185"/>
      <c r="C12" s="185"/>
      <c r="D12" s="185"/>
    </row>
    <row r="13" spans="1:4" x14ac:dyDescent="0.3">
      <c r="A13" s="184" t="s">
        <v>78</v>
      </c>
      <c r="B13" s="184"/>
      <c r="C13" s="184"/>
      <c r="D13" s="184"/>
    </row>
    <row r="14" spans="1:4" ht="58.9" customHeight="1" x14ac:dyDescent="0.3">
      <c r="A14" s="195" t="s">
        <v>540</v>
      </c>
      <c r="B14" s="186"/>
      <c r="C14" s="186"/>
      <c r="D14" s="186"/>
    </row>
    <row r="15" spans="1:4" x14ac:dyDescent="0.3">
      <c r="A15" s="183" t="s">
        <v>79</v>
      </c>
      <c r="B15" s="183"/>
      <c r="C15" s="183"/>
      <c r="D15" s="183"/>
    </row>
    <row r="16" spans="1:4" ht="12.75" customHeight="1" outlineLevel="1" x14ac:dyDescent="0.3">
      <c r="A16" s="183" t="s">
        <v>80</v>
      </c>
      <c r="B16" s="183"/>
      <c r="C16" s="183"/>
      <c r="D16" s="183"/>
    </row>
    <row r="17" spans="1:4" ht="12.75" customHeight="1" outlineLevel="2" x14ac:dyDescent="0.3">
      <c r="A17" s="57" t="s">
        <v>510</v>
      </c>
      <c r="B17" s="57" t="s">
        <v>513</v>
      </c>
      <c r="C17" s="64">
        <f>57.33/943</f>
        <v>6.0795334040296925E-2</v>
      </c>
      <c r="D17" s="57"/>
    </row>
    <row r="18" spans="1:4" ht="12.75" customHeight="1" outlineLevel="2" x14ac:dyDescent="0.3">
      <c r="A18" s="57"/>
      <c r="B18" s="57"/>
      <c r="C18" s="57"/>
      <c r="D18" s="57"/>
    </row>
    <row r="19" spans="1:4" ht="12.75" customHeight="1" outlineLevel="1" x14ac:dyDescent="0.3">
      <c r="A19" s="183" t="s">
        <v>81</v>
      </c>
      <c r="B19" s="183"/>
      <c r="C19" s="183"/>
      <c r="D19" s="183"/>
    </row>
    <row r="20" spans="1:4" s="60" customFormat="1" ht="12.75" customHeight="1" outlineLevel="2" x14ac:dyDescent="0.3">
      <c r="A20" s="33" t="s">
        <v>56</v>
      </c>
      <c r="B20" s="34" t="s">
        <v>3</v>
      </c>
      <c r="C20" s="34" t="s">
        <v>3</v>
      </c>
      <c r="D20" s="180" t="s">
        <v>135</v>
      </c>
    </row>
    <row r="21" spans="1:4" ht="25.5" customHeight="1" outlineLevel="3" x14ac:dyDescent="0.3">
      <c r="A21" s="26" t="str">
        <f>'БазНорм (обр)'!A9</f>
        <v xml:space="preserve">Журнал: Воспитание школьников и духовно-нравственное воспитание </v>
      </c>
      <c r="B21" s="27" t="str">
        <f>'БазНорм (обр)'!B9</f>
        <v>комп.</v>
      </c>
      <c r="C21" s="52">
        <f>'БазНорм (обр)'!C9</f>
        <v>2.4006721882126993E-3</v>
      </c>
      <c r="D21" s="181"/>
    </row>
    <row r="22" spans="1:4" ht="25.5" customHeight="1" outlineLevel="3" x14ac:dyDescent="0.3">
      <c r="A22" s="26" t="str">
        <f>'БазНорм (обр)'!A10</f>
        <v>Инновационные проекты и программы в оьразовании</v>
      </c>
      <c r="B22" s="27" t="str">
        <f>'БазНорм (обр)'!B10</f>
        <v>комп.</v>
      </c>
      <c r="C22" s="52">
        <f>'БазНорм (обр)'!C10</f>
        <v>2.4006721882126993E-3</v>
      </c>
      <c r="D22" s="181"/>
    </row>
    <row r="23" spans="1:4" ht="25.5" customHeight="1" outlineLevel="3" x14ac:dyDescent="0.3">
      <c r="A23" s="26" t="str">
        <f>'БазНорм (обр)'!A11</f>
        <v>Журнал: Льготный комплект "Эксперт"</v>
      </c>
      <c r="B23" s="27" t="str">
        <f>'БазНорм (обр)'!B11</f>
        <v>комп.</v>
      </c>
      <c r="C23" s="52">
        <f>'БазНорм (обр)'!C11</f>
        <v>2.4006721882126993E-3</v>
      </c>
      <c r="D23" s="181"/>
    </row>
    <row r="24" spans="1:4" ht="12.75" customHeight="1" outlineLevel="3" x14ac:dyDescent="0.3">
      <c r="A24" s="26" t="str">
        <f>'БазНорм (обр)'!A12</f>
        <v>Журнал: Профильная школа</v>
      </c>
      <c r="B24" s="27" t="str">
        <f>'БазНорм (обр)'!B12</f>
        <v>комп.</v>
      </c>
      <c r="C24" s="52">
        <f>'БазНорм (обр)'!C12</f>
        <v>2.4006721882126993E-3</v>
      </c>
      <c r="D24" s="181"/>
    </row>
    <row r="25" spans="1:4" ht="25.5" customHeight="1" outlineLevel="3" x14ac:dyDescent="0.3">
      <c r="A25" s="26" t="str">
        <f>'БазНорм (обр)'!A13</f>
        <v xml:space="preserve">Журнал: Путешествие на зеленый свет </v>
      </c>
      <c r="B25" s="27" t="str">
        <f>'БазНорм (обр)'!B13</f>
        <v>комп.</v>
      </c>
      <c r="C25" s="52">
        <f>'БазНорм (обр)'!C13</f>
        <v>1.2003360941063496E-3</v>
      </c>
      <c r="D25" s="181"/>
    </row>
    <row r="26" spans="1:4" ht="51" customHeight="1" outlineLevel="3" x14ac:dyDescent="0.3">
      <c r="A26" s="26" t="str">
        <f>'БазНорм (обр)'!A14</f>
        <v>Журнал: Школа управления образовательным учреждением. опыт. практика. лучшие рещения (+CD)</v>
      </c>
      <c r="B26" s="27" t="str">
        <f>'БазНорм (обр)'!B14</f>
        <v>комп.</v>
      </c>
      <c r="C26" s="52">
        <f>'БазНорм (обр)'!C14</f>
        <v>2.4006721882126993E-3</v>
      </c>
      <c r="D26" s="181"/>
    </row>
    <row r="27" spans="1:4" ht="12.75" customHeight="1" outlineLevel="3" x14ac:dyDescent="0.3">
      <c r="A27" s="26" t="str">
        <f>'БазНорм (обр)'!A15</f>
        <v>Журнал: Вестник образования</v>
      </c>
      <c r="B27" s="27" t="str">
        <f>'БазНорм (обр)'!B15</f>
        <v>комп.</v>
      </c>
      <c r="C27" s="52">
        <f>'БазНорм (обр)'!C15</f>
        <v>1.2003360941063496E-3</v>
      </c>
      <c r="D27" s="181"/>
    </row>
    <row r="28" spans="1:4" ht="12.75" customHeight="1" outlineLevel="3" x14ac:dyDescent="0.3">
      <c r="A28" s="26" t="str">
        <f>'БазНорм (обр)'!A16</f>
        <v>Учительская газета</v>
      </c>
      <c r="B28" s="27" t="str">
        <f>'БазНорм (обр)'!B16</f>
        <v>комп.</v>
      </c>
      <c r="C28" s="52">
        <f>'БазНорм (обр)'!C16</f>
        <v>1.2003360941063496E-3</v>
      </c>
      <c r="D28" s="181"/>
    </row>
    <row r="29" spans="1:4" ht="25.5" customHeight="1" outlineLevel="3" x14ac:dyDescent="0.3">
      <c r="A29" s="26" t="str">
        <f>'БазНорм (обр)'!A17</f>
        <v>Журнал: Управление современной школой. завуч.</v>
      </c>
      <c r="B29" s="27" t="str">
        <f>'БазНорм (обр)'!B17</f>
        <v>комп.</v>
      </c>
      <c r="C29" s="52">
        <f>'БазНорм (обр)'!C17</f>
        <v>1.2003360941063496E-3</v>
      </c>
      <c r="D29" s="181"/>
    </row>
    <row r="30" spans="1:4" ht="38.25" customHeight="1" outlineLevel="3" x14ac:dyDescent="0.3">
      <c r="A30" s="26" t="str">
        <f>'БазНорм (обр)'!A18</f>
        <v>Журнал: Управление образовательным учреждением в вопросах и ответах</v>
      </c>
      <c r="B30" s="27" t="str">
        <f>'БазНорм (обр)'!B18</f>
        <v>комп.</v>
      </c>
      <c r="C30" s="52">
        <f>'БазНорм (обр)'!C18</f>
        <v>1.2003360941063496E-3</v>
      </c>
      <c r="D30" s="181"/>
    </row>
    <row r="31" spans="1:4" ht="12.75" customHeight="1" outlineLevel="3" x14ac:dyDescent="0.3">
      <c r="A31" s="26" t="str">
        <f>'БазНорм (обр)'!A19</f>
        <v>Журнал: Лучик</v>
      </c>
      <c r="B31" s="27" t="str">
        <f>'БазНорм (обр)'!B19</f>
        <v>комп.</v>
      </c>
      <c r="C31" s="52">
        <f>'БазНорм (обр)'!C19</f>
        <v>1.2003360941063496E-3</v>
      </c>
      <c r="D31" s="181"/>
    </row>
    <row r="32" spans="1:4" ht="12.75" customHeight="1" outlineLevel="3" x14ac:dyDescent="0.3">
      <c r="A32" s="26" t="str">
        <f>'БазНорм (обр)'!A20</f>
        <v>Журнал: Дефектология</v>
      </c>
      <c r="B32" s="27" t="str">
        <f>'БазНорм (обр)'!B20</f>
        <v>комп.</v>
      </c>
      <c r="C32" s="52">
        <f>'БазНорм (обр)'!C20</f>
        <v>0</v>
      </c>
      <c r="D32" s="181"/>
    </row>
    <row r="33" spans="1:4" ht="12.75" customHeight="1" outlineLevel="3" x14ac:dyDescent="0.3">
      <c r="A33" s="26" t="str">
        <f>'БазНорм (обр)'!A21</f>
        <v>Журнал: Лена рукоделия</v>
      </c>
      <c r="B33" s="27" t="str">
        <f>'БазНорм (обр)'!B21</f>
        <v>комп.</v>
      </c>
      <c r="C33" s="52">
        <f>'БазНорм (обр)'!C21</f>
        <v>0</v>
      </c>
      <c r="D33" s="181"/>
    </row>
    <row r="34" spans="1:4" ht="25.5" customHeight="1" outlineLevel="3" x14ac:dyDescent="0.3">
      <c r="A34" s="26" t="str">
        <f>'БазНорм (обр)'!A22</f>
        <v>Нормативные документы образовательного учреждения</v>
      </c>
      <c r="B34" s="27" t="str">
        <f>'БазНорм (обр)'!B22</f>
        <v>комп.</v>
      </c>
      <c r="C34" s="52">
        <f>'БазНорм (обр)'!C22</f>
        <v>1.2003360941063496E-3</v>
      </c>
      <c r="D34" s="181"/>
    </row>
    <row r="35" spans="1:4" ht="12.75" customHeight="1" outlineLevel="3" x14ac:dyDescent="0.3">
      <c r="A35" s="26" t="str">
        <f>'БазНорм (обр)'!A23</f>
        <v>Журнал: Практика работы в школе</v>
      </c>
      <c r="B35" s="27" t="str">
        <f>'БазНорм (обр)'!B23</f>
        <v>комп.</v>
      </c>
      <c r="C35" s="52">
        <f>'БазНорм (обр)'!C23</f>
        <v>0</v>
      </c>
      <c r="D35" s="181"/>
    </row>
    <row r="36" spans="1:4" ht="25.5" customHeight="1" outlineLevel="3" x14ac:dyDescent="0.3">
      <c r="A36" s="26" t="str">
        <f>'БазНорм (обр)'!A24</f>
        <v>Журнал: Профессиональная библиотека</v>
      </c>
      <c r="B36" s="27" t="str">
        <f>'БазНорм (обр)'!B24</f>
        <v>комп.</v>
      </c>
      <c r="C36" s="52">
        <f>'БазНорм (обр)'!C24</f>
        <v>0</v>
      </c>
      <c r="D36" s="181"/>
    </row>
    <row r="37" spans="1:4" ht="12.75" customHeight="1" outlineLevel="3" x14ac:dyDescent="0.3">
      <c r="A37" s="26" t="str">
        <f>'БазНорм (обр)'!A25</f>
        <v>Справочник руководителя</v>
      </c>
      <c r="B37" s="27" t="str">
        <f>'БазНорм (обр)'!B25</f>
        <v>комп.</v>
      </c>
      <c r="C37" s="52">
        <f>'БазНорм (обр)'!C25</f>
        <v>1.2003360941063496E-3</v>
      </c>
      <c r="D37" s="181"/>
    </row>
    <row r="38" spans="1:4" ht="25.5" customHeight="1" outlineLevel="3" x14ac:dyDescent="0.3">
      <c r="A38" s="26" t="str">
        <f>'БазНорм (обр)'!A26</f>
        <v>Юридический журнал директора школы</v>
      </c>
      <c r="B38" s="27" t="str">
        <f>'БазНорм (обр)'!B26</f>
        <v>комп.</v>
      </c>
      <c r="C38" s="52">
        <f>'БазНорм (обр)'!C26</f>
        <v>1.2003360941063496E-3</v>
      </c>
      <c r="D38" s="181"/>
    </row>
    <row r="39" spans="1:4" ht="12.75" customHeight="1" outlineLevel="3" x14ac:dyDescent="0.3">
      <c r="A39" s="26" t="str">
        <f>'БазНорм (обр)'!A27</f>
        <v xml:space="preserve">Детская энциклопедия </v>
      </c>
      <c r="B39" s="27" t="str">
        <f>'БазНорм (обр)'!B27</f>
        <v>комп.</v>
      </c>
      <c r="C39" s="52">
        <f>'БазНорм (обр)'!C27</f>
        <v>0</v>
      </c>
      <c r="D39" s="181"/>
    </row>
    <row r="40" spans="1:4" ht="12.75" customHeight="1" outlineLevel="3" x14ac:dyDescent="0.3">
      <c r="A40" s="26" t="str">
        <f>'БазНорм (обр)'!A28</f>
        <v>Журнал: Добрая дорога детства</v>
      </c>
      <c r="B40" s="27" t="str">
        <f>'БазНорм (обр)'!B28</f>
        <v>комп.</v>
      </c>
      <c r="C40" s="52">
        <f>'БазНорм (обр)'!C28</f>
        <v>0</v>
      </c>
      <c r="D40" s="181"/>
    </row>
    <row r="41" spans="1:4" ht="25.5" customHeight="1" outlineLevel="3" x14ac:dyDescent="0.3">
      <c r="A41" s="26" t="str">
        <f>'БазНорм (обр)'!A29</f>
        <v>Справочник классного руководителя</v>
      </c>
      <c r="B41" s="27" t="str">
        <f>'БазНорм (обр)'!B29</f>
        <v>комп.</v>
      </c>
      <c r="C41" s="52">
        <f>'БазНорм (обр)'!C29</f>
        <v>0</v>
      </c>
      <c r="D41" s="181"/>
    </row>
    <row r="42" spans="1:4" ht="25.5" customHeight="1" outlineLevel="3" x14ac:dyDescent="0.3">
      <c r="A42" s="26" t="str">
        <f>'БазНорм (обр)'!A30</f>
        <v>Справочник заместителя директора школы</v>
      </c>
      <c r="B42" s="27" t="str">
        <f>'БазНорм (обр)'!B30</f>
        <v>комп.</v>
      </c>
      <c r="C42" s="52">
        <f>'БазНорм (обр)'!C30</f>
        <v>1.2003360941063496E-3</v>
      </c>
      <c r="D42" s="181"/>
    </row>
    <row r="43" spans="1:4" ht="12.75" customHeight="1" outlineLevel="3" x14ac:dyDescent="0.3">
      <c r="A43" s="26" t="str">
        <f>'БазНорм (обр)'!A31</f>
        <v>Журнал: Школьный психолог</v>
      </c>
      <c r="B43" s="27" t="str">
        <f>'БазНорм (обр)'!B31</f>
        <v>комп.</v>
      </c>
      <c r="C43" s="52">
        <f>'БазНорм (обр)'!C31</f>
        <v>0</v>
      </c>
      <c r="D43" s="181"/>
    </row>
    <row r="44" spans="1:4" ht="12.75" customHeight="1" outlineLevel="3" x14ac:dyDescent="0.3">
      <c r="A44" s="26" t="str">
        <f>'БазНорм (обр)'!A32</f>
        <v>Журнал: Последний звонок</v>
      </c>
      <c r="B44" s="27" t="str">
        <f>'БазНорм (обр)'!B32</f>
        <v>комп.</v>
      </c>
      <c r="C44" s="52">
        <f>'БазНорм (обр)'!C32</f>
        <v>0</v>
      </c>
      <c r="D44" s="181"/>
    </row>
    <row r="45" spans="1:4" ht="12.75" customHeight="1" outlineLevel="3" x14ac:dyDescent="0.3">
      <c r="A45" s="26" t="str">
        <f>'БазНорм (обр)'!A33</f>
        <v>Журнал: Шишкин лес</v>
      </c>
      <c r="B45" s="27" t="str">
        <f>'БазНорм (обр)'!B33</f>
        <v>комп.</v>
      </c>
      <c r="C45" s="52">
        <f>'БазНорм (обр)'!C33</f>
        <v>0</v>
      </c>
      <c r="D45" s="181"/>
    </row>
    <row r="46" spans="1:4" ht="12.75" customHeight="1" outlineLevel="3" x14ac:dyDescent="0.3">
      <c r="A46" s="26" t="str">
        <f>'БазНорм (обр)'!A34</f>
        <v>Журнал: ГЕОленок</v>
      </c>
      <c r="B46" s="27" t="str">
        <f>'БазНорм (обр)'!B34</f>
        <v>комп.</v>
      </c>
      <c r="C46" s="52">
        <f>'БазНорм (обр)'!C34</f>
        <v>0</v>
      </c>
      <c r="D46" s="181"/>
    </row>
    <row r="47" spans="1:4" ht="12.75" customHeight="1" outlineLevel="3" x14ac:dyDescent="0.3">
      <c r="A47" s="26" t="str">
        <f>'БазНорм (обр)'!A35</f>
        <v>Журнал: Добрята</v>
      </c>
      <c r="B47" s="27" t="str">
        <f>'БазНорм (обр)'!B35</f>
        <v>комп.</v>
      </c>
      <c r="C47" s="52">
        <f>'БазНорм (обр)'!C35</f>
        <v>0</v>
      </c>
      <c r="D47" s="181"/>
    </row>
    <row r="48" spans="1:4" ht="12.75" customHeight="1" outlineLevel="3" x14ac:dyDescent="0.3">
      <c r="A48" s="26" t="str">
        <f>'БазНорм (обр)'!A36</f>
        <v>Журнал: Бумеранг</v>
      </c>
      <c r="B48" s="27" t="str">
        <f>'БазНорм (обр)'!B36</f>
        <v>комп.</v>
      </c>
      <c r="C48" s="52">
        <f>'БазНорм (обр)'!C36</f>
        <v>0</v>
      </c>
      <c r="D48" s="181"/>
    </row>
    <row r="49" spans="1:4" ht="12.75" customHeight="1" outlineLevel="3" x14ac:dyDescent="0.3">
      <c r="A49" s="26" t="str">
        <f>'БазНорм (обр)'!A37</f>
        <v>Журнал :Веселые животные</v>
      </c>
      <c r="B49" s="27" t="str">
        <f>'БазНорм (обр)'!B37</f>
        <v>комп.</v>
      </c>
      <c r="C49" s="52">
        <f>'БазНорм (обр)'!C37</f>
        <v>0</v>
      </c>
      <c r="D49" s="181"/>
    </row>
    <row r="50" spans="1:4" ht="12.75" customHeight="1" outlineLevel="3" x14ac:dyDescent="0.3">
      <c r="A50" s="26" t="str">
        <f>'БазНорм (обр)'!A38</f>
        <v>Журнал: Весёлый затейник</v>
      </c>
      <c r="B50" s="27" t="str">
        <f>'БазНорм (обр)'!B38</f>
        <v>комп.</v>
      </c>
      <c r="C50" s="52">
        <f>'БазНорм (обр)'!C38</f>
        <v>0</v>
      </c>
      <c r="D50" s="181"/>
    </row>
    <row r="51" spans="1:4" ht="12.75" customHeight="1" outlineLevel="3" x14ac:dyDescent="0.3">
      <c r="A51" s="26" t="str">
        <f>'БазНорм (обр)'!A39</f>
        <v>Журнал: Все звёзды</v>
      </c>
      <c r="B51" s="27" t="str">
        <f>'БазНорм (обр)'!B39</f>
        <v>комп.</v>
      </c>
      <c r="C51" s="52">
        <f>'БазНорм (обр)'!C39</f>
        <v>0</v>
      </c>
      <c r="D51" s="181"/>
    </row>
    <row r="52" spans="1:4" ht="25.5" customHeight="1" outlineLevel="3" x14ac:dyDescent="0.3">
      <c r="A52" s="26" t="str">
        <f>'БазНорм (обр)'!A40</f>
        <v>Журнал: Девчонки-мальчишки. Школа ремесел</v>
      </c>
      <c r="B52" s="27" t="str">
        <f>'БазНорм (обр)'!B40</f>
        <v>комп.</v>
      </c>
      <c r="C52" s="52">
        <f>'БазНорм (обр)'!C40</f>
        <v>0</v>
      </c>
      <c r="D52" s="181"/>
    </row>
    <row r="53" spans="1:4" ht="25.5" customHeight="1" outlineLevel="3" x14ac:dyDescent="0.3">
      <c r="A53" s="26" t="str">
        <f>'БазНорм (обр)'!A41</f>
        <v>Журнал: Управление современной школой</v>
      </c>
      <c r="B53" s="27" t="str">
        <f>'БазНорм (обр)'!B41</f>
        <v>комп.</v>
      </c>
      <c r="C53" s="52">
        <f>'БазНорм (обр)'!C41</f>
        <v>0</v>
      </c>
      <c r="D53" s="181"/>
    </row>
    <row r="54" spans="1:4" ht="12.75" customHeight="1" outlineLevel="3" x14ac:dyDescent="0.3">
      <c r="A54" s="26" t="str">
        <f>'БазНорм (обр)'!A42</f>
        <v>Журнал : Клёпа</v>
      </c>
      <c r="B54" s="27" t="str">
        <f>'БазНорм (обр)'!B42</f>
        <v>комп.</v>
      </c>
      <c r="C54" s="52">
        <f>'БазНорм (обр)'!C42</f>
        <v>0</v>
      </c>
      <c r="D54" s="181"/>
    </row>
    <row r="55" spans="1:4" ht="12.75" customHeight="1" outlineLevel="3" x14ac:dyDescent="0.3">
      <c r="A55" s="26" t="str">
        <f>'БазНорм (обр)'!A43</f>
        <v>Журнал: Компьютер MOUSE</v>
      </c>
      <c r="B55" s="27" t="str">
        <f>'БазНорм (обр)'!B43</f>
        <v>комп.</v>
      </c>
      <c r="C55" s="52">
        <f>'БазНорм (обр)'!C43</f>
        <v>0</v>
      </c>
      <c r="D55" s="181"/>
    </row>
    <row r="56" spans="1:4" ht="12.75" customHeight="1" outlineLevel="3" x14ac:dyDescent="0.3">
      <c r="A56" s="26" t="str">
        <f>'БазНорм (обр)'!A44</f>
        <v>Журнал: Спасайкин</v>
      </c>
      <c r="B56" s="27" t="str">
        <f>'БазНорм (обр)'!B44</f>
        <v>комп.</v>
      </c>
      <c r="C56" s="52">
        <f>'БазНорм (обр)'!C44</f>
        <v>1.2003360941063496E-3</v>
      </c>
      <c r="D56" s="181"/>
    </row>
    <row r="57" spans="1:4" ht="12.75" customHeight="1" outlineLevel="3" x14ac:dyDescent="0.3">
      <c r="A57" s="26" t="str">
        <f>'БазНорм (обр)'!A45</f>
        <v>Журнал: Мир техники для детей</v>
      </c>
      <c r="B57" s="27" t="str">
        <f>'БазНорм (обр)'!B45</f>
        <v>комп.</v>
      </c>
      <c r="C57" s="52">
        <f>'БазНорм (обр)'!C45</f>
        <v>0</v>
      </c>
      <c r="D57" s="181"/>
    </row>
    <row r="58" spans="1:4" ht="12.75" customHeight="1" outlineLevel="3" x14ac:dyDescent="0.3">
      <c r="A58" s="26" t="str">
        <f>'БазНорм (обр)'!A46</f>
        <v>Журнал: Читайка</v>
      </c>
      <c r="B58" s="27" t="str">
        <f>'БазНорм (обр)'!B46</f>
        <v>комп.</v>
      </c>
      <c r="C58" s="52">
        <f>'БазНорм (обр)'!C46</f>
        <v>0</v>
      </c>
      <c r="D58" s="181"/>
    </row>
    <row r="59" spans="1:4" ht="25.5" customHeight="1" outlineLevel="3" x14ac:dyDescent="0.3">
      <c r="A59" s="26" t="str">
        <f>'БазНорм (обр)'!A47</f>
        <v>Журнал: Чудеса и приключения-детям-ЧИП</v>
      </c>
      <c r="B59" s="27" t="str">
        <f>'БазНорм (обр)'!B47</f>
        <v>комп.</v>
      </c>
      <c r="C59" s="52">
        <f>'БазНорм (обр)'!C47</f>
        <v>0</v>
      </c>
      <c r="D59" s="181"/>
    </row>
    <row r="60" spans="1:4" ht="12.75" customHeight="1" outlineLevel="3" x14ac:dyDescent="0.3">
      <c r="A60" s="26" t="str">
        <f>'БазНорм (обр)'!A48</f>
        <v>Журнал: Юный краевед</v>
      </c>
      <c r="B60" s="27" t="str">
        <f>'БазНорм (обр)'!B48</f>
        <v>комп.</v>
      </c>
      <c r="C60" s="52">
        <f>'БазНорм (обр)'!C48</f>
        <v>0</v>
      </c>
      <c r="D60" s="181"/>
    </row>
    <row r="61" spans="1:4" ht="12.75" customHeight="1" outlineLevel="3" x14ac:dyDescent="0.3">
      <c r="A61" s="26" t="str">
        <f>'БазНорм (обр)'!A49</f>
        <v>Журнал: Игровая библиотека</v>
      </c>
      <c r="B61" s="27" t="str">
        <f>'БазНорм (обр)'!B49</f>
        <v>комп.</v>
      </c>
      <c r="C61" s="52">
        <f>'БазНорм (обр)'!C49</f>
        <v>0</v>
      </c>
      <c r="D61" s="181"/>
    </row>
    <row r="62" spans="1:4" ht="12.75" customHeight="1" outlineLevel="3" x14ac:dyDescent="0.3">
      <c r="A62" s="26" t="str">
        <f>'БазНорм (обр)'!A50</f>
        <v>Журнал: Школа и производство</v>
      </c>
      <c r="B62" s="27" t="str">
        <f>'БазНорм (обр)'!B50</f>
        <v>комп.</v>
      </c>
      <c r="C62" s="52">
        <f>'БазНорм (обр)'!C50</f>
        <v>0</v>
      </c>
      <c r="D62" s="181"/>
    </row>
    <row r="63" spans="1:4" ht="12.75" customHeight="1" outlineLevel="3" x14ac:dyDescent="0.3">
      <c r="A63" s="26" t="str">
        <f>'БазНорм (обр)'!A51</f>
        <v>Журнал: Веселый урок</v>
      </c>
      <c r="B63" s="27" t="str">
        <f>'БазНорм (обр)'!B51</f>
        <v>комп.</v>
      </c>
      <c r="C63" s="52">
        <f>'БазНорм (обр)'!C51</f>
        <v>0</v>
      </c>
      <c r="D63" s="181"/>
    </row>
    <row r="64" spans="1:4" ht="12.75" customHeight="1" outlineLevel="3" x14ac:dyDescent="0.3">
      <c r="A64" s="26" t="str">
        <f>'БазНорм (обр)'!A52</f>
        <v>Журнал: ОБЖ</v>
      </c>
      <c r="B64" s="27" t="str">
        <f>'БазНорм (обр)'!B52</f>
        <v>комп.</v>
      </c>
      <c r="C64" s="52">
        <f>'БазНорм (обр)'!C52</f>
        <v>0</v>
      </c>
      <c r="D64" s="181"/>
    </row>
    <row r="65" spans="1:4" ht="12.75" customHeight="1" outlineLevel="3" x14ac:dyDescent="0.3">
      <c r="A65" s="26" t="str">
        <f>'БазНорм (обр)'!A53</f>
        <v>Журнал: Мурзилка</v>
      </c>
      <c r="B65" s="27" t="str">
        <f>'БазНорм (обр)'!B53</f>
        <v>комп.</v>
      </c>
      <c r="C65" s="52">
        <f>'БазНорм (обр)'!C53</f>
        <v>0</v>
      </c>
      <c r="D65" s="181"/>
    </row>
    <row r="66" spans="1:4" ht="12.75" customHeight="1" outlineLevel="3" x14ac:dyDescent="0.3">
      <c r="A66" s="26" t="str">
        <f>'БазНорм (обр)'!A54</f>
        <v>Журнал: Юный эрудит</v>
      </c>
      <c r="B66" s="27" t="str">
        <f>'БазНорм (обр)'!B54</f>
        <v>комп.</v>
      </c>
      <c r="C66" s="52">
        <f>'БазНорм (обр)'!C54</f>
        <v>0</v>
      </c>
      <c r="D66" s="181"/>
    </row>
    <row r="67" spans="1:4" ht="12.75" customHeight="1" outlineLevel="3" x14ac:dyDescent="0.3">
      <c r="A67" s="26" t="str">
        <f>'БазНорм (обр)'!A55</f>
        <v>Журнал: Педсовет</v>
      </c>
      <c r="B67" s="27" t="str">
        <f>'БазНорм (обр)'!B55</f>
        <v>комп.</v>
      </c>
      <c r="C67" s="52">
        <f>'БазНорм (обр)'!C55</f>
        <v>0</v>
      </c>
      <c r="D67" s="181"/>
    </row>
    <row r="68" spans="1:4" ht="12.75" customHeight="1" outlineLevel="3" x14ac:dyDescent="0.3">
      <c r="A68" s="26" t="str">
        <f>'БазНорм (обр)'!A56</f>
        <v>Журнал: Методист</v>
      </c>
      <c r="B68" s="27" t="str">
        <f>'БазНорм (обр)'!B56</f>
        <v>комп.</v>
      </c>
      <c r="C68" s="52">
        <f>'БазНорм (обр)'!C56</f>
        <v>0</v>
      </c>
      <c r="D68" s="181"/>
    </row>
    <row r="69" spans="1:4" ht="12.75" customHeight="1" outlineLevel="3" x14ac:dyDescent="0.3">
      <c r="A69" s="26" t="str">
        <f>'БазНорм (обр)'!A57</f>
        <v>Журнал: Огонек</v>
      </c>
      <c r="B69" s="27" t="str">
        <f>'БазНорм (обр)'!B57</f>
        <v>комп.</v>
      </c>
      <c r="C69" s="52">
        <f>'БазНорм (обр)'!C57</f>
        <v>0</v>
      </c>
      <c r="D69" s="181"/>
    </row>
    <row r="70" spans="1:4" ht="12.75" customHeight="1" outlineLevel="3" x14ac:dyDescent="0.3">
      <c r="A70" s="26" t="str">
        <f>'БазНорм (обр)'!A58</f>
        <v>Журнал: Отчего и почему</v>
      </c>
      <c r="B70" s="27" t="str">
        <f>'БазНорм (обр)'!B58</f>
        <v>комп.</v>
      </c>
      <c r="C70" s="52">
        <f>'БазНорм (обр)'!C58</f>
        <v>0</v>
      </c>
      <c r="D70" s="181"/>
    </row>
    <row r="71" spans="1:4" s="60" customFormat="1" ht="12.75" customHeight="1" outlineLevel="2" x14ac:dyDescent="0.3">
      <c r="A71" s="33" t="s">
        <v>478</v>
      </c>
      <c r="B71" s="34" t="s">
        <v>3</v>
      </c>
      <c r="C71" s="51" t="s">
        <v>3</v>
      </c>
      <c r="D71" s="181"/>
    </row>
    <row r="72" spans="1:4" ht="12.75" customHeight="1" outlineLevel="3" x14ac:dyDescent="0.3">
      <c r="A72" s="26" t="str">
        <f>'БазНорм (обр)'!A60</f>
        <v>Шкаф для документов</v>
      </c>
      <c r="B72" s="27" t="str">
        <f>'БазНорм (обр)'!B60</f>
        <v>шт.</v>
      </c>
      <c r="C72" s="52">
        <f>'БазНорм (обр)'!C60</f>
        <v>0</v>
      </c>
      <c r="D72" s="181"/>
    </row>
    <row r="73" spans="1:4" ht="12.75" customHeight="1" outlineLevel="3" x14ac:dyDescent="0.3">
      <c r="A73" s="26" t="str">
        <f>'БазНорм (обр)'!A61</f>
        <v>Шкаф книжный</v>
      </c>
      <c r="B73" s="27" t="str">
        <f>'БазНорм (обр)'!B61</f>
        <v>шт.</v>
      </c>
      <c r="C73" s="52">
        <f>'БазНорм (обр)'!C61</f>
        <v>0</v>
      </c>
      <c r="D73" s="181"/>
    </row>
    <row r="74" spans="1:4" ht="12.75" customHeight="1" outlineLevel="3" x14ac:dyDescent="0.3">
      <c r="A74" s="26" t="str">
        <f>'БазНорм (обр)'!A62</f>
        <v>Шкаф под ключи</v>
      </c>
      <c r="B74" s="27" t="str">
        <f>'БазНорм (обр)'!B62</f>
        <v>шт.</v>
      </c>
      <c r="C74" s="52">
        <f>'БазНорм (обр)'!C62</f>
        <v>0</v>
      </c>
      <c r="D74" s="181"/>
    </row>
    <row r="75" spans="1:4" ht="12.75" customHeight="1" outlineLevel="3" x14ac:dyDescent="0.3">
      <c r="A75" s="26" t="str">
        <f>'БазНорм (обр)'!A63</f>
        <v>Шкаф для одежды</v>
      </c>
      <c r="B75" s="27" t="str">
        <f>'БазНорм (обр)'!B63</f>
        <v>шт.</v>
      </c>
      <c r="C75" s="52">
        <f>'БазНорм (обр)'!C63</f>
        <v>0</v>
      </c>
      <c r="D75" s="181"/>
    </row>
    <row r="76" spans="1:4" ht="12.75" customHeight="1" outlineLevel="3" x14ac:dyDescent="0.3">
      <c r="A76" s="26" t="str">
        <f>'БазНорм (обр)'!A64</f>
        <v>Стеллаж для библиотеки</v>
      </c>
      <c r="B76" s="27" t="str">
        <f>'БазНорм (обр)'!B64</f>
        <v>шт.</v>
      </c>
      <c r="C76" s="52">
        <f>'БазНорм (обр)'!C64</f>
        <v>0</v>
      </c>
      <c r="D76" s="181"/>
    </row>
    <row r="77" spans="1:4" ht="12.75" customHeight="1" outlineLevel="3" x14ac:dyDescent="0.3">
      <c r="A77" s="26" t="str">
        <f>'БазНорм (обр)'!A65</f>
        <v>Стеллаж библиотечный 2х сторон</v>
      </c>
      <c r="B77" s="27" t="str">
        <f>'БазНорм (обр)'!B65</f>
        <v>шт.</v>
      </c>
      <c r="C77" s="52">
        <f>'БазНорм (обр)'!C65</f>
        <v>0</v>
      </c>
      <c r="D77" s="181"/>
    </row>
    <row r="78" spans="1:4" ht="25.5" customHeight="1" outlineLevel="3" x14ac:dyDescent="0.3">
      <c r="A78" s="26" t="str">
        <f>'БазНорм (обр)'!A66</f>
        <v>Стеллаж библиотечный односторонний</v>
      </c>
      <c r="B78" s="27" t="str">
        <f>'БазНорм (обр)'!B66</f>
        <v>шт.</v>
      </c>
      <c r="C78" s="52">
        <f>'БазНорм (обр)'!C66</f>
        <v>0</v>
      </c>
      <c r="D78" s="181"/>
    </row>
    <row r="79" spans="1:4" ht="12.75" customHeight="1" outlineLevel="3" x14ac:dyDescent="0.3">
      <c r="A79" s="26" t="str">
        <f>'БазНорм (обр)'!A67</f>
        <v>Полка для раз. досок</v>
      </c>
      <c r="B79" s="27" t="str">
        <f>'БазНорм (обр)'!B67</f>
        <v>шт.</v>
      </c>
      <c r="C79" s="52">
        <f>'БазНорм (обр)'!C67</f>
        <v>0</v>
      </c>
      <c r="D79" s="181"/>
    </row>
    <row r="80" spans="1:4" ht="12.75" customHeight="1" outlineLevel="3" x14ac:dyDescent="0.3">
      <c r="A80" s="26" t="str">
        <f>'БазНорм (обр)'!A68</f>
        <v>Доска аудиторная</v>
      </c>
      <c r="B80" s="27" t="str">
        <f>'БазНорм (обр)'!B68</f>
        <v>шт.</v>
      </c>
      <c r="C80" s="52">
        <f>'БазНорм (обр)'!C68</f>
        <v>0</v>
      </c>
      <c r="D80" s="181"/>
    </row>
    <row r="81" spans="1:4" ht="12.75" customHeight="1" outlineLevel="3" x14ac:dyDescent="0.3">
      <c r="A81" s="26" t="str">
        <f>'БазНорм (обр)'!A69</f>
        <v>Доска пробковая</v>
      </c>
      <c r="B81" s="27" t="str">
        <f>'БазНорм (обр)'!B69</f>
        <v>шт.</v>
      </c>
      <c r="C81" s="52">
        <f>'БазНорм (обр)'!C69</f>
        <v>0</v>
      </c>
      <c r="D81" s="181"/>
    </row>
    <row r="82" spans="1:4" ht="12.75" customHeight="1" outlineLevel="3" x14ac:dyDescent="0.3">
      <c r="A82" s="26" t="str">
        <f>'БазНорм (обр)'!A70</f>
        <v>Стол эргономичный</v>
      </c>
      <c r="B82" s="27" t="str">
        <f>'БазНорм (обр)'!B70</f>
        <v>шт.</v>
      </c>
      <c r="C82" s="52">
        <f>'БазНорм (обр)'!C70</f>
        <v>0</v>
      </c>
      <c r="D82" s="181"/>
    </row>
    <row r="83" spans="1:4" ht="12.75" customHeight="1" outlineLevel="3" x14ac:dyDescent="0.3">
      <c r="A83" s="26" t="str">
        <f>'БазНорм (обр)'!A71</f>
        <v>Стол ученический</v>
      </c>
      <c r="B83" s="27" t="str">
        <f>'БазНорм (обр)'!B71</f>
        <v>шт.</v>
      </c>
      <c r="C83" s="52">
        <f>'БазНорм (обр)'!C71</f>
        <v>0</v>
      </c>
      <c r="D83" s="181"/>
    </row>
    <row r="84" spans="1:4" ht="12.75" customHeight="1" outlineLevel="3" x14ac:dyDescent="0.3">
      <c r="A84" s="26" t="str">
        <f>'БазНорм (обр)'!A72</f>
        <v>Стул офисный</v>
      </c>
      <c r="B84" s="27" t="str">
        <f>'БазНорм (обр)'!B72</f>
        <v>шт.</v>
      </c>
      <c r="C84" s="52">
        <f>'БазНорм (обр)'!C72</f>
        <v>0</v>
      </c>
      <c r="D84" s="181"/>
    </row>
    <row r="85" spans="1:4" ht="12.75" customHeight="1" outlineLevel="3" x14ac:dyDescent="0.3">
      <c r="A85" s="26" t="str">
        <f>'БазНорм (обр)'!A73</f>
        <v>Стул ученический</v>
      </c>
      <c r="B85" s="27" t="str">
        <f>'БазНорм (обр)'!B73</f>
        <v>шт.</v>
      </c>
      <c r="C85" s="52">
        <f>'БазНорм (обр)'!C73</f>
        <v>0</v>
      </c>
      <c r="D85" s="181"/>
    </row>
    <row r="86" spans="1:4" ht="12.75" customHeight="1" outlineLevel="3" x14ac:dyDescent="0.3">
      <c r="A86" s="26" t="str">
        <f>'БазНорм (обр)'!A74</f>
        <v>Тумба подкатная</v>
      </c>
      <c r="B86" s="27" t="str">
        <f>'БазНорм (обр)'!B74</f>
        <v>шт.</v>
      </c>
      <c r="C86" s="52">
        <f>'БазНорм (обр)'!C74</f>
        <v>0</v>
      </c>
      <c r="D86" s="181"/>
    </row>
    <row r="87" spans="1:4" ht="12.75" customHeight="1" outlineLevel="3" x14ac:dyDescent="0.3">
      <c r="A87" s="26" t="str">
        <f>'БазНорм (обр)'!A75</f>
        <v>Скамейка 3- местная</v>
      </c>
      <c r="B87" s="27" t="str">
        <f>'БазНорм (обр)'!B75</f>
        <v>шт.</v>
      </c>
      <c r="C87" s="52">
        <f>'БазНорм (обр)'!C75</f>
        <v>0</v>
      </c>
      <c r="D87" s="181"/>
    </row>
    <row r="88" spans="1:4" ht="25.5" customHeight="1" outlineLevel="3" x14ac:dyDescent="0.3">
      <c r="A88" s="26" t="str">
        <f>'БазНорм (обр)'!A76</f>
        <v>Скамья для раздевалок одностопрнняя</v>
      </c>
      <c r="B88" s="27" t="str">
        <f>'БазНорм (обр)'!B76</f>
        <v>шт.</v>
      </c>
      <c r="C88" s="52">
        <f>'БазНорм (обр)'!C76</f>
        <v>0</v>
      </c>
      <c r="D88" s="181"/>
    </row>
    <row r="89" spans="1:4" ht="12.75" customHeight="1" outlineLevel="2" x14ac:dyDescent="0.3">
      <c r="A89" s="26" t="str">
        <f>'БазНорм (обр)'!A77</f>
        <v>Грамоты</v>
      </c>
      <c r="B89" s="27" t="str">
        <f>'БазНорм (обр)'!B77</f>
        <v>шт.</v>
      </c>
      <c r="C89" s="52">
        <f>'БазНорм (обр)'!C77</f>
        <v>1.3323730644580483</v>
      </c>
      <c r="D89" s="181"/>
    </row>
    <row r="90" spans="1:4" ht="38.25" customHeight="1" outlineLevel="2" x14ac:dyDescent="0.3">
      <c r="A90" s="26" t="str">
        <f>'БазНорм (обр)'!A78</f>
        <v>Медали "За особые успехи в учении", аттестаты, приложения к аттестату</v>
      </c>
      <c r="B90" s="27" t="str">
        <f>'БазНорм (обр)'!B78</f>
        <v>шт.</v>
      </c>
      <c r="C90" s="52">
        <f>'БазНорм (обр)'!C78</f>
        <v>0.23646621053895089</v>
      </c>
      <c r="D90" s="181"/>
    </row>
    <row r="91" spans="1:4" ht="12.75" customHeight="1" outlineLevel="1" x14ac:dyDescent="0.3">
      <c r="A91" s="183" t="s">
        <v>82</v>
      </c>
      <c r="B91" s="183"/>
      <c r="C91" s="183"/>
      <c r="D91" s="183"/>
    </row>
    <row r="92" spans="1:4" s="60" customFormat="1" ht="12.75" customHeight="1" outlineLevel="2" x14ac:dyDescent="0.3">
      <c r="A92" s="33" t="s">
        <v>475</v>
      </c>
      <c r="B92" s="34" t="s">
        <v>3</v>
      </c>
      <c r="C92" s="59" t="s">
        <v>3</v>
      </c>
      <c r="D92" s="180" t="s">
        <v>135</v>
      </c>
    </row>
    <row r="93" spans="1:4" ht="12.75" customHeight="1" outlineLevel="3" x14ac:dyDescent="0.3">
      <c r="A93" s="26" t="str">
        <f>'БазНорм (обр)'!A81</f>
        <v>Вода питьевая</v>
      </c>
      <c r="B93" s="27" t="str">
        <f>'БазНорм (обр)'!B81</f>
        <v>л.</v>
      </c>
      <c r="C93" s="52">
        <f>'БазНорм (обр)'!C81</f>
        <v>10.568766513697677</v>
      </c>
      <c r="D93" s="181"/>
    </row>
    <row r="94" spans="1:4" ht="25.5" customHeight="1" outlineLevel="3" x14ac:dyDescent="0.3">
      <c r="A94" s="26" t="str">
        <f>'БазНорм (обр)'!A82</f>
        <v>Одноразовые стаканы</v>
      </c>
      <c r="B94" s="27" t="str">
        <f>'БазНорм (обр)'!B82</f>
        <v>шт.</v>
      </c>
      <c r="C94" s="52">
        <f>'БазНорм (обр)'!C82</f>
        <v>52.843832568488388</v>
      </c>
      <c r="D94" s="181"/>
    </row>
    <row r="95" spans="1:4" s="60" customFormat="1" ht="25.5" customHeight="1" outlineLevel="2" x14ac:dyDescent="0.3">
      <c r="A95" s="33" t="s">
        <v>474</v>
      </c>
      <c r="B95" s="34" t="s">
        <v>3</v>
      </c>
      <c r="C95" s="59" t="s">
        <v>3</v>
      </c>
      <c r="D95" s="181"/>
    </row>
    <row r="96" spans="1:4" ht="12.75" customHeight="1" outlineLevel="3" x14ac:dyDescent="0.3">
      <c r="A96" s="26" t="str">
        <f>'БазНорм (обр)'!A84</f>
        <v>Антивирус</v>
      </c>
      <c r="B96" s="27" t="str">
        <f>'БазНорм (обр)'!B84</f>
        <v>усл. ед.</v>
      </c>
      <c r="C96" s="52">
        <f>'БазНорм (обр)'!C84</f>
        <v>0.13906271728549574</v>
      </c>
      <c r="D96" s="181"/>
    </row>
    <row r="97" spans="1:4" ht="12.75" customHeight="1" outlineLevel="3" x14ac:dyDescent="0.3">
      <c r="A97" s="26" t="str">
        <f>'БазНорм (обр)'!A85</f>
        <v>WebFiltre UserGate</v>
      </c>
      <c r="B97" s="27" t="str">
        <f>'БазНорм (обр)'!B85</f>
        <v>усл. ед.</v>
      </c>
      <c r="C97" s="52">
        <f>'БазНорм (обр)'!C85</f>
        <v>0.13906271728549574</v>
      </c>
      <c r="D97" s="181"/>
    </row>
    <row r="98" spans="1:4" ht="25.5" customHeight="1" outlineLevel="3" x14ac:dyDescent="0.3">
      <c r="A98" s="26" t="str">
        <f>'БазНорм (обр)'!A86</f>
        <v>Сопровождение ПО Vipnet Client</v>
      </c>
      <c r="B98" s="27" t="str">
        <f>'БазНорм (обр)'!B86</f>
        <v>усл. ед.</v>
      </c>
      <c r="C98" s="52">
        <f>'БазНорм (обр)'!C86</f>
        <v>1.3906271728549575E-3</v>
      </c>
      <c r="D98" s="181"/>
    </row>
    <row r="99" spans="1:4" s="60" customFormat="1" ht="25.5" customHeight="1" outlineLevel="2" x14ac:dyDescent="0.3">
      <c r="A99" s="33" t="s">
        <v>65</v>
      </c>
      <c r="B99" s="34" t="s">
        <v>3</v>
      </c>
      <c r="C99" s="59" t="s">
        <v>3</v>
      </c>
      <c r="D99" s="181"/>
    </row>
    <row r="100" spans="1:4" ht="25.5" customHeight="1" outlineLevel="3" x14ac:dyDescent="0.3">
      <c r="A100" s="26" t="str">
        <f>'БазНорм (обр)'!A88</f>
        <v>Медицинский осмотр</v>
      </c>
      <c r="B100" s="27" t="str">
        <f>'БазНорм (обр)'!B88</f>
        <v>чел.</v>
      </c>
      <c r="C100" s="52">
        <f>'БазНорм (обр)'!C88</f>
        <v>3.0593797802809065E-2</v>
      </c>
      <c r="D100" s="181"/>
    </row>
    <row r="101" spans="1:4" ht="12.75" customHeight="1" outlineLevel="3" x14ac:dyDescent="0.3">
      <c r="A101" s="26" t="str">
        <f>'БазНорм (обр)'!A89</f>
        <v>Гигиеническая аттестация</v>
      </c>
      <c r="B101" s="27" t="str">
        <f>'БазНорм (обр)'!B89</f>
        <v>чел.</v>
      </c>
      <c r="C101" s="52">
        <f>'БазНорм (обр)'!C89</f>
        <v>0.1015157836184119</v>
      </c>
      <c r="D101" s="181"/>
    </row>
    <row r="102" spans="1:4" ht="12.75" customHeight="1" outlineLevel="3" x14ac:dyDescent="0.3">
      <c r="A102" s="26" t="str">
        <f>'БазНорм (обр)'!A90</f>
        <v>Оценка условий труда</v>
      </c>
      <c r="B102" s="27" t="str">
        <f>'БазНорм (обр)'!B90</f>
        <v>усл. ед.</v>
      </c>
      <c r="C102" s="52">
        <f>'БазНорм (обр)'!C90</f>
        <v>7.7412513255567333E-2</v>
      </c>
      <c r="D102" s="181"/>
    </row>
    <row r="103" spans="1:4" ht="12.75" customHeight="1" outlineLevel="3" x14ac:dyDescent="0.3">
      <c r="A103" s="26" t="str">
        <f>'БазНорм (обр)'!A91</f>
        <v>Аттестация рабочих мест</v>
      </c>
      <c r="B103" s="27" t="str">
        <f>'БазНорм (обр)'!B91</f>
        <v>усл. ед.</v>
      </c>
      <c r="C103" s="52">
        <f>'БазНорм (обр)'!C91</f>
        <v>7.4231177094379638E-2</v>
      </c>
      <c r="D103" s="181"/>
    </row>
    <row r="104" spans="1:4" ht="12.75" customHeight="1" outlineLevel="3" x14ac:dyDescent="0.3">
      <c r="A104" s="26" t="str">
        <f>'БазНорм (обр)'!A92</f>
        <v>Заправка картриджей</v>
      </c>
      <c r="B104" s="27" t="str">
        <f>'БазНорм (обр)'!B92</f>
        <v>усл. ед.</v>
      </c>
      <c r="C104" s="52">
        <f>'БазНорм (обр)'!C92</f>
        <v>0.20859407592824364</v>
      </c>
      <c r="D104" s="181"/>
    </row>
    <row r="105" spans="1:4" ht="12.75" customHeight="1" outlineLevel="3" x14ac:dyDescent="0.3">
      <c r="A105" s="26" t="str">
        <f>'БазНорм (обр)'!A93</f>
        <v>Приобритение картриджей</v>
      </c>
      <c r="B105" s="27" t="str">
        <f>'БазНорм (обр)'!B93</f>
        <v>шт.</v>
      </c>
      <c r="C105" s="52">
        <f>'БазНорм (обр)'!C93</f>
        <v>2.7812543457099152E-2</v>
      </c>
      <c r="D105" s="181"/>
    </row>
    <row r="106" spans="1:4" ht="12.75" customHeight="1" outlineLevel="3" x14ac:dyDescent="0.3">
      <c r="A106" s="26" t="str">
        <f>'БазНорм (обр)'!A94</f>
        <v>Хостинг сайта</v>
      </c>
      <c r="B106" s="27">
        <f>'БазНорм (обр)'!B94</f>
        <v>0</v>
      </c>
      <c r="C106" s="52">
        <f>'БазНорм (обр)'!C94</f>
        <v>1.3906271728549575E-3</v>
      </c>
      <c r="D106" s="181"/>
    </row>
    <row r="107" spans="1:4" s="60" customFormat="1" ht="12.75" customHeight="1" outlineLevel="3" x14ac:dyDescent="0.3">
      <c r="A107" s="33" t="s">
        <v>66</v>
      </c>
      <c r="B107" s="34" t="s">
        <v>3</v>
      </c>
      <c r="C107" s="51" t="s">
        <v>3</v>
      </c>
      <c r="D107" s="181"/>
    </row>
    <row r="108" spans="1:4" ht="12.75" customHeight="1" outlineLevel="3" x14ac:dyDescent="0.3">
      <c r="A108" s="26" t="str">
        <f>'БазНорм (обр)'!A96</f>
        <v>Бумага А4</v>
      </c>
      <c r="B108" s="27" t="str">
        <f>'БазНорм (обр)'!B96</f>
        <v>пач.</v>
      </c>
      <c r="C108" s="52">
        <f>'БазНорм (обр)'!C96</f>
        <v>0.29692470837751855</v>
      </c>
      <c r="D108" s="181"/>
    </row>
    <row r="109" spans="1:4" ht="12.75" customHeight="1" outlineLevel="3" x14ac:dyDescent="0.3">
      <c r="A109" s="26" t="str">
        <f>'БазНорм (обр)'!A97</f>
        <v>Блок для записей</v>
      </c>
      <c r="B109" s="27" t="str">
        <f>'БазНорм (обр)'!B97</f>
        <v>шт.</v>
      </c>
      <c r="C109" s="52">
        <f>'БазНорм (обр)'!C97</f>
        <v>6.0016804705317485E-2</v>
      </c>
      <c r="D109" s="181"/>
    </row>
    <row r="110" spans="1:4" ht="12.75" customHeight="1" outlineLevel="3" x14ac:dyDescent="0.3">
      <c r="A110" s="26" t="str">
        <f>'БазНорм (обр)'!A98</f>
        <v>Блок липкий</v>
      </c>
      <c r="B110" s="27" t="str">
        <f>'БазНорм (обр)'!B98</f>
        <v>шт.</v>
      </c>
      <c r="C110" s="52">
        <f>'БазНорм (обр)'!C98</f>
        <v>6.0016804705317485E-2</v>
      </c>
      <c r="D110" s="181"/>
    </row>
    <row r="111" spans="1:4" ht="12.75" customHeight="1" outlineLevel="3" x14ac:dyDescent="0.3">
      <c r="A111" s="26" t="str">
        <f>'БазНорм (обр)'!A99</f>
        <v>Мел школьный</v>
      </c>
      <c r="B111" s="27" t="str">
        <f>'БазНорм (обр)'!B99</f>
        <v>упак.</v>
      </c>
      <c r="C111" s="52">
        <f>'БазНорм (обр)'!C99</f>
        <v>2.4006721882126995E-2</v>
      </c>
      <c r="D111" s="181"/>
    </row>
    <row r="112" spans="1:4" ht="12.75" customHeight="1" outlineLevel="3" x14ac:dyDescent="0.3">
      <c r="A112" s="26" t="str">
        <f>'БазНорм (обр)'!A100</f>
        <v>Ластик (резинка)</v>
      </c>
      <c r="B112" s="27" t="str">
        <f>'БазНорм (обр)'!B100</f>
        <v>шт.</v>
      </c>
      <c r="C112" s="52">
        <f>'БазНорм (обр)'!C100</f>
        <v>3.0008402352658742E-2</v>
      </c>
      <c r="D112" s="181"/>
    </row>
    <row r="113" spans="1:4" ht="12.75" customHeight="1" outlineLevel="3" x14ac:dyDescent="0.3">
      <c r="A113" s="26" t="str">
        <f>'БазНорм (обр)'!A101</f>
        <v>Карандаш ч/гр</v>
      </c>
      <c r="B113" s="27" t="str">
        <f>'БазНорм (обр)'!B101</f>
        <v>шт.</v>
      </c>
      <c r="C113" s="52">
        <f>'БазНорм (обр)'!C101</f>
        <v>8.402352658744448E-3</v>
      </c>
      <c r="D113" s="181"/>
    </row>
    <row r="114" spans="1:4" ht="12.75" customHeight="1" outlineLevel="3" x14ac:dyDescent="0.3">
      <c r="A114" s="26" t="str">
        <f>'БазНорм (обр)'!A102</f>
        <v>Ручка гелевая черная</v>
      </c>
      <c r="B114" s="27" t="str">
        <f>'БазНорм (обр)'!B102</f>
        <v>шт.</v>
      </c>
      <c r="C114" s="52">
        <f>'БазНорм (обр)'!C102</f>
        <v>0.14404033129276198</v>
      </c>
      <c r="D114" s="181"/>
    </row>
    <row r="115" spans="1:4" ht="12.75" customHeight="1" outlineLevel="3" x14ac:dyDescent="0.3">
      <c r="A115" s="26" t="str">
        <f>'БазНорм (обр)'!A103</f>
        <v>Ручка шариковая</v>
      </c>
      <c r="B115" s="27" t="str">
        <f>'БазНорм (обр)'!B103</f>
        <v>шт.</v>
      </c>
      <c r="C115" s="52">
        <f>'БазНорм (обр)'!C103</f>
        <v>6.0016804705317485E-2</v>
      </c>
      <c r="D115" s="181"/>
    </row>
    <row r="116" spans="1:4" ht="12.75" customHeight="1" outlineLevel="3" x14ac:dyDescent="0.3">
      <c r="A116" s="26" t="str">
        <f>'БазНорм (обр)'!A104</f>
        <v>Текстовый маркер</v>
      </c>
      <c r="B116" s="27" t="str">
        <f>'БазНорм (обр)'!B104</f>
        <v>шт.</v>
      </c>
      <c r="C116" s="52">
        <f>'БазНорм (обр)'!C104</f>
        <v>5.4015124234785737E-2</v>
      </c>
      <c r="D116" s="181"/>
    </row>
    <row r="117" spans="1:4" ht="12.75" customHeight="1" outlineLevel="3" x14ac:dyDescent="0.3">
      <c r="A117" s="26" t="str">
        <f>'БазНорм (обр)'!A105</f>
        <v>Маркеры для доски</v>
      </c>
      <c r="B117" s="27" t="str">
        <f>'БазНорм (обр)'!B105</f>
        <v>шт.</v>
      </c>
      <c r="C117" s="52">
        <f>'БазНорм (обр)'!C105</f>
        <v>0.27812543457099148</v>
      </c>
      <c r="D117" s="181"/>
    </row>
    <row r="118" spans="1:4" ht="12.75" customHeight="1" outlineLevel="3" x14ac:dyDescent="0.3">
      <c r="A118" s="26" t="str">
        <f>'БазНорм (обр)'!A106</f>
        <v xml:space="preserve">Корректор </v>
      </c>
      <c r="B118" s="27" t="str">
        <f>'БазНорм (обр)'!B106</f>
        <v>шт.</v>
      </c>
      <c r="C118" s="52">
        <f>'БазНорм (обр)'!C106</f>
        <v>2.225003476567932E-2</v>
      </c>
      <c r="D118" s="181"/>
    </row>
    <row r="119" spans="1:4" ht="12.75" customHeight="1" outlineLevel="3" x14ac:dyDescent="0.3">
      <c r="A119" s="26" t="str">
        <f>'БазНорм (обр)'!A107</f>
        <v>Кнопки</v>
      </c>
      <c r="B119" s="27" t="str">
        <f>'БазНорм (обр)'!B107</f>
        <v>упак.</v>
      </c>
      <c r="C119" s="52">
        <f>'БазНорм (обр)'!C107</f>
        <v>1.3906271728549576E-2</v>
      </c>
      <c r="D119" s="181"/>
    </row>
    <row r="120" spans="1:4" ht="12.75" customHeight="1" outlineLevel="3" x14ac:dyDescent="0.3">
      <c r="A120" s="26" t="str">
        <f>'БазНорм (обр)'!A108</f>
        <v>Разделители листов, картонные</v>
      </c>
      <c r="B120" s="27" t="str">
        <f>'БазНорм (обр)'!B108</f>
        <v>упак.</v>
      </c>
      <c r="C120" s="52">
        <f>'БазНорм (обр)'!C108</f>
        <v>6.0016804705317485E-2</v>
      </c>
      <c r="D120" s="181"/>
    </row>
    <row r="121" spans="1:4" ht="12.75" customHeight="1" outlineLevel="3" x14ac:dyDescent="0.3">
      <c r="A121" s="26" t="str">
        <f>'БазНорм (обр)'!A109</f>
        <v>Скоросшиватель пластик 150мкм</v>
      </c>
      <c r="B121" s="27" t="str">
        <f>'БазНорм (обр)'!B109</f>
        <v>шт.</v>
      </c>
      <c r="C121" s="52">
        <f>'БазНорм (обр)'!C109</f>
        <v>0.13906271728549574</v>
      </c>
      <c r="D121" s="181"/>
    </row>
    <row r="122" spans="1:4" ht="12.75" customHeight="1" outlineLevel="3" x14ac:dyDescent="0.3">
      <c r="A122" s="26" t="str">
        <f>'БазНорм (обр)'!A110</f>
        <v>Файл А4 прозрачный</v>
      </c>
      <c r="B122" s="27" t="str">
        <f>'БазНорм (обр)'!B110</f>
        <v>шт.</v>
      </c>
      <c r="C122" s="52">
        <f>'БазНорм (обр)'!C110</f>
        <v>3.5624476110645431</v>
      </c>
      <c r="D122" s="181"/>
    </row>
    <row r="123" spans="1:4" ht="12.75" customHeight="1" outlineLevel="3" x14ac:dyDescent="0.3">
      <c r="A123" s="26" t="str">
        <f>'БазНорм (обр)'!A111</f>
        <v xml:space="preserve">Папки файлы </v>
      </c>
      <c r="B123" s="27" t="str">
        <f>'БазНорм (обр)'!B111</f>
        <v>упак.</v>
      </c>
      <c r="C123" s="52">
        <f>'БазНорм (обр)'!C111</f>
        <v>3.6010082823190494E-2</v>
      </c>
      <c r="D123" s="181"/>
    </row>
    <row r="124" spans="1:4" ht="12.75" customHeight="1" outlineLevel="3" x14ac:dyDescent="0.3">
      <c r="A124" s="26" t="str">
        <f>'БазНорм (обр)'!A112</f>
        <v xml:space="preserve">Клей-карандаш </v>
      </c>
      <c r="B124" s="27" t="str">
        <f>'БазНорм (обр)'!B112</f>
        <v>шт.</v>
      </c>
      <c r="C124" s="52">
        <f>'БазНорм (обр)'!C112</f>
        <v>2.7812543457099152E-2</v>
      </c>
      <c r="D124" s="181"/>
    </row>
    <row r="125" spans="1:4" ht="12.75" customHeight="1" outlineLevel="3" x14ac:dyDescent="0.3">
      <c r="A125" s="26" t="str">
        <f>'БазНорм (обр)'!A113</f>
        <v>Клей ПВА</v>
      </c>
      <c r="B125" s="27" t="str">
        <f>'БазНорм (обр)'!B113</f>
        <v>шт.</v>
      </c>
      <c r="C125" s="52">
        <f>'БазНорм (обр)'!C113</f>
        <v>1.3906271728549576E-2</v>
      </c>
      <c r="D125" s="181"/>
    </row>
    <row r="126" spans="1:4" ht="12.75" customHeight="1" outlineLevel="3" x14ac:dyDescent="0.3">
      <c r="A126" s="26" t="str">
        <f>'БазНорм (обр)'!A114</f>
        <v>Скотч 19*33</v>
      </c>
      <c r="B126" s="27" t="str">
        <f>'БазНорм (обр)'!B114</f>
        <v>шт.</v>
      </c>
      <c r="C126" s="52">
        <f>'БазНорм (обр)'!C114</f>
        <v>2.7242246437552388E-2</v>
      </c>
      <c r="D126" s="181"/>
    </row>
    <row r="127" spans="1:4" ht="12.75" customHeight="1" outlineLevel="3" x14ac:dyDescent="0.3">
      <c r="A127" s="26" t="str">
        <f>'БазНорм (обр)'!A115</f>
        <v>Скотч 50*66</v>
      </c>
      <c r="B127" s="27" t="str">
        <f>'БазНорм (обр)'!B115</f>
        <v>шт.</v>
      </c>
      <c r="C127" s="52">
        <f>'БазНорм (обр)'!C115</f>
        <v>2.9337803855825649E-2</v>
      </c>
      <c r="D127" s="181"/>
    </row>
    <row r="128" spans="1:4" ht="12.75" customHeight="1" outlineLevel="3" x14ac:dyDescent="0.3">
      <c r="A128" s="26" t="str">
        <f>'БазНорм (обр)'!A116</f>
        <v>Скотч 48*100</v>
      </c>
      <c r="B128" s="27" t="str">
        <f>'БазНорм (обр)'!B116</f>
        <v>шт.</v>
      </c>
      <c r="C128" s="52">
        <f>'БазНорм (обр)'!C116</f>
        <v>0</v>
      </c>
      <c r="D128" s="181"/>
    </row>
    <row r="129" spans="1:4" ht="12.75" customHeight="1" outlineLevel="3" x14ac:dyDescent="0.3">
      <c r="A129" s="26" t="str">
        <f>'БазНорм (обр)'!A117</f>
        <v>Клейкая лента 48*100</v>
      </c>
      <c r="B129" s="27" t="str">
        <f>'БазНорм (обр)'!B117</f>
        <v>шт.</v>
      </c>
      <c r="C129" s="52">
        <f>'БазНорм (обр)'!C117</f>
        <v>2.1606049693914296E-2</v>
      </c>
      <c r="D129" s="181"/>
    </row>
    <row r="130" spans="1:4" ht="12.75" customHeight="1" outlineLevel="3" x14ac:dyDescent="0.3">
      <c r="A130" s="26" t="str">
        <f>'БазНорм (обр)'!A118</f>
        <v>Клейкая лента 48*66</v>
      </c>
      <c r="B130" s="27" t="str">
        <f>'БазНорм (обр)'!B118</f>
        <v>шт.</v>
      </c>
      <c r="C130" s="52">
        <f>'БазНорм (обр)'!C118</f>
        <v>0.17382839660686969</v>
      </c>
      <c r="D130" s="181"/>
    </row>
    <row r="131" spans="1:4" ht="12.75" customHeight="1" outlineLevel="3" x14ac:dyDescent="0.3">
      <c r="A131" s="26" t="str">
        <f>'БазНорм (обр)'!A119</f>
        <v>Регистратор 50 мм</v>
      </c>
      <c r="B131" s="27" t="str">
        <f>'БазНорм (обр)'!B119</f>
        <v>шт.</v>
      </c>
      <c r="C131" s="52">
        <f>'БазНорм (обр)'!C119</f>
        <v>3.143336127409891E-2</v>
      </c>
      <c r="D131" s="181"/>
    </row>
    <row r="132" spans="1:4" ht="12.75" customHeight="1" outlineLevel="3" x14ac:dyDescent="0.3">
      <c r="A132" s="26" t="str">
        <f>'БазНорм (обр)'!A120</f>
        <v>Накопитель документов Лоток-коробка 150мм</v>
      </c>
      <c r="B132" s="27" t="str">
        <f>'БазНорм (обр)'!B120</f>
        <v>шт.</v>
      </c>
      <c r="C132" s="52">
        <f>'БазНорм (обр)'!C120</f>
        <v>1.2003360941063497E-2</v>
      </c>
      <c r="D132" s="181"/>
    </row>
    <row r="133" spans="1:4" ht="12.75" customHeight="1" outlineLevel="3" x14ac:dyDescent="0.3">
      <c r="A133" s="26" t="str">
        <f>'БазНорм (обр)'!A121</f>
        <v>Накопитель документов Лоток-коробка 75мм</v>
      </c>
      <c r="B133" s="27" t="str">
        <f>'БазНорм (обр)'!B121</f>
        <v>шт.</v>
      </c>
      <c r="C133" s="52">
        <f>'БазНорм (обр)'!C121</f>
        <v>2.4006721882126995E-2</v>
      </c>
      <c r="D133" s="181"/>
    </row>
    <row r="134" spans="1:4" ht="12.75" customHeight="1" outlineLevel="3" x14ac:dyDescent="0.3">
      <c r="A134" s="26" t="str">
        <f>'БазНорм (обр)'!A122</f>
        <v>Тетрадь 48л.</v>
      </c>
      <c r="B134" s="27" t="str">
        <f>'БазНорм (обр)'!B122</f>
        <v>шт.</v>
      </c>
      <c r="C134" s="52">
        <f>'БазНорм (обр)'!C122</f>
        <v>3.6010082823190494E-3</v>
      </c>
      <c r="D134" s="181"/>
    </row>
    <row r="135" spans="1:4" ht="12.75" customHeight="1" outlineLevel="3" x14ac:dyDescent="0.3">
      <c r="A135" s="26" t="str">
        <f>'БазНорм (обр)'!A123</f>
        <v>Скрепки 28 мм</v>
      </c>
      <c r="B135" s="27" t="str">
        <f>'БазНорм (обр)'!B123</f>
        <v>упак.</v>
      </c>
      <c r="C135" s="52">
        <f>'БазНорм (обр)'!C123</f>
        <v>2.7812543457099152E-2</v>
      </c>
      <c r="D135" s="181"/>
    </row>
    <row r="136" spans="1:4" ht="12.75" customHeight="1" outlineLevel="3" x14ac:dyDescent="0.3">
      <c r="A136" s="26" t="str">
        <f>'БазНорм (обр)'!A124</f>
        <v>Скобы № 10</v>
      </c>
      <c r="B136" s="27" t="str">
        <f>'БазНорм (обр)'!B124</f>
        <v>упак.</v>
      </c>
      <c r="C136" s="52">
        <f>'БазНорм (обр)'!C124</f>
        <v>4.8013443764253989E-2</v>
      </c>
      <c r="D136" s="181"/>
    </row>
    <row r="137" spans="1:4" ht="12.75" customHeight="1" outlineLevel="3" x14ac:dyDescent="0.3">
      <c r="A137" s="26" t="str">
        <f>'БазНорм (обр)'!A125</f>
        <v>Скобы № 24</v>
      </c>
      <c r="B137" s="27" t="str">
        <f>'БазНорм (обр)'!B125</f>
        <v>упак.</v>
      </c>
      <c r="C137" s="52">
        <f>'БазНорм (обр)'!C125</f>
        <v>2.4006721882126995E-2</v>
      </c>
      <c r="D137" s="181"/>
    </row>
    <row r="138" spans="1:4" ht="12.75" customHeight="1" outlineLevel="3" x14ac:dyDescent="0.3">
      <c r="A138" s="26" t="str">
        <f>'БазНорм (обр)'!A126</f>
        <v>Папка с файлами</v>
      </c>
      <c r="B138" s="27" t="str">
        <f>'БазНорм (обр)'!B126</f>
        <v>шт.</v>
      </c>
      <c r="C138" s="52">
        <f>'БазНорм (обр)'!C126</f>
        <v>6.953135864274787E-2</v>
      </c>
      <c r="D138" s="181"/>
    </row>
    <row r="139" spans="1:4" ht="12.75" customHeight="1" outlineLevel="3" x14ac:dyDescent="0.3">
      <c r="A139" s="26" t="str">
        <f>'БазНорм (обр)'!A127</f>
        <v>Папка - регистратор</v>
      </c>
      <c r="B139" s="27" t="str">
        <f>'БазНорм (обр)'!B127</f>
        <v>шт.</v>
      </c>
      <c r="C139" s="52">
        <f>'БазНорм (обр)'!C127</f>
        <v>4.1718815185648725E-2</v>
      </c>
      <c r="D139" s="181"/>
    </row>
    <row r="140" spans="1:4" ht="12.75" customHeight="1" outlineLevel="3" x14ac:dyDescent="0.3">
      <c r="A140" s="26" t="str">
        <f>'БазНорм (обр)'!A128</f>
        <v>Папка - уголок</v>
      </c>
      <c r="B140" s="27" t="str">
        <f>'БазНорм (обр)'!B128</f>
        <v>шт.</v>
      </c>
      <c r="C140" s="52">
        <f>'БазНорм (обр)'!C128</f>
        <v>6.953135864274787E-2</v>
      </c>
      <c r="D140" s="181"/>
    </row>
    <row r="141" spans="1:4" ht="12.75" customHeight="1" outlineLevel="3" x14ac:dyDescent="0.3">
      <c r="A141" s="26" t="str">
        <f>'БазНорм (обр)'!A129</f>
        <v>Папка с завязками карт</v>
      </c>
      <c r="B141" s="27" t="str">
        <f>'БазНорм (обр)'!B129</f>
        <v>упак.</v>
      </c>
      <c r="C141" s="52">
        <f>'БазНорм (обр)'!C129</f>
        <v>0.13906271728549574</v>
      </c>
      <c r="D141" s="181"/>
    </row>
    <row r="142" spans="1:4" ht="12.75" customHeight="1" outlineLevel="3" x14ac:dyDescent="0.3">
      <c r="A142" s="26" t="str">
        <f>'БазНорм (обр)'!A130</f>
        <v>Папка с мет. приж. 0,6 мм</v>
      </c>
      <c r="B142" s="27" t="str">
        <f>'БазНорм (обр)'!B130</f>
        <v>шт.</v>
      </c>
      <c r="C142" s="52">
        <f>'БазНорм (обр)'!C130</f>
        <v>2.4006721882126995E-2</v>
      </c>
      <c r="D142" s="181"/>
    </row>
    <row r="143" spans="1:4" ht="12.75" customHeight="1" outlineLevel="3" x14ac:dyDescent="0.3">
      <c r="A143" s="26" t="str">
        <f>'БазНорм (обр)'!A131</f>
        <v>Папка с мет. приж 0,7мм</v>
      </c>
      <c r="B143" s="27" t="str">
        <f>'БазНорм (обр)'!B131</f>
        <v>шт.</v>
      </c>
      <c r="C143" s="52">
        <f>'БазНорм (обр)'!C131</f>
        <v>1.2003360941063497E-2</v>
      </c>
      <c r="D143" s="181"/>
    </row>
    <row r="144" spans="1:4" ht="12.75" customHeight="1" outlineLevel="3" x14ac:dyDescent="0.3">
      <c r="A144" s="26" t="str">
        <f>'БазНорм (обр)'!A132</f>
        <v>Нож канцелярский</v>
      </c>
      <c r="B144" s="27" t="str">
        <f>'БазНорм (обр)'!B132</f>
        <v>шт.</v>
      </c>
      <c r="C144" s="52">
        <f>'БазНорм (обр)'!C132</f>
        <v>1.3906271728549576E-2</v>
      </c>
      <c r="D144" s="181"/>
    </row>
    <row r="145" spans="1:4" ht="12.75" customHeight="1" outlineLevel="3" x14ac:dyDescent="0.3">
      <c r="A145" s="26" t="str">
        <f>'БазНорм (обр)'!A133</f>
        <v>Ножницы канц.</v>
      </c>
      <c r="B145" s="27" t="str">
        <f>'БазНорм (обр)'!B133</f>
        <v>шт.</v>
      </c>
      <c r="C145" s="52">
        <f>'БазНорм (обр)'!C133</f>
        <v>6.9531358642747881E-3</v>
      </c>
      <c r="D145" s="181"/>
    </row>
    <row r="146" spans="1:4" ht="12.75" customHeight="1" outlineLevel="3" x14ac:dyDescent="0.3">
      <c r="A146" s="26" t="str">
        <f>'БазНорм (обр)'!A134</f>
        <v>Степлер</v>
      </c>
      <c r="B146" s="27" t="str">
        <f>'БазНорм (обр)'!B134</f>
        <v>шт.</v>
      </c>
      <c r="C146" s="52">
        <f>'БазНорм (обр)'!C134</f>
        <v>6.9531358642747881E-3</v>
      </c>
      <c r="D146" s="181"/>
    </row>
    <row r="147" spans="1:4" s="60" customFormat="1" ht="12.75" customHeight="1" outlineLevel="2" x14ac:dyDescent="0.3">
      <c r="A147" s="33" t="s">
        <v>67</v>
      </c>
      <c r="B147" s="34" t="s">
        <v>3</v>
      </c>
      <c r="C147" s="51" t="s">
        <v>3</v>
      </c>
      <c r="D147" s="181"/>
    </row>
    <row r="148" spans="1:4" ht="12.75" customHeight="1" outlineLevel="3" x14ac:dyDescent="0.3">
      <c r="A148" s="26" t="str">
        <f>'БазНорм (обр)'!A136</f>
        <v>Йод р-р 5%-10 мл.</v>
      </c>
      <c r="B148" s="27" t="str">
        <f>'БазНорм (обр)'!B136</f>
        <v>шт.</v>
      </c>
      <c r="C148" s="52">
        <f>'БазНорм (обр)'!C136</f>
        <v>2.4006721882126995E-2</v>
      </c>
      <c r="D148" s="181"/>
    </row>
    <row r="149" spans="1:4" ht="12.75" customHeight="1" outlineLevel="3" x14ac:dyDescent="0.3">
      <c r="A149" s="26" t="str">
        <f>'БазНорм (обр)'!A137</f>
        <v>Перекись водорода 3% 40 мл.</v>
      </c>
      <c r="B149" s="27" t="str">
        <f>'БазНорм (обр)'!B137</f>
        <v>шт.</v>
      </c>
      <c r="C149" s="52">
        <f>'БазНорм (обр)'!C137</f>
        <v>3.6010082823190494E-2</v>
      </c>
      <c r="D149" s="181"/>
    </row>
    <row r="150" spans="1:4" ht="12.75" customHeight="1" outlineLevel="3" x14ac:dyDescent="0.3">
      <c r="A150" s="26" t="str">
        <f>'БазНорм (обр)'!A138</f>
        <v>Аммиака р-р-100 мл</v>
      </c>
      <c r="B150" s="27" t="str">
        <f>'БазНорм (обр)'!B138</f>
        <v>шт.</v>
      </c>
      <c r="C150" s="52">
        <f>'БазНорм (обр)'!C138</f>
        <v>3.6010082823190494E-3</v>
      </c>
      <c r="D150" s="181"/>
    </row>
    <row r="151" spans="1:4" ht="12.75" customHeight="1" outlineLevel="3" x14ac:dyDescent="0.3">
      <c r="A151" s="26" t="str">
        <f>'БазНорм (обр)'!A139</f>
        <v>Уголь активированный 250мг №10</v>
      </c>
      <c r="B151" s="27" t="str">
        <f>'БазНорм (обр)'!B139</f>
        <v>шт.</v>
      </c>
      <c r="C151" s="52">
        <f>'БазНорм (обр)'!C139</f>
        <v>1.2003360941063497E-2</v>
      </c>
      <c r="D151" s="181"/>
    </row>
    <row r="152" spans="1:4" ht="12.75" customHeight="1" outlineLevel="3" x14ac:dyDescent="0.3">
      <c r="A152" s="26" t="str">
        <f>'БазНорм (обр)'!A140</f>
        <v>Бинт стерильный 5*10 см</v>
      </c>
      <c r="B152" s="27" t="str">
        <f>'БазНорм (обр)'!B140</f>
        <v>шт.</v>
      </c>
      <c r="C152" s="52">
        <f>'БазНорм (обр)'!C140</f>
        <v>4.2011763293722242E-2</v>
      </c>
      <c r="D152" s="181"/>
    </row>
    <row r="153" spans="1:4" ht="12.75" customHeight="1" outlineLevel="3" x14ac:dyDescent="0.3">
      <c r="A153" s="26" t="str">
        <f>'БазНорм (обр)'!A141</f>
        <v>Бинт стерильный 7-14 см</v>
      </c>
      <c r="B153" s="27" t="str">
        <f>'БазНорм (обр)'!B141</f>
        <v>шт.</v>
      </c>
      <c r="C153" s="52">
        <f>'БазНорм (обр)'!C141</f>
        <v>4.2011763293722242E-2</v>
      </c>
      <c r="D153" s="181"/>
    </row>
    <row r="154" spans="1:4" ht="12.75" customHeight="1" outlineLevel="3" x14ac:dyDescent="0.3">
      <c r="A154" s="26" t="str">
        <f>'БазНорм (обр)'!A142</f>
        <v>Вата хирург. стерильн. 250г</v>
      </c>
      <c r="B154" s="27" t="str">
        <f>'БазНорм (обр)'!B142</f>
        <v>шт.</v>
      </c>
      <c r="C154" s="52">
        <f>'БазНорм (обр)'!C142</f>
        <v>2.4006721882126993E-3</v>
      </c>
      <c r="D154" s="181"/>
    </row>
    <row r="155" spans="1:4" ht="12.75" customHeight="1" outlineLevel="3" x14ac:dyDescent="0.3">
      <c r="A155" s="26" t="str">
        <f>'БазНорм (обр)'!A143</f>
        <v>Салфетки стрерильные 16*14 №20</v>
      </c>
      <c r="B155" s="27" t="str">
        <f>'БазНорм (обр)'!B143</f>
        <v>шт.</v>
      </c>
      <c r="C155" s="52">
        <f>'БазНорм (обр)'!C143</f>
        <v>2.4006721882126995E-2</v>
      </c>
      <c r="D155" s="181"/>
    </row>
    <row r="156" spans="1:4" ht="12.75" customHeight="1" outlineLevel="3" x14ac:dyDescent="0.3">
      <c r="A156" s="26" t="str">
        <f>'БазНорм (обр)'!A144</f>
        <v>Л/пласт. бактериц. 2,5*7,2 №1</v>
      </c>
      <c r="B156" s="27" t="str">
        <f>'БазНорм (обр)'!B144</f>
        <v>шт.</v>
      </c>
      <c r="C156" s="52">
        <f>'БазНорм (обр)'!C144</f>
        <v>0.24006721882126994</v>
      </c>
      <c r="D156" s="181"/>
    </row>
    <row r="157" spans="1:4" ht="12.75" customHeight="1" outlineLevel="3" x14ac:dyDescent="0.3">
      <c r="A157" s="26" t="str">
        <f>'БазНорм (обр)'!A145</f>
        <v>Л/пласт,3*500</v>
      </c>
      <c r="B157" s="27" t="str">
        <f>'БазНорм (обр)'!B145</f>
        <v>шт.</v>
      </c>
      <c r="C157" s="52">
        <f>'БазНорм (обр)'!C145</f>
        <v>2.4006721882126993E-3</v>
      </c>
      <c r="D157" s="181"/>
    </row>
    <row r="158" spans="1:4" ht="12.75" customHeight="1" outlineLevel="3" x14ac:dyDescent="0.3">
      <c r="A158" s="26" t="str">
        <f>'БазНорм (обр)'!A146</f>
        <v>Маска трехсл.мед.№50</v>
      </c>
      <c r="B158" s="27" t="str">
        <f>'БазНорм (обр)'!B146</f>
        <v>шт.</v>
      </c>
      <c r="C158" s="52">
        <f>'БазНорм (обр)'!C146</f>
        <v>2.4006721882126993E-3</v>
      </c>
      <c r="D158" s="181"/>
    </row>
    <row r="159" spans="1:4" ht="12.75" customHeight="1" outlineLevel="3" x14ac:dyDescent="0.3">
      <c r="A159" s="26" t="str">
        <f>'БазНорм (обр)'!A147</f>
        <v>Губка гемостатическая 5*5</v>
      </c>
      <c r="B159" s="27" t="str">
        <f>'БазНорм (обр)'!B147</f>
        <v>шт.</v>
      </c>
      <c r="C159" s="52">
        <f>'БазНорм (обр)'!C147</f>
        <v>2.4006721882126993E-3</v>
      </c>
      <c r="D159" s="181"/>
    </row>
    <row r="160" spans="1:4" ht="12.75" customHeight="1" outlineLevel="3" x14ac:dyDescent="0.3">
      <c r="A160" s="26" t="str">
        <f>'БазНорм (обр)'!A148</f>
        <v>Левомеколь мазь 40г.</v>
      </c>
      <c r="B160" s="27" t="str">
        <f>'БазНорм (обр)'!B148</f>
        <v>шт.</v>
      </c>
      <c r="C160" s="52">
        <f>'БазНорм (обр)'!C148</f>
        <v>3.6010082823190494E-3</v>
      </c>
      <c r="D160" s="181"/>
    </row>
    <row r="161" spans="1:4" ht="12.75" customHeight="1" outlineLevel="3" x14ac:dyDescent="0.3">
      <c r="A161" s="26" t="str">
        <f>'БазНорм (обр)'!A149</f>
        <v>Напальчник резиновый №5</v>
      </c>
      <c r="B161" s="27" t="str">
        <f>'БазНорм (обр)'!B149</f>
        <v>упак.</v>
      </c>
      <c r="C161" s="52">
        <f>'БазНорм (обр)'!C149</f>
        <v>9.6026887528507972E-3</v>
      </c>
      <c r="D161" s="181"/>
    </row>
    <row r="162" spans="1:4" ht="12.75" customHeight="1" outlineLevel="3" x14ac:dyDescent="0.3">
      <c r="A162" s="26" t="str">
        <f>'БазНорм (обр)'!A150</f>
        <v>Пакет гипотермич. "Снежок"</v>
      </c>
      <c r="B162" s="27" t="str">
        <f>'БазНорм (обр)'!B150</f>
        <v>шт.</v>
      </c>
      <c r="C162" s="52">
        <f>'БазНорм (обр)'!C150</f>
        <v>0.18005041411595246</v>
      </c>
      <c r="D162" s="181"/>
    </row>
    <row r="163" spans="1:4" ht="12.75" customHeight="1" outlineLevel="3" x14ac:dyDescent="0.3">
      <c r="A163" s="26" t="str">
        <f>'БазНорм (обр)'!A151</f>
        <v>Сульфацил-натрия 20%-5мл</v>
      </c>
      <c r="B163" s="27" t="str">
        <f>'БазНорм (обр)'!B151</f>
        <v>шт.</v>
      </c>
      <c r="C163" s="52">
        <f>'БазНорм (обр)'!C151</f>
        <v>4.8013443764253986E-3</v>
      </c>
      <c r="D163" s="181"/>
    </row>
    <row r="164" spans="1:4" ht="12.75" customHeight="1" outlineLevel="3" x14ac:dyDescent="0.3">
      <c r="A164" s="26" t="str">
        <f>'БазНорм (обр)'!A152</f>
        <v>Перчатки латексные хир.стер.</v>
      </c>
      <c r="B164" s="27" t="str">
        <f>'БазНорм (обр)'!B152</f>
        <v>упак.</v>
      </c>
      <c r="C164" s="52">
        <f>'БазНорм (обр)'!C152</f>
        <v>2.4006721882126995E-2</v>
      </c>
      <c r="D164" s="181"/>
    </row>
    <row r="165" spans="1:4" ht="12.75" customHeight="1" outlineLevel="3" x14ac:dyDescent="0.3">
      <c r="A165" s="26" t="str">
        <f>'БазНорм (обр)'!A153</f>
        <v>Бриллиантовый зелен. 1%-10мл</v>
      </c>
      <c r="B165" s="27" t="str">
        <f>'БазНорм (обр)'!B153</f>
        <v>шт.</v>
      </c>
      <c r="C165" s="52">
        <f>'БазНорм (обр)'!C153</f>
        <v>1.2003360941063497E-2</v>
      </c>
      <c r="D165" s="181"/>
    </row>
    <row r="166" spans="1:4" ht="12.75" customHeight="1" x14ac:dyDescent="0.3">
      <c r="A166" s="179" t="s">
        <v>83</v>
      </c>
      <c r="B166" s="179"/>
      <c r="C166" s="179"/>
      <c r="D166" s="179"/>
    </row>
    <row r="167" spans="1:4" outlineLevel="1" x14ac:dyDescent="0.3">
      <c r="A167" s="179" t="s">
        <v>84</v>
      </c>
      <c r="B167" s="179"/>
      <c r="C167" s="179"/>
      <c r="D167" s="179"/>
    </row>
    <row r="168" spans="1:4" outlineLevel="2" x14ac:dyDescent="0.3">
      <c r="A168" s="26" t="str">
        <f>'БазНорм (обр)'!A156</f>
        <v>Теплоэнергия (город)</v>
      </c>
      <c r="B168" s="27" t="str">
        <f>'БазНорм (обр)'!B156</f>
        <v>Гкал</v>
      </c>
      <c r="C168" s="52">
        <f>'БазНорм (обр)'!C156</f>
        <v>1.6197030752916226</v>
      </c>
      <c r="D168" s="180" t="s">
        <v>135</v>
      </c>
    </row>
    <row r="169" spans="1:4" outlineLevel="2" x14ac:dyDescent="0.3">
      <c r="A169" s="26" t="str">
        <f>'БазНорм (обр)'!A157</f>
        <v>Теплоэнергия в горячей воде</v>
      </c>
      <c r="B169" s="27" t="str">
        <f>'БазНорм (обр)'!B157</f>
        <v>Гкал</v>
      </c>
      <c r="C169" s="52">
        <f>'БазНорм (обр)'!C157</f>
        <v>0</v>
      </c>
      <c r="D169" s="181"/>
    </row>
    <row r="170" spans="1:4" outlineLevel="2" x14ac:dyDescent="0.3">
      <c r="A170" s="26" t="str">
        <f>'БазНорм (обр)'!A158</f>
        <v>Теплоноситель</v>
      </c>
      <c r="B170" s="27" t="str">
        <f>'БазНорм (обр)'!B158</f>
        <v>м3</v>
      </c>
      <c r="C170" s="52">
        <f>'БазНорм (обр)'!C158</f>
        <v>3.4638388123011667</v>
      </c>
      <c r="D170" s="181"/>
    </row>
    <row r="171" spans="1:4" outlineLevel="2" x14ac:dyDescent="0.3">
      <c r="A171" s="26" t="str">
        <f>'БазНорм (обр)'!A159</f>
        <v>Электроэнергия (до 150)</v>
      </c>
      <c r="B171" s="27" t="str">
        <f>'БазНорм (обр)'!B159</f>
        <v>Квт*ч</v>
      </c>
      <c r="C171" s="52">
        <f>'БазНорм (обр)'!C159</f>
        <v>113.65853658536585</v>
      </c>
      <c r="D171" s="181"/>
    </row>
    <row r="172" spans="1:4" outlineLevel="2" x14ac:dyDescent="0.3">
      <c r="A172" s="26" t="str">
        <f>'БазНорм (обр)'!A160</f>
        <v>Электроэнергия (от 150 до 670)</v>
      </c>
      <c r="B172" s="27" t="str">
        <f>'БазНорм (обр)'!B160</f>
        <v>Квт*ч</v>
      </c>
      <c r="C172" s="52">
        <f>'БазНорм (обр)'!C160</f>
        <v>57.739130434782609</v>
      </c>
      <c r="D172" s="181"/>
    </row>
    <row r="173" spans="1:4" outlineLevel="2" x14ac:dyDescent="0.3">
      <c r="A173" s="26" t="str">
        <f>'БазНорм (обр)'!A161</f>
        <v>Холодное водоснабжение</v>
      </c>
      <c r="B173" s="27" t="str">
        <f>'БазНорм (обр)'!B161</f>
        <v>м3</v>
      </c>
      <c r="C173" s="52">
        <f>'БазНорм (обр)'!C161</f>
        <v>4.1823966065747618</v>
      </c>
      <c r="D173" s="181"/>
    </row>
    <row r="174" spans="1:4" outlineLevel="2" x14ac:dyDescent="0.3">
      <c r="A174" s="26" t="str">
        <f>'БазНорм (обр)'!A162</f>
        <v>Водоотведение</v>
      </c>
      <c r="B174" s="27" t="str">
        <f>'БазНорм (обр)'!B162</f>
        <v>м3</v>
      </c>
      <c r="C174" s="52">
        <f>'БазНорм (обр)'!C162</f>
        <v>6.7815482502651117</v>
      </c>
      <c r="D174" s="181"/>
    </row>
    <row r="175" spans="1:4" outlineLevel="2" x14ac:dyDescent="0.3">
      <c r="A175" s="26" t="str">
        <f>'БазНорм (обр)'!A163</f>
        <v>Сбросы загрязнений</v>
      </c>
      <c r="B175" s="27" t="str">
        <f>'БазНорм (обр)'!B163</f>
        <v>м3</v>
      </c>
      <c r="C175" s="52">
        <f>'БазНорм (обр)'!C163</f>
        <v>5.7232237539766704</v>
      </c>
      <c r="D175" s="187"/>
    </row>
    <row r="176" spans="1:4" ht="12.75" customHeight="1" outlineLevel="1" x14ac:dyDescent="0.3">
      <c r="A176" s="179" t="s">
        <v>85</v>
      </c>
      <c r="B176" s="179"/>
      <c r="C176" s="179"/>
      <c r="D176" s="179"/>
    </row>
    <row r="177" spans="1:4" ht="13.5" customHeight="1" outlineLevel="2" x14ac:dyDescent="0.3">
      <c r="A177" s="26" t="str">
        <f>'БазНорм (обр)'!A165</f>
        <v>Дератизация</v>
      </c>
      <c r="B177" s="27" t="str">
        <f>'БазНорм (обр)'!B165</f>
        <v>м2</v>
      </c>
      <c r="C177" s="52">
        <f>'БазНорм (обр)'!C165</f>
        <v>0.93864262990455993</v>
      </c>
      <c r="D177" s="180" t="s">
        <v>135</v>
      </c>
    </row>
    <row r="178" spans="1:4" ht="13.5" customHeight="1" outlineLevel="2" x14ac:dyDescent="0.3">
      <c r="A178" s="26" t="str">
        <f>'БазНорм (обр)'!A166</f>
        <v>Дезинсекция</v>
      </c>
      <c r="B178" s="27" t="str">
        <f>'БазНорм (обр)'!B166</f>
        <v>м2</v>
      </c>
      <c r="C178" s="52">
        <f>'БазНорм (обр)'!C166</f>
        <v>0.42417815482502652</v>
      </c>
      <c r="D178" s="181"/>
    </row>
    <row r="179" spans="1:4" ht="13.5" customHeight="1" outlineLevel="2" x14ac:dyDescent="0.3">
      <c r="A179" s="26" t="str">
        <f>'БазНорм (обр)'!A167</f>
        <v>ТО КТС</v>
      </c>
      <c r="B179" s="27" t="str">
        <f>'БазНорм (обр)'!B167</f>
        <v>усл. ед.</v>
      </c>
      <c r="C179" s="52">
        <f>'БазНорм (обр)'!C167</f>
        <v>2.1208907741251328E-3</v>
      </c>
      <c r="D179" s="181"/>
    </row>
    <row r="180" spans="1:4" ht="13.5" customHeight="1" outlineLevel="2" x14ac:dyDescent="0.3">
      <c r="A180" s="26" t="str">
        <f>'БазНорм (обр)'!A168</f>
        <v>Охрана КТС</v>
      </c>
      <c r="B180" s="27" t="str">
        <f>'БазНорм (обр)'!B168</f>
        <v>усл. ед.</v>
      </c>
      <c r="C180" s="52">
        <f>'БазНорм (обр)'!C168</f>
        <v>0</v>
      </c>
      <c r="D180" s="181"/>
    </row>
    <row r="181" spans="1:4" ht="13.5" customHeight="1" outlineLevel="2" x14ac:dyDescent="0.3">
      <c r="A181" s="26" t="str">
        <f>'БазНорм (обр)'!A169</f>
        <v>Охрана КТС</v>
      </c>
      <c r="B181" s="27" t="str">
        <f>'БазНорм (обр)'!B169</f>
        <v>усл. ед.</v>
      </c>
      <c r="C181" s="52">
        <f>'БазНорм (обр)'!C169</f>
        <v>18.579003181336162</v>
      </c>
      <c r="D181" s="181"/>
    </row>
    <row r="182" spans="1:4" ht="13.5" customHeight="1" outlineLevel="2" x14ac:dyDescent="0.3">
      <c r="A182" s="26" t="str">
        <f>'БазНорм (обр)'!A170</f>
        <v>Охрана КТС</v>
      </c>
      <c r="B182" s="27" t="str">
        <f>'БазНорм (обр)'!B170</f>
        <v>усл. ед.</v>
      </c>
      <c r="C182" s="52">
        <f>'БазНорм (обр)'!C170</f>
        <v>0</v>
      </c>
      <c r="D182" s="181"/>
    </row>
    <row r="183" spans="1:4" ht="13.5" customHeight="1" outlineLevel="2" x14ac:dyDescent="0.3">
      <c r="A183" s="26" t="str">
        <f>'БазНорм (обр)'!A171</f>
        <v>Охрана КТС</v>
      </c>
      <c r="B183" s="27" t="str">
        <f>'БазНорм (обр)'!B171</f>
        <v>усл. ед.</v>
      </c>
      <c r="C183" s="52">
        <f>'БазНорм (обр)'!C171</f>
        <v>0</v>
      </c>
      <c r="D183" s="181"/>
    </row>
    <row r="184" spans="1:4" ht="13.5" customHeight="1" outlineLevel="2" x14ac:dyDescent="0.3">
      <c r="A184" s="26" t="str">
        <f>'БазНорм (обр)'!A172</f>
        <v>Охрана КТС</v>
      </c>
      <c r="B184" s="27" t="str">
        <f>'БазНорм (обр)'!B172</f>
        <v>усл. ед.</v>
      </c>
      <c r="C184" s="52">
        <f>'БазНорм (обр)'!C172</f>
        <v>0</v>
      </c>
      <c r="D184" s="181"/>
    </row>
    <row r="185" spans="1:4" ht="13.5" customHeight="1" outlineLevel="2" x14ac:dyDescent="0.3">
      <c r="A185" s="26" t="str">
        <f>'БазНорм (обр)'!A173</f>
        <v>Пожарная охрана</v>
      </c>
      <c r="B185" s="27" t="str">
        <f>'БазНорм (обр)'!B173</f>
        <v>усл. ед.</v>
      </c>
      <c r="C185" s="52">
        <f>'БазНорм (обр)'!C173</f>
        <v>18.579003181336162</v>
      </c>
      <c r="D185" s="181"/>
    </row>
    <row r="186" spans="1:4" ht="13.5" customHeight="1" outlineLevel="2" x14ac:dyDescent="0.3">
      <c r="A186" s="26" t="str">
        <f>'БазНорм (обр)'!A174</f>
        <v>ТО пожарной сигнализации</v>
      </c>
      <c r="B186" s="27" t="str">
        <f>'БазНорм (обр)'!B174</f>
        <v>усл. ед.</v>
      </c>
      <c r="C186" s="52">
        <f>'БазНорм (обр)'!C174</f>
        <v>0</v>
      </c>
      <c r="D186" s="181"/>
    </row>
    <row r="187" spans="1:4" ht="13.5" customHeight="1" outlineLevel="2" x14ac:dyDescent="0.3">
      <c r="A187" s="26" t="str">
        <f>'БазНорм (обр)'!A175</f>
        <v>ТО пожарной сигнализации</v>
      </c>
      <c r="B187" s="27" t="str">
        <f>'БазНорм (обр)'!B175</f>
        <v>усл. ед.</v>
      </c>
      <c r="C187" s="52">
        <f>'БазНорм (обр)'!C175</f>
        <v>0</v>
      </c>
      <c r="D187" s="181"/>
    </row>
    <row r="188" spans="1:4" ht="13.5" customHeight="1" outlineLevel="2" x14ac:dyDescent="0.3">
      <c r="A188" s="26" t="str">
        <f>'БазНорм (обр)'!A176</f>
        <v>ТО пожарной сигнализации</v>
      </c>
      <c r="B188" s="27" t="str">
        <f>'БазНорм (обр)'!B176</f>
        <v>усл. ед.</v>
      </c>
      <c r="C188" s="52">
        <f>'БазНорм (обр)'!C176</f>
        <v>1.0604453870625664E-3</v>
      </c>
      <c r="D188" s="181"/>
    </row>
    <row r="189" spans="1:4" ht="13.5" customHeight="1" outlineLevel="2" x14ac:dyDescent="0.3">
      <c r="A189" s="26" t="str">
        <f>'БазНорм (обр)'!A177</f>
        <v>ТО пожарной сигнализации</v>
      </c>
      <c r="B189" s="27" t="str">
        <f>'БазНорм (обр)'!B177</f>
        <v>усл. ед.</v>
      </c>
      <c r="C189" s="52">
        <f>'БазНорм (обр)'!C177</f>
        <v>0</v>
      </c>
      <c r="D189" s="181"/>
    </row>
    <row r="190" spans="1:4" ht="13.5" customHeight="1" outlineLevel="2" x14ac:dyDescent="0.3">
      <c r="A190" s="26" t="str">
        <f>'БазНорм (обр)'!A178</f>
        <v>ТО пожарной сигнализации</v>
      </c>
      <c r="B190" s="27" t="str">
        <f>'БазНорм (обр)'!B178</f>
        <v>усл. ед.</v>
      </c>
      <c r="C190" s="52">
        <f>'БазНорм (обр)'!C178</f>
        <v>0</v>
      </c>
      <c r="D190" s="181"/>
    </row>
    <row r="191" spans="1:4" ht="13.5" customHeight="1" outlineLevel="2" x14ac:dyDescent="0.3">
      <c r="A191" s="26" t="str">
        <f>'БазНорм (обр)'!A179</f>
        <v>ТО пожарной сигнализации</v>
      </c>
      <c r="B191" s="27" t="str">
        <f>'БазНорм (обр)'!B179</f>
        <v>усл. ед.</v>
      </c>
      <c r="C191" s="52">
        <f>'БазНорм (обр)'!C179</f>
        <v>0</v>
      </c>
      <c r="D191" s="181"/>
    </row>
    <row r="192" spans="1:4" ht="13.5" customHeight="1" outlineLevel="2" x14ac:dyDescent="0.3">
      <c r="A192" s="26" t="str">
        <f>'БазНорм (обр)'!A180</f>
        <v>GSM Контакт</v>
      </c>
      <c r="B192" s="27" t="str">
        <f>'БазНорм (обр)'!B180</f>
        <v>усл. ед.</v>
      </c>
      <c r="C192" s="52">
        <f>'БазНорм (обр)'!C180</f>
        <v>0</v>
      </c>
      <c r="D192" s="181"/>
    </row>
    <row r="193" spans="1:4" ht="13.5" customHeight="1" outlineLevel="2" x14ac:dyDescent="0.3">
      <c r="A193" s="26" t="str">
        <f>'БазНорм (обр)'!A181</f>
        <v>ТО приборов учета тепла</v>
      </c>
      <c r="B193" s="27" t="str">
        <f>'БазНорм (обр)'!B181</f>
        <v>усл. ед.</v>
      </c>
      <c r="C193" s="52">
        <f>'БазНорм (обр)'!C181</f>
        <v>2.1208907741251328E-3</v>
      </c>
      <c r="D193" s="181"/>
    </row>
    <row r="194" spans="1:4" ht="13.5" customHeight="1" outlineLevel="2" x14ac:dyDescent="0.3">
      <c r="A194" s="26" t="str">
        <f>'БазНорм (обр)'!A182</f>
        <v>ТО автоматизированного теплового пункта</v>
      </c>
      <c r="B194" s="27" t="str">
        <f>'БазНорм (обр)'!B182</f>
        <v>усл. ед.</v>
      </c>
      <c r="C194" s="52">
        <f>'БазНорм (обр)'!C182</f>
        <v>2.1208907741251328E-3</v>
      </c>
      <c r="D194" s="181"/>
    </row>
    <row r="195" spans="1:4" ht="13.5" customHeight="1" outlineLevel="2" x14ac:dyDescent="0.3">
      <c r="A195" s="26" t="str">
        <f>'БазНорм (обр)'!A183</f>
        <v>ТО системы видеонаблюдения</v>
      </c>
      <c r="B195" s="27" t="str">
        <f>'БазНорм (обр)'!B183</f>
        <v>усл. ед.</v>
      </c>
      <c r="C195" s="52">
        <f>'БазНорм (обр)'!C183</f>
        <v>1.0604453870625664E-3</v>
      </c>
      <c r="D195" s="181"/>
    </row>
    <row r="196" spans="1:4" ht="13.5" customHeight="1" outlineLevel="2" x14ac:dyDescent="0.3">
      <c r="A196" s="26" t="str">
        <f>'БазНорм (обр)'!A184</f>
        <v>ТО системы видеонаблюдения</v>
      </c>
      <c r="B196" s="27" t="str">
        <f>'БазНорм (обр)'!B184</f>
        <v>усл. ед.</v>
      </c>
      <c r="C196" s="52">
        <f>'БазНорм (обр)'!C184</f>
        <v>0</v>
      </c>
      <c r="D196" s="181"/>
    </row>
    <row r="197" spans="1:4" ht="13.5" customHeight="1" outlineLevel="2" x14ac:dyDescent="0.3">
      <c r="A197" s="26" t="str">
        <f>'БазНорм (обр)'!A185</f>
        <v>ТО системы видеонаблюдения</v>
      </c>
      <c r="B197" s="27" t="str">
        <f>'БазНорм (обр)'!B185</f>
        <v>усл. ед.</v>
      </c>
      <c r="C197" s="52">
        <f>'БазНорм (обр)'!C185</f>
        <v>0</v>
      </c>
      <c r="D197" s="181"/>
    </row>
    <row r="198" spans="1:4" ht="13.5" customHeight="1" outlineLevel="2" x14ac:dyDescent="0.3">
      <c r="A198" s="26" t="str">
        <f>'БазНорм (обр)'!A186</f>
        <v>Вывоз ТБО</v>
      </c>
      <c r="B198" s="27" t="str">
        <f>'БазНорм (обр)'!B186</f>
        <v>м3</v>
      </c>
      <c r="C198" s="52">
        <f>'БазНорм (обр)'!C186</f>
        <v>0.30965005302226933</v>
      </c>
      <c r="D198" s="181"/>
    </row>
    <row r="199" spans="1:4" ht="13.5" customHeight="1" outlineLevel="2" x14ac:dyDescent="0.3">
      <c r="A199" s="26" t="str">
        <f>'БазНорм (обр)'!A187</f>
        <v>Уборка снега</v>
      </c>
      <c r="B199" s="27" t="str">
        <f>'БазНорм (обр)'!B187</f>
        <v>м2</v>
      </c>
      <c r="C199" s="52">
        <f>'БазНорм (обр)'!C187</f>
        <v>0</v>
      </c>
      <c r="D199" s="181"/>
    </row>
    <row r="200" spans="1:4" ht="13.5" customHeight="1" outlineLevel="2" x14ac:dyDescent="0.3">
      <c r="A200" s="26" t="str">
        <f>'БазНорм (обр)'!A188</f>
        <v>Замеры сопротивлений изоляции проводки</v>
      </c>
      <c r="B200" s="27" t="str">
        <f>'БазНорм (обр)'!B188</f>
        <v>усл. ед.</v>
      </c>
      <c r="C200" s="52">
        <f>'БазНорм (обр)'!C188</f>
        <v>2.1208907741251328E-3</v>
      </c>
      <c r="D200" s="181"/>
    </row>
    <row r="201" spans="1:4" ht="13.5" customHeight="1" outlineLevel="2" x14ac:dyDescent="0.3">
      <c r="A201" s="26" t="str">
        <f>'БазНорм (обр)'!A189</f>
        <v>Техническое обслуживание силового электрооборудования</v>
      </c>
      <c r="B201" s="27" t="str">
        <f>'БазНорм (обр)'!B189</f>
        <v>усл. ед.</v>
      </c>
      <c r="C201" s="52">
        <f>'БазНорм (обр)'!C189</f>
        <v>0</v>
      </c>
      <c r="D201" s="181"/>
    </row>
    <row r="202" spans="1:4" ht="13.5" customHeight="1" outlineLevel="2" x14ac:dyDescent="0.3">
      <c r="A202" s="26" t="str">
        <f>'БазНорм (обр)'!A190</f>
        <v>Прочистка канализации</v>
      </c>
      <c r="B202" s="27" t="str">
        <f>'БазНорм (обр)'!B190</f>
        <v>усл. Ед.</v>
      </c>
      <c r="C202" s="52">
        <f>'БазНорм (обр)'!C190</f>
        <v>4.2417815482502655E-3</v>
      </c>
      <c r="D202" s="181"/>
    </row>
    <row r="203" spans="1:4" ht="13.5" customHeight="1" outlineLevel="2" x14ac:dyDescent="0.3">
      <c r="A203" s="26" t="str">
        <f>'БазНорм (обр)'!A191</f>
        <v>Проверка качества огнезащиты</v>
      </c>
      <c r="B203" s="27" t="str">
        <f>'БазНорм (обр)'!B191</f>
        <v>усл. ед.</v>
      </c>
      <c r="C203" s="52">
        <f>'БазНорм (обр)'!C191</f>
        <v>2.1208907741251328E-3</v>
      </c>
      <c r="D203" s="181"/>
    </row>
    <row r="204" spans="1:4" ht="13.5" customHeight="1" outlineLevel="2" x14ac:dyDescent="0.3">
      <c r="A204" s="26" t="str">
        <f>'БазНорм (обр)'!A192</f>
        <v>Огнезащитная обработка чердачных деревянных конструкций</v>
      </c>
      <c r="B204" s="27" t="str">
        <f>'БазНорм (обр)'!B192</f>
        <v>м2</v>
      </c>
      <c r="C204" s="52">
        <f>'БазНорм (обр)'!C192</f>
        <v>3.9236479321314954</v>
      </c>
      <c r="D204" s="181"/>
    </row>
    <row r="205" spans="1:4" ht="13.5" customHeight="1" outlineLevel="2" x14ac:dyDescent="0.3">
      <c r="A205" s="26" t="str">
        <f>'БазНорм (обр)'!A193</f>
        <v>ТО грузового лифта</v>
      </c>
      <c r="B205" s="27" t="str">
        <f>'БазНорм (обр)'!B193</f>
        <v>усл. ед.</v>
      </c>
      <c r="C205" s="52">
        <f>'БазНорм (обр)'!C193</f>
        <v>1.0604453870625664E-3</v>
      </c>
      <c r="D205" s="181"/>
    </row>
    <row r="206" spans="1:4" ht="12.75" customHeight="1" outlineLevel="1" x14ac:dyDescent="0.3">
      <c r="A206" s="179" t="s">
        <v>86</v>
      </c>
      <c r="B206" s="179"/>
      <c r="C206" s="179"/>
      <c r="D206" s="179"/>
    </row>
    <row r="207" spans="1:4" ht="12.75" customHeight="1" outlineLevel="2" x14ac:dyDescent="0.3">
      <c r="A207" s="26" t="str">
        <f>'БазНорм (обр)'!A195</f>
        <v>Ремонт МФУ</v>
      </c>
      <c r="B207" s="27" t="str">
        <f>'БазНорм (обр)'!B195</f>
        <v>шт.</v>
      </c>
      <c r="C207" s="52">
        <f>'БазНорм (обр)'!C195</f>
        <v>2.6511134676564158E-2</v>
      </c>
      <c r="D207" s="118" t="s">
        <v>135</v>
      </c>
    </row>
    <row r="208" spans="1:4" outlineLevel="1" x14ac:dyDescent="0.3">
      <c r="A208" s="179" t="s">
        <v>87</v>
      </c>
      <c r="B208" s="179"/>
      <c r="C208" s="179"/>
      <c r="D208" s="179"/>
    </row>
    <row r="209" spans="1:4" ht="12.75" customHeight="1" outlineLevel="2" x14ac:dyDescent="0.3">
      <c r="A209" s="26" t="str">
        <f>'БазНорм (обр)'!A197</f>
        <v>Местная связь</v>
      </c>
      <c r="B209" s="27" t="str">
        <f>'БазНорм (обр)'!B197</f>
        <v>усл. ед.</v>
      </c>
      <c r="C209" s="52">
        <f>'БазНорм (обр)'!C197</f>
        <v>1.2725344644750797E-2</v>
      </c>
      <c r="D209" s="180" t="s">
        <v>135</v>
      </c>
    </row>
    <row r="210" spans="1:4" ht="12.75" customHeight="1" outlineLevel="2" x14ac:dyDescent="0.3">
      <c r="A210" s="26" t="str">
        <f>'БазНорм (обр)'!A198</f>
        <v>Связь МН и МГ</v>
      </c>
      <c r="B210" s="27" t="str">
        <f>'БазНорм (обр)'!B198</f>
        <v>усл. ед.</v>
      </c>
      <c r="C210" s="52">
        <f>'БазНорм (обр)'!C198</f>
        <v>1.2725344644750797E-2</v>
      </c>
      <c r="D210" s="181"/>
    </row>
    <row r="211" spans="1:4" ht="12.75" customHeight="1" outlineLevel="2" x14ac:dyDescent="0.3">
      <c r="A211" s="26" t="str">
        <f>'БазНорм (обр)'!A199</f>
        <v>Интернет</v>
      </c>
      <c r="B211" s="27" t="str">
        <f>'БазНорм (обр)'!B199</f>
        <v>усл. ед.</v>
      </c>
      <c r="C211" s="52">
        <f>'БазНорм (обр)'!C199</f>
        <v>1.2725344644750797E-2</v>
      </c>
      <c r="D211" s="181"/>
    </row>
    <row r="212" spans="1:4" outlineLevel="1" x14ac:dyDescent="0.3">
      <c r="A212" s="179" t="s">
        <v>88</v>
      </c>
      <c r="B212" s="179"/>
      <c r="C212" s="179"/>
      <c r="D212" s="179"/>
    </row>
    <row r="213" spans="1:4" ht="12.75" customHeight="1" outlineLevel="2" x14ac:dyDescent="0.3">
      <c r="A213" s="57"/>
      <c r="B213" s="57"/>
      <c r="C213" s="57"/>
      <c r="D213" s="57"/>
    </row>
    <row r="214" spans="1:4" ht="12.75" customHeight="1" outlineLevel="2" x14ac:dyDescent="0.3">
      <c r="A214" s="57"/>
      <c r="B214" s="57"/>
      <c r="C214" s="57"/>
      <c r="D214" s="57"/>
    </row>
    <row r="215" spans="1:4" ht="12.75" customHeight="1" outlineLevel="2" x14ac:dyDescent="0.3">
      <c r="A215" s="57"/>
      <c r="B215" s="57"/>
      <c r="C215" s="57"/>
      <c r="D215" s="57"/>
    </row>
    <row r="216" spans="1:4" ht="12.75" customHeight="1" outlineLevel="1" x14ac:dyDescent="0.3">
      <c r="A216" s="179" t="s">
        <v>89</v>
      </c>
      <c r="B216" s="179"/>
      <c r="C216" s="179"/>
      <c r="D216" s="179"/>
    </row>
    <row r="217" spans="1:4" ht="13.5" customHeight="1" outlineLevel="2" x14ac:dyDescent="0.3">
      <c r="A217" s="57"/>
      <c r="B217" s="57"/>
      <c r="C217" s="57"/>
      <c r="D217" s="57"/>
    </row>
    <row r="218" spans="1:4" ht="13.5" customHeight="1" outlineLevel="2" x14ac:dyDescent="0.3">
      <c r="A218" s="57"/>
      <c r="B218" s="57"/>
      <c r="C218" s="57"/>
      <c r="D218" s="57"/>
    </row>
    <row r="219" spans="1:4" ht="13.5" customHeight="1" outlineLevel="2" x14ac:dyDescent="0.3">
      <c r="A219" s="57"/>
      <c r="B219" s="57"/>
      <c r="C219" s="57"/>
      <c r="D219" s="57"/>
    </row>
    <row r="220" spans="1:4" ht="12.75" customHeight="1" outlineLevel="1" x14ac:dyDescent="0.3">
      <c r="A220" s="179" t="s">
        <v>90</v>
      </c>
      <c r="B220" s="179"/>
      <c r="C220" s="179"/>
      <c r="D220" s="179"/>
    </row>
    <row r="221" spans="1:4" ht="12.75" customHeight="1" outlineLevel="2" x14ac:dyDescent="0.3">
      <c r="A221" s="26" t="str">
        <f>'БазНорм (обр)'!A209</f>
        <v>Исследование воды после гидропромывки</v>
      </c>
      <c r="B221" s="27" t="str">
        <f>'БазНорм (обр)'!B209</f>
        <v>усл. ед.</v>
      </c>
      <c r="C221" s="52">
        <f>'БазНорм (обр)'!C209</f>
        <v>2.1208907741251328E-3</v>
      </c>
      <c r="D221" s="180" t="s">
        <v>135</v>
      </c>
    </row>
    <row r="222" spans="1:4" ht="25.5" customHeight="1" outlineLevel="2" x14ac:dyDescent="0.3">
      <c r="A222" s="26" t="str">
        <f>'БазНорм (обр)'!A210</f>
        <v>Исследование воды</v>
      </c>
      <c r="B222" s="27" t="str">
        <f>'БазНорм (обр)'!B210</f>
        <v>усл. ед.</v>
      </c>
      <c r="C222" s="52">
        <f>'БазНорм (обр)'!C210</f>
        <v>2.1208907741251328E-3</v>
      </c>
      <c r="D222" s="181"/>
    </row>
    <row r="223" spans="1:4" ht="12.75" customHeight="1" outlineLevel="2" x14ac:dyDescent="0.3">
      <c r="A223" s="26" t="str">
        <f>'БазНорм (обр)'!A211</f>
        <v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v>
      </c>
      <c r="B223" s="27" t="str">
        <f>'БазНорм (обр)'!B211</f>
        <v>усл. ед.</v>
      </c>
      <c r="C223" s="52">
        <f>'БазНорм (обр)'!C211</f>
        <v>0</v>
      </c>
      <c r="D223" s="181"/>
    </row>
    <row r="224" spans="1:4" ht="12.75" customHeight="1" outlineLevel="2" x14ac:dyDescent="0.3">
      <c r="A224" s="26" t="str">
        <f>'БазНорм (обр)'!A212</f>
        <v>Замеры ЭМП</v>
      </c>
      <c r="B224" s="27" t="str">
        <f>'БазНорм (обр)'!B212</f>
        <v>усл. ед.</v>
      </c>
      <c r="C224" s="52">
        <f>'БазНорм (обр)'!C212</f>
        <v>0</v>
      </c>
      <c r="D224" s="181"/>
    </row>
    <row r="225" spans="1:4" ht="12.75" customHeight="1" outlineLevel="2" x14ac:dyDescent="0.3">
      <c r="A225" s="26" t="str">
        <f>'БазНорм (обр)'!A213</f>
        <v>Зарядка огнетушителей</v>
      </c>
      <c r="B225" s="27" t="str">
        <f>'БазНорм (обр)'!B213</f>
        <v>усл. ед.</v>
      </c>
      <c r="C225" s="52">
        <f>'БазНорм (обр)'!C213</f>
        <v>0</v>
      </c>
      <c r="D225" s="181"/>
    </row>
    <row r="226" spans="1:4" ht="12.75" customHeight="1" outlineLevel="2" x14ac:dyDescent="0.3">
      <c r="A226" s="26" t="str">
        <f>'БазНорм (обр)'!A214</f>
        <v>Испытание эл/защитных средств (перчатки)</v>
      </c>
      <c r="B226" s="27" t="str">
        <f>'БазНорм (обр)'!B214</f>
        <v>усл. ед.</v>
      </c>
      <c r="C226" s="52">
        <f>'БазНорм (обр)'!C214</f>
        <v>0</v>
      </c>
      <c r="D226" s="181"/>
    </row>
    <row r="227" spans="1:4" ht="12.75" customHeight="1" outlineLevel="2" x14ac:dyDescent="0.3">
      <c r="A227" s="26" t="str">
        <f>'БазНорм (обр)'!A215</f>
        <v>Демеркуризация ламп</v>
      </c>
      <c r="B227" s="27" t="str">
        <f>'БазНорм (обр)'!B215</f>
        <v>шт.</v>
      </c>
      <c r="C227" s="52">
        <f>'БазНорм (обр)'!C215</f>
        <v>0</v>
      </c>
      <c r="D227" s="181"/>
    </row>
    <row r="228" spans="1:4" ht="12.75" customHeight="1" outlineLevel="2" x14ac:dyDescent="0.3">
      <c r="A228" s="26" t="str">
        <f>'БазНорм (обр)'!A216</f>
        <v>Испытание пожарных кранов</v>
      </c>
      <c r="B228" s="27" t="str">
        <f>'БазНорм (обр)'!B216</f>
        <v>шт.</v>
      </c>
      <c r="C228" s="52">
        <f>'БазНорм (обр)'!C216</f>
        <v>0</v>
      </c>
      <c r="D228" s="181"/>
    </row>
    <row r="229" spans="1:4" ht="25.5" customHeight="1" outlineLevel="2" x14ac:dyDescent="0.3">
      <c r="A229" s="26" t="str">
        <f>'БазНорм (обр)'!A217</f>
        <v>Поверка ростомеры металл.</v>
      </c>
      <c r="B229" s="27" t="str">
        <f>'БазНорм (обр)'!B217</f>
        <v>шт.</v>
      </c>
      <c r="C229" s="52">
        <f>'БазНорм (обр)'!C217</f>
        <v>0</v>
      </c>
      <c r="D229" s="181"/>
    </row>
    <row r="230" spans="1:4" ht="25.5" customHeight="1" outlineLevel="2" x14ac:dyDescent="0.3">
      <c r="A230" s="26" t="str">
        <f>'БазНорм (обр)'!A218</f>
        <v>Поверка приборов учета тепловой энергии</v>
      </c>
      <c r="B230" s="27" t="str">
        <f>'БазНорм (обр)'!B218</f>
        <v>шт.</v>
      </c>
      <c r="C230" s="52">
        <f>'БазНорм (обр)'!C218</f>
        <v>0</v>
      </c>
      <c r="D230" s="181"/>
    </row>
    <row r="231" spans="1:4" ht="25.5" customHeight="1" outlineLevel="2" x14ac:dyDescent="0.3">
      <c r="A231" s="26" t="str">
        <f>'БазНорм (обр)'!A219</f>
        <v>Поверка весы торговые</v>
      </c>
      <c r="B231" s="27" t="str">
        <f>'БазНорм (обр)'!B219</f>
        <v>шт.</v>
      </c>
      <c r="C231" s="52">
        <f>'БазНорм (обр)'!C219</f>
        <v>0</v>
      </c>
      <c r="D231" s="181"/>
    </row>
    <row r="232" spans="1:4" ht="12.75" customHeight="1" outlineLevel="2" x14ac:dyDescent="0.3">
      <c r="A232" s="26" t="str">
        <f>'БазНорм (обр)'!A220</f>
        <v>Поверка весы медицинские</v>
      </c>
      <c r="B232" s="27" t="str">
        <f>'БазНорм (обр)'!B220</f>
        <v>шт.</v>
      </c>
      <c r="C232" s="52">
        <f>'БазНорм (обр)'!C220</f>
        <v>0</v>
      </c>
      <c r="D232" s="181"/>
    </row>
    <row r="233" spans="1:4" ht="38.25" customHeight="1" outlineLevel="2" x14ac:dyDescent="0.3">
      <c r="A233" s="26" t="str">
        <f>'БазНорм (обр)'!A221</f>
        <v>Весы настольные циферблатные</v>
      </c>
      <c r="B233" s="27" t="str">
        <f>'БазНорм (обр)'!B221</f>
        <v>шт.</v>
      </c>
      <c r="C233" s="52">
        <f>'БазНорм (обр)'!C221</f>
        <v>0</v>
      </c>
      <c r="D233" s="181"/>
    </row>
    <row r="234" spans="1:4" ht="25.5" customHeight="1" outlineLevel="2" x14ac:dyDescent="0.3">
      <c r="A234" s="26" t="str">
        <f>'БазНорм (обр)'!A222</f>
        <v>Поверка торговые гири 5 и 6 класса</v>
      </c>
      <c r="B234" s="27" t="str">
        <f>'БазНорм (обр)'!B222</f>
        <v>шт.</v>
      </c>
      <c r="C234" s="52">
        <f>'БазНорм (обр)'!C222</f>
        <v>0</v>
      </c>
      <c r="D234" s="181"/>
    </row>
    <row r="235" spans="1:4" ht="25.5" customHeight="1" outlineLevel="2" x14ac:dyDescent="0.3">
      <c r="A235" s="26" t="str">
        <f>'БазНорм (обр)'!A223</f>
        <v>Поверка манометры</v>
      </c>
      <c r="B235" s="27" t="str">
        <f>'БазНорм (обр)'!B223</f>
        <v>шт.</v>
      </c>
      <c r="C235" s="52">
        <f>'БазНорм (обр)'!C223</f>
        <v>0</v>
      </c>
      <c r="D235" s="181"/>
    </row>
    <row r="236" spans="1:4" ht="25.5" customHeight="1" outlineLevel="2" x14ac:dyDescent="0.3">
      <c r="A236" s="26" t="str">
        <f>'БазНорм (обр)'!A224</f>
        <v>ТО медицинской техники</v>
      </c>
      <c r="B236" s="27" t="str">
        <f>'БазНорм (обр)'!B224</f>
        <v>ед.</v>
      </c>
      <c r="C236" s="52">
        <f>'БазНорм (обр)'!C224</f>
        <v>0</v>
      </c>
      <c r="D236" s="181"/>
    </row>
    <row r="237" spans="1:4" ht="25.5" customHeight="1" outlineLevel="2" x14ac:dyDescent="0.3">
      <c r="A237" s="26" t="str">
        <f>'БазНорм (обр)'!A225</f>
        <v>Поверка Гигрометры психрометрические</v>
      </c>
      <c r="B237" s="27" t="str">
        <f>'БазНорм (обр)'!B225</f>
        <v>шт.</v>
      </c>
      <c r="C237" s="52">
        <f>'БазНорм (обр)'!C225</f>
        <v>0</v>
      </c>
      <c r="D237" s="181"/>
    </row>
    <row r="238" spans="1:4" ht="12.75" customHeight="1" outlineLevel="2" x14ac:dyDescent="0.3">
      <c r="A238" s="26" t="str">
        <f>'БазНорм (обр)'!A226</f>
        <v>Поверка тонометры</v>
      </c>
      <c r="B238" s="27" t="str">
        <f>'БазНорм (обр)'!B226</f>
        <v>шт.</v>
      </c>
      <c r="C238" s="52">
        <f>'БазНорм (обр)'!C226</f>
        <v>0</v>
      </c>
      <c r="D238" s="181"/>
    </row>
    <row r="239" spans="1:4" ht="25.5" customHeight="1" outlineLevel="2" x14ac:dyDescent="0.3">
      <c r="A239" s="26" t="str">
        <f>'БазНорм (обр)'!A227</f>
        <v>Поверка весы электронные напольные</v>
      </c>
      <c r="B239" s="27" t="str">
        <f>'БазНорм (обр)'!B227</f>
        <v>шт.</v>
      </c>
      <c r="C239" s="52">
        <f>'БазНорм (обр)'!C227</f>
        <v>0</v>
      </c>
      <c r="D239" s="181"/>
    </row>
    <row r="240" spans="1:4" ht="25.5" customHeight="1" outlineLevel="2" x14ac:dyDescent="0.3">
      <c r="A240" s="26" t="str">
        <f>'БазНорм (обр)'!A228</f>
        <v>Поверка весы напольные</v>
      </c>
      <c r="B240" s="27" t="str">
        <f>'БазНорм (обр)'!B228</f>
        <v>шт.</v>
      </c>
      <c r="C240" s="52">
        <f>'БазНорм (обр)'!C228</f>
        <v>0</v>
      </c>
      <c r="D240" s="181"/>
    </row>
    <row r="241" spans="1:4" ht="25.5" customHeight="1" outlineLevel="2" x14ac:dyDescent="0.3">
      <c r="A241" s="26" t="str">
        <f>'БазНорм (обр)'!A229</f>
        <v>Поверка секундомеры механические</v>
      </c>
      <c r="B241" s="27" t="str">
        <f>'БазНорм (обр)'!B229</f>
        <v>шт.</v>
      </c>
      <c r="C241" s="52">
        <f>'БазНорм (обр)'!C229</f>
        <v>0</v>
      </c>
      <c r="D241" s="181"/>
    </row>
    <row r="242" spans="1:4" ht="25.5" customHeight="1" outlineLevel="2" x14ac:dyDescent="0.3">
      <c r="A242" s="26" t="str">
        <f>'БазНорм (обр)'!A230</f>
        <v>Поверка динамометры кистевые</v>
      </c>
      <c r="B242" s="27" t="str">
        <f>'БазНорм (обр)'!B230</f>
        <v>шт.</v>
      </c>
      <c r="C242" s="52">
        <f>'БазНорм (обр)'!C230</f>
        <v>0</v>
      </c>
      <c r="D242" s="181"/>
    </row>
    <row r="243" spans="1:4" ht="25.5" customHeight="1" outlineLevel="2" x14ac:dyDescent="0.3">
      <c r="A243" s="26" t="str">
        <f>'БазНорм (обр)'!A231</f>
        <v>Курсы по теплоустановкам</v>
      </c>
      <c r="B243" s="27" t="str">
        <f>'БазНорм (обр)'!B231</f>
        <v>чел.</v>
      </c>
      <c r="C243" s="52">
        <f>'БазНорм (обр)'!C231</f>
        <v>4.2417815482502655E-3</v>
      </c>
      <c r="D243" s="181"/>
    </row>
    <row r="244" spans="1:4" s="60" customFormat="1" ht="25.5" customHeight="1" outlineLevel="2" x14ac:dyDescent="0.3">
      <c r="A244" s="33" t="s">
        <v>64</v>
      </c>
      <c r="B244" s="34" t="s">
        <v>3</v>
      </c>
      <c r="C244" s="51" t="s">
        <v>3</v>
      </c>
      <c r="D244" s="181"/>
    </row>
    <row r="245" spans="1:4" ht="25.5" customHeight="1" outlineLevel="3" x14ac:dyDescent="0.3">
      <c r="A245" s="26" t="str">
        <f>'БазНорм (обр)'!A233</f>
        <v>Доска разделочная</v>
      </c>
      <c r="B245" s="27" t="str">
        <f>'БазНорм (обр)'!B233</f>
        <v>шт.</v>
      </c>
      <c r="C245" s="52">
        <f>'БазНорм (обр)'!C233</f>
        <v>0</v>
      </c>
      <c r="D245" s="181"/>
    </row>
    <row r="246" spans="1:4" ht="25.5" customHeight="1" outlineLevel="3" x14ac:dyDescent="0.3">
      <c r="A246" s="26" t="str">
        <f>'БазНорм (обр)'!A234</f>
        <v xml:space="preserve">Блюдце </v>
      </c>
      <c r="B246" s="27" t="str">
        <f>'БазНорм (обр)'!B234</f>
        <v>шт.</v>
      </c>
      <c r="C246" s="52">
        <f>'БазНорм (обр)'!C234</f>
        <v>0</v>
      </c>
      <c r="D246" s="181"/>
    </row>
    <row r="247" spans="1:4" ht="25.5" customHeight="1" outlineLevel="3" x14ac:dyDescent="0.3">
      <c r="A247" s="26" t="str">
        <f>'БазНорм (обр)'!A235</f>
        <v>Тарелка маленькая</v>
      </c>
      <c r="B247" s="27" t="str">
        <f>'БазНорм (обр)'!B235</f>
        <v>шт.</v>
      </c>
      <c r="C247" s="52">
        <f>'БазНорм (обр)'!C235</f>
        <v>0</v>
      </c>
      <c r="D247" s="181"/>
    </row>
    <row r="248" spans="1:4" ht="25.5" customHeight="1" outlineLevel="3" x14ac:dyDescent="0.3">
      <c r="A248" s="26" t="str">
        <f>'БазНорм (обр)'!A236</f>
        <v>Тарелка мелкая</v>
      </c>
      <c r="B248" s="27" t="str">
        <f>'БазНорм (обр)'!B236</f>
        <v>шт.</v>
      </c>
      <c r="C248" s="52">
        <f>'БазНорм (обр)'!C236</f>
        <v>0.53022269353128315</v>
      </c>
      <c r="D248" s="181"/>
    </row>
    <row r="249" spans="1:4" ht="25.5" customHeight="1" outlineLevel="3" x14ac:dyDescent="0.3">
      <c r="A249" s="26" t="str">
        <f>'БазНорм (обр)'!A237</f>
        <v>Тарелка глубокая</v>
      </c>
      <c r="B249" s="27" t="str">
        <f>'БазНорм (обр)'!B237</f>
        <v>шт.</v>
      </c>
      <c r="C249" s="52">
        <f>'БазНорм (обр)'!C237</f>
        <v>0.33934252386002123</v>
      </c>
      <c r="D249" s="181"/>
    </row>
    <row r="250" spans="1:4" ht="25.5" customHeight="1" outlineLevel="3" x14ac:dyDescent="0.3">
      <c r="A250" s="26" t="str">
        <f>'БазНорм (обр)'!A238</f>
        <v>Ложка столовая</v>
      </c>
      <c r="B250" s="27" t="str">
        <f>'БазНорм (обр)'!B238</f>
        <v>шт.</v>
      </c>
      <c r="C250" s="52">
        <f>'БазНорм (обр)'!C238</f>
        <v>0.21633085896076351</v>
      </c>
      <c r="D250" s="181"/>
    </row>
    <row r="251" spans="1:4" ht="25.5" customHeight="1" outlineLevel="3" x14ac:dyDescent="0.3">
      <c r="A251" s="26" t="str">
        <f>'БазНорм (обр)'!A239</f>
        <v>Вилка столовая</v>
      </c>
      <c r="B251" s="27" t="str">
        <f>'БазНорм (обр)'!B239</f>
        <v>шт.</v>
      </c>
      <c r="C251" s="52">
        <f>'БазНорм (обр)'!C239</f>
        <v>0.21633085896076351</v>
      </c>
      <c r="D251" s="181"/>
    </row>
    <row r="252" spans="1:4" ht="25.5" customHeight="1" outlineLevel="3" x14ac:dyDescent="0.3">
      <c r="A252" s="26" t="str">
        <f>'БазНорм (обр)'!A240</f>
        <v>Таз 12 л.</v>
      </c>
      <c r="B252" s="27" t="str">
        <f>'БазНорм (обр)'!B240</f>
        <v>шт.</v>
      </c>
      <c r="C252" s="52">
        <f>'БазНорм (обр)'!C240</f>
        <v>0</v>
      </c>
      <c r="D252" s="181"/>
    </row>
    <row r="253" spans="1:4" ht="25.5" customHeight="1" outlineLevel="3" x14ac:dyDescent="0.3">
      <c r="A253" s="26" t="str">
        <f>'БазНорм (обр)'!A241</f>
        <v>Таз 5 л</v>
      </c>
      <c r="B253" s="27" t="str">
        <f>'БазНорм (обр)'!B241</f>
        <v>шт.</v>
      </c>
      <c r="C253" s="52">
        <f>'БазНорм (обр)'!C241</f>
        <v>0</v>
      </c>
      <c r="D253" s="181"/>
    </row>
    <row r="254" spans="1:4" ht="25.5" customHeight="1" outlineLevel="3" x14ac:dyDescent="0.3">
      <c r="A254" s="26" t="str">
        <f>'БазНорм (обр)'!A242</f>
        <v>Противень</v>
      </c>
      <c r="B254" s="27" t="str">
        <f>'БазНорм (обр)'!B242</f>
        <v>шт.</v>
      </c>
      <c r="C254" s="52">
        <f>'БазНорм (обр)'!C242</f>
        <v>0</v>
      </c>
      <c r="D254" s="181"/>
    </row>
    <row r="255" spans="1:4" ht="25.5" customHeight="1" outlineLevel="3" x14ac:dyDescent="0.3">
      <c r="A255" s="26" t="str">
        <f>'БазНорм (обр)'!A243</f>
        <v>Лоток для мяса</v>
      </c>
      <c r="B255" s="27" t="str">
        <f>'БазНорм (обр)'!B243</f>
        <v>шт.</v>
      </c>
      <c r="C255" s="52">
        <f>'БазНорм (обр)'!C243</f>
        <v>0</v>
      </c>
      <c r="D255" s="181"/>
    </row>
    <row r="256" spans="1:4" ht="25.5" customHeight="1" outlineLevel="3" x14ac:dyDescent="0.3">
      <c r="A256" s="26" t="str">
        <f>'БазНорм (обр)'!A244</f>
        <v>Лоток глубокий</v>
      </c>
      <c r="B256" s="27" t="str">
        <f>'БазНорм (обр)'!B244</f>
        <v>шт.</v>
      </c>
      <c r="C256" s="52">
        <f>'БазНорм (обр)'!C244</f>
        <v>0</v>
      </c>
      <c r="D256" s="181"/>
    </row>
    <row r="257" spans="1:4" ht="25.5" customHeight="1" outlineLevel="3" x14ac:dyDescent="0.3">
      <c r="A257" s="26" t="str">
        <f>'БазНорм (обр)'!A245</f>
        <v>Кастрюля 15 л.</v>
      </c>
      <c r="B257" s="27" t="str">
        <f>'БазНорм (обр)'!B245</f>
        <v>шт.</v>
      </c>
      <c r="C257" s="52">
        <f>'БазНорм (обр)'!C245</f>
        <v>0</v>
      </c>
      <c r="D257" s="181"/>
    </row>
    <row r="258" spans="1:4" ht="25.5" customHeight="1" outlineLevel="3" x14ac:dyDescent="0.3">
      <c r="A258" s="26" t="str">
        <f>'БазНорм (обр)'!A246</f>
        <v>Кастрюля 20 л.</v>
      </c>
      <c r="B258" s="27" t="str">
        <f>'БазНорм (обр)'!B246</f>
        <v>шт.</v>
      </c>
      <c r="C258" s="52">
        <f>'БазНорм (обр)'!C246</f>
        <v>0</v>
      </c>
      <c r="D258" s="181"/>
    </row>
    <row r="259" spans="1:4" ht="25.5" customHeight="1" outlineLevel="3" x14ac:dyDescent="0.3">
      <c r="A259" s="26" t="str">
        <f>'БазНорм (обр)'!A247</f>
        <v>Корзина для стаканов и чашек</v>
      </c>
      <c r="B259" s="27" t="str">
        <f>'БазНорм (обр)'!B247</f>
        <v>шт.</v>
      </c>
      <c r="C259" s="52">
        <f>'БазНорм (обр)'!C247</f>
        <v>0</v>
      </c>
      <c r="D259" s="181"/>
    </row>
    <row r="260" spans="1:4" ht="25.5" customHeight="1" outlineLevel="3" x14ac:dyDescent="0.3">
      <c r="A260" s="26" t="str">
        <f>'БазНорм (обр)'!A248</f>
        <v>Стакан граненый</v>
      </c>
      <c r="B260" s="27" t="str">
        <f>'БазНорм (обр)'!B248</f>
        <v>шт.</v>
      </c>
      <c r="C260" s="52">
        <f>'БазНорм (обр)'!C248</f>
        <v>0.22905620360551432</v>
      </c>
      <c r="D260" s="181"/>
    </row>
    <row r="261" spans="1:4" ht="25.5" customHeight="1" outlineLevel="3" x14ac:dyDescent="0.3">
      <c r="A261" s="26" t="str">
        <f>'БазНорм (обр)'!A249</f>
        <v>Сито</v>
      </c>
      <c r="B261" s="27" t="str">
        <f>'БазНорм (обр)'!B249</f>
        <v>шт.</v>
      </c>
      <c r="C261" s="52">
        <f>'БазНорм (обр)'!C249</f>
        <v>0</v>
      </c>
      <c r="D261" s="181"/>
    </row>
    <row r="262" spans="1:4" ht="25.5" customHeight="1" outlineLevel="3" x14ac:dyDescent="0.3">
      <c r="A262" s="26" t="str">
        <f>'БазНорм (обр)'!A250</f>
        <v>Нож повара</v>
      </c>
      <c r="B262" s="27" t="str">
        <f>'БазНорм (обр)'!B250</f>
        <v>шт.</v>
      </c>
      <c r="C262" s="52">
        <f>'БазНорм (обр)'!C250</f>
        <v>6.3626723223753979E-3</v>
      </c>
      <c r="D262" s="181"/>
    </row>
    <row r="263" spans="1:4" s="60" customFormat="1" ht="25.5" customHeight="1" outlineLevel="2" x14ac:dyDescent="0.3">
      <c r="A263" s="33" t="s">
        <v>480</v>
      </c>
      <c r="B263" s="34" t="s">
        <v>3</v>
      </c>
      <c r="C263" s="51" t="s">
        <v>3</v>
      </c>
      <c r="D263" s="181"/>
    </row>
    <row r="264" spans="1:4" ht="25.5" customHeight="1" outlineLevel="3" x14ac:dyDescent="0.3">
      <c r="A264" s="26" t="str">
        <f>'БазНорм (обр)'!A252</f>
        <v>Посудомоечная машина</v>
      </c>
      <c r="B264" s="27" t="str">
        <f>'БазНорм (обр)'!B252</f>
        <v>шт.</v>
      </c>
      <c r="C264" s="52">
        <f>'БазНорм (обр)'!C252</f>
        <v>0</v>
      </c>
      <c r="D264" s="181"/>
    </row>
    <row r="265" spans="1:4" ht="25.5" customHeight="1" outlineLevel="3" x14ac:dyDescent="0.3">
      <c r="A265" s="26" t="str">
        <f>'БазНорм (обр)'!A253</f>
        <v>Холодильная камера 2х дверная Полюс-R 1400"</v>
      </c>
      <c r="B265" s="27" t="str">
        <f>'БазНорм (обр)'!B253</f>
        <v>шт.</v>
      </c>
      <c r="C265" s="52">
        <f>'БазНорм (обр)'!C253</f>
        <v>0</v>
      </c>
      <c r="D265" s="181"/>
    </row>
    <row r="266" spans="1:4" ht="25.5" customHeight="1" outlineLevel="3" x14ac:dyDescent="0.3">
      <c r="A266" s="26" t="str">
        <f>'БазНорм (обр)'!A254</f>
        <v>Холодильная камера 1 дверная, "Полюс-R700"</v>
      </c>
      <c r="B266" s="27" t="str">
        <f>'БазНорм (обр)'!B254</f>
        <v>шт.</v>
      </c>
      <c r="C266" s="52">
        <f>'БазНорм (обр)'!C254</f>
        <v>0</v>
      </c>
      <c r="D266" s="181"/>
    </row>
    <row r="267" spans="1:4" s="60" customFormat="1" ht="25.5" customHeight="1" outlineLevel="2" x14ac:dyDescent="0.3">
      <c r="A267" s="33" t="s">
        <v>68</v>
      </c>
      <c r="B267" s="34" t="s">
        <v>3</v>
      </c>
      <c r="C267" s="51" t="s">
        <v>3</v>
      </c>
      <c r="D267" s="181"/>
    </row>
    <row r="268" spans="1:4" ht="25.5" customHeight="1" outlineLevel="3" x14ac:dyDescent="0.3">
      <c r="A268" s="26" t="str">
        <f>'БазНорм (обр)'!A256</f>
        <v>Мыло хозяйственное</v>
      </c>
      <c r="B268" s="27" t="str">
        <f>'БазНорм (обр)'!B256</f>
        <v>шт.</v>
      </c>
      <c r="C268" s="52">
        <f>'БазНорм (обр)'!C256</f>
        <v>0.41911148365465217</v>
      </c>
      <c r="D268" s="181"/>
    </row>
    <row r="269" spans="1:4" ht="25.5" customHeight="1" outlineLevel="3" x14ac:dyDescent="0.3">
      <c r="A269" s="26" t="str">
        <f>'БазНорм (обр)'!A257</f>
        <v>Мыло детское</v>
      </c>
      <c r="B269" s="27" t="str">
        <f>'БазНорм (обр)'!B257</f>
        <v>шт.</v>
      </c>
      <c r="C269" s="52">
        <f>'БазНорм (обр)'!C257</f>
        <v>0.41911148365465217</v>
      </c>
      <c r="D269" s="181"/>
    </row>
    <row r="270" spans="1:4" ht="25.5" customHeight="1" outlineLevel="3" x14ac:dyDescent="0.3">
      <c r="A270" s="26" t="str">
        <f>'БазНорм (обр)'!A258</f>
        <v>Порошок стиральный 0,4 кг.</v>
      </c>
      <c r="B270" s="27" t="str">
        <f>'БазНорм (обр)'!B258</f>
        <v>пач.</v>
      </c>
      <c r="C270" s="52">
        <f>'БазНорм (обр)'!C258</f>
        <v>0.15088013411567477</v>
      </c>
      <c r="D270" s="181"/>
    </row>
    <row r="271" spans="1:4" ht="25.5" customHeight="1" outlineLevel="3" x14ac:dyDescent="0.3">
      <c r="A271" s="26" t="str">
        <f>'БазНорм (обр)'!A259</f>
        <v>Порошок стиральный 1,8 кг.</v>
      </c>
      <c r="B271" s="27" t="str">
        <f>'БазНорм (обр)'!B259</f>
        <v>пач.</v>
      </c>
      <c r="C271" s="52">
        <f>'БазНорм (обр)'!C259</f>
        <v>0</v>
      </c>
      <c r="D271" s="181"/>
    </row>
    <row r="272" spans="1:4" ht="25.5" customHeight="1" outlineLevel="3" x14ac:dyDescent="0.3">
      <c r="A272" s="26" t="str">
        <f>'БазНорм (обр)'!A260</f>
        <v>Сода кальценированная 0,4 кг</v>
      </c>
      <c r="B272" s="27" t="str">
        <f>'БазНорм (обр)'!B260</f>
        <v>шт.</v>
      </c>
      <c r="C272" s="52">
        <f>'БазНорм (обр)'!C260</f>
        <v>0.25146689019279128</v>
      </c>
      <c r="D272" s="181"/>
    </row>
    <row r="273" spans="1:4" ht="25.5" customHeight="1" outlineLevel="3" x14ac:dyDescent="0.3">
      <c r="A273" s="26" t="str">
        <f>'БазНорм (обр)'!A261</f>
        <v>Паста чистящая</v>
      </c>
      <c r="B273" s="27" t="str">
        <f>'БазНорм (обр)'!B261</f>
        <v>шт.</v>
      </c>
      <c r="C273" s="52">
        <f>'БазНорм (обр)'!C261</f>
        <v>0.16764459346186086</v>
      </c>
      <c r="D273" s="181"/>
    </row>
    <row r="274" spans="1:4" ht="25.5" customHeight="1" outlineLevel="3" x14ac:dyDescent="0.3">
      <c r="A274" s="26" t="str">
        <f>'БазНорм (обр)'!A262</f>
        <v>Средство для мытья плит 0,75 л.</v>
      </c>
      <c r="B274" s="27" t="str">
        <f>'БазНорм (обр)'!B262</f>
        <v>бут.</v>
      </c>
      <c r="C274" s="52">
        <f>'БазНорм (обр)'!C262</f>
        <v>0</v>
      </c>
      <c r="D274" s="181"/>
    </row>
    <row r="275" spans="1:4" ht="25.5" customHeight="1" outlineLevel="3" x14ac:dyDescent="0.3">
      <c r="A275" s="26" t="str">
        <f>'БазНорм (обр)'!A263</f>
        <v xml:space="preserve">Средсто для мытья посуды </v>
      </c>
      <c r="B275" s="27" t="str">
        <f>'БазНорм (обр)'!B263</f>
        <v>л.</v>
      </c>
      <c r="C275" s="52">
        <f>'БазНорм (обр)'!C263</f>
        <v>0</v>
      </c>
      <c r="D275" s="181"/>
    </row>
    <row r="276" spans="1:4" ht="25.5" customHeight="1" outlineLevel="3" x14ac:dyDescent="0.3">
      <c r="A276" s="26" t="str">
        <f>'БазНорм (обр)'!A264</f>
        <v>Чистящий порошок Пемолюкс 0,45 кг</v>
      </c>
      <c r="B276" s="27" t="str">
        <f>'БазНорм (обр)'!B264</f>
        <v>шт.</v>
      </c>
      <c r="C276" s="52">
        <f>'БазНорм (обр)'!C264</f>
        <v>0.16764459346186086</v>
      </c>
      <c r="D276" s="181"/>
    </row>
    <row r="277" spans="1:4" ht="25.5" customHeight="1" outlineLevel="3" x14ac:dyDescent="0.3">
      <c r="A277" s="26" t="str">
        <f>'БазНорм (обр)'!A265</f>
        <v>Моющее средство для посудомоечной машины 2,5 кг.</v>
      </c>
      <c r="B277" s="27" t="str">
        <f>'БазНорм (обр)'!B265</f>
        <v>упак.</v>
      </c>
      <c r="C277" s="52">
        <f>'БазНорм (обр)'!C265</f>
        <v>0</v>
      </c>
      <c r="D277" s="181"/>
    </row>
    <row r="278" spans="1:4" ht="25.5" customHeight="1" outlineLevel="3" x14ac:dyDescent="0.3">
      <c r="A278" s="26" t="str">
        <f>'БазНорм (обр)'!A266</f>
        <v>Чистящий псредство Доместос 1 л.</v>
      </c>
      <c r="B278" s="27" t="str">
        <f>'БазНорм (обр)'!B266</f>
        <v>бут.</v>
      </c>
      <c r="C278" s="52">
        <f>'БазНорм (обр)'!C266</f>
        <v>0</v>
      </c>
      <c r="D278" s="181"/>
    </row>
    <row r="279" spans="1:4" ht="25.5" customHeight="1" outlineLevel="3" x14ac:dyDescent="0.3">
      <c r="A279" s="26" t="str">
        <f>'БазНорм (обр)'!A267</f>
        <v>Чистящее средство 0,6 л.</v>
      </c>
      <c r="B279" s="27" t="str">
        <f>'БазНорм (обр)'!B267</f>
        <v>бут.</v>
      </c>
      <c r="C279" s="52">
        <f>'БазНорм (обр)'!C267</f>
        <v>0</v>
      </c>
      <c r="D279" s="181"/>
    </row>
    <row r="280" spans="1:4" ht="25.5" customHeight="1" outlineLevel="3" x14ac:dyDescent="0.3">
      <c r="A280" s="26" t="str">
        <f>'БазНорм (обр)'!A268</f>
        <v>Средство для мытья стекол 0,5 л.</v>
      </c>
      <c r="B280" s="27" t="str">
        <f>'БазНорм (обр)'!B268</f>
        <v>бут.</v>
      </c>
      <c r="C280" s="52">
        <f>'БазНорм (обр)'!C268</f>
        <v>0</v>
      </c>
      <c r="D280" s="181"/>
    </row>
    <row r="281" spans="1:4" ht="25.5" customHeight="1" outlineLevel="3" x14ac:dyDescent="0.3">
      <c r="A281" s="26" t="str">
        <f>'БазНорм (обр)'!A269</f>
        <v>Кондиционер для белья Ленор 1 л.</v>
      </c>
      <c r="B281" s="27" t="str">
        <f>'БазНорм (обр)'!B269</f>
        <v>бут.</v>
      </c>
      <c r="C281" s="52">
        <f>'БазНорм (обр)'!C269</f>
        <v>0</v>
      </c>
      <c r="D281" s="181"/>
    </row>
    <row r="282" spans="1:4" ht="25.5" customHeight="1" outlineLevel="3" x14ac:dyDescent="0.3">
      <c r="A282" s="26" t="str">
        <f>'БазНорм (обр)'!A270</f>
        <v>Отбеливатель 1 л.</v>
      </c>
      <c r="B282" s="27" t="str">
        <f>'БазНорм (обр)'!B270</f>
        <v>бут.</v>
      </c>
      <c r="C282" s="52">
        <f>'БазНорм (обр)'!C270</f>
        <v>0</v>
      </c>
      <c r="D282" s="181"/>
    </row>
    <row r="283" spans="1:4" ht="25.5" customHeight="1" outlineLevel="3" x14ac:dyDescent="0.3">
      <c r="A283" s="26" t="str">
        <f>'БазНорм (обр)'!A271</f>
        <v>Чистящее средсво для ванн 1 л.</v>
      </c>
      <c r="B283" s="27" t="str">
        <f>'БазНорм (обр)'!B271</f>
        <v>бут.</v>
      </c>
      <c r="C283" s="52">
        <f>'БазНорм (обр)'!C271</f>
        <v>0</v>
      </c>
      <c r="D283" s="181"/>
    </row>
    <row r="284" spans="1:4" ht="25.5" customHeight="1" outlineLevel="3" x14ac:dyDescent="0.3">
      <c r="A284" s="26" t="str">
        <f>'БазНорм (обр)'!A272</f>
        <v>Жидкое мыло детское</v>
      </c>
      <c r="B284" s="27" t="str">
        <f>'БазНорм (обр)'!B272</f>
        <v>бут.</v>
      </c>
      <c r="C284" s="52">
        <f>'БазНорм (обр)'!C272</f>
        <v>6.286672254819782E-2</v>
      </c>
      <c r="D284" s="181"/>
    </row>
    <row r="285" spans="1:4" ht="25.5" customHeight="1" outlineLevel="3" x14ac:dyDescent="0.3">
      <c r="A285" s="26" t="str">
        <f>'БазНорм (обр)'!A273</f>
        <v>Жидкое мыло детское 5 л.</v>
      </c>
      <c r="B285" s="27" t="str">
        <f>'БазНорм (обр)'!B273</f>
        <v>бут.</v>
      </c>
      <c r="C285" s="52">
        <f>'БазНорм (обр)'!C273</f>
        <v>0</v>
      </c>
      <c r="D285" s="181"/>
    </row>
    <row r="286" spans="1:4" ht="25.5" customHeight="1" outlineLevel="3" x14ac:dyDescent="0.3">
      <c r="A286" s="26" t="str">
        <f>'БазНорм (обр)'!A274</f>
        <v>Освежитель воздуха</v>
      </c>
      <c r="B286" s="27" t="str">
        <f>'БазНорм (обр)'!B274</f>
        <v>бут.</v>
      </c>
      <c r="C286" s="52">
        <f>'БазНорм (обр)'!C274</f>
        <v>0</v>
      </c>
      <c r="D286" s="181"/>
    </row>
    <row r="287" spans="1:4" ht="25.5" customHeight="1" outlineLevel="3" x14ac:dyDescent="0.3">
      <c r="A287" s="26" t="str">
        <f>'БазНорм (обр)'!A275</f>
        <v>Ди-хлор 300 шт.</v>
      </c>
      <c r="B287" s="27" t="str">
        <f>'БазНорм (обр)'!B275</f>
        <v>бан.</v>
      </c>
      <c r="C287" s="52">
        <f>'БазНорм (обр)'!C275</f>
        <v>3.7720033528918694E-2</v>
      </c>
      <c r="D287" s="181"/>
    </row>
    <row r="288" spans="1:4" ht="25.5" customHeight="1" outlineLevel="3" x14ac:dyDescent="0.3">
      <c r="A288" s="26" t="str">
        <f>'БазНорм (обр)'!A276</f>
        <v>Хлорамин</v>
      </c>
      <c r="B288" s="27" t="str">
        <f>'БазНорм (обр)'!B276</f>
        <v>пач.</v>
      </c>
      <c r="C288" s="52">
        <f>'БазНорм (обр)'!C276</f>
        <v>0</v>
      </c>
      <c r="D288" s="181"/>
    </row>
    <row r="289" spans="1:4" ht="25.5" customHeight="1" outlineLevel="3" x14ac:dyDescent="0.3">
      <c r="A289" s="26" t="str">
        <f>'БазНорм (обр)'!A277</f>
        <v>Средство для мытья окон</v>
      </c>
      <c r="B289" s="27" t="str">
        <f>'БазНорм (обр)'!B277</f>
        <v>шт.</v>
      </c>
      <c r="C289" s="52">
        <f>'БазНорм (обр)'!C277</f>
        <v>3.143336127409891E-2</v>
      </c>
      <c r="D289" s="181"/>
    </row>
    <row r="290" spans="1:4" ht="25.5" customHeight="1" outlineLevel="3" x14ac:dyDescent="0.3">
      <c r="A290" s="26" t="str">
        <f>'БазНорм (обр)'!A278</f>
        <v>Оптимакс 1 л.</v>
      </c>
      <c r="B290" s="27" t="str">
        <f>'БазНорм (обр)'!B278</f>
        <v>бан.</v>
      </c>
      <c r="C290" s="52">
        <f>'БазНорм (обр)'!C278</f>
        <v>6.286672254819782E-2</v>
      </c>
      <c r="D290" s="181"/>
    </row>
    <row r="291" spans="1:4" ht="25.5" customHeight="1" outlineLevel="3" x14ac:dyDescent="0.3">
      <c r="A291" s="26" t="str">
        <f>'БазНорм (обр)'!A279</f>
        <v>Жавель солид</v>
      </c>
      <c r="B291" s="27" t="str">
        <f>'БазНорм (обр)'!B279</f>
        <v>бут.</v>
      </c>
      <c r="C291" s="52">
        <f>'БазНорм (обр)'!C279</f>
        <v>0</v>
      </c>
      <c r="D291" s="181"/>
    </row>
    <row r="292" spans="1:4" ht="25.5" customHeight="1" outlineLevel="3" x14ac:dyDescent="0.3">
      <c r="A292" s="26" t="str">
        <f>'БазНорм (обр)'!A280</f>
        <v>Химический индикатор 50 шт.</v>
      </c>
      <c r="B292" s="27" t="str">
        <f>'БазНорм (обр)'!B280</f>
        <v>упак.</v>
      </c>
      <c r="C292" s="52">
        <f>'БазНорм (обр)'!C280</f>
        <v>0</v>
      </c>
      <c r="D292" s="181"/>
    </row>
    <row r="293" spans="1:4" ht="25.5" customHeight="1" outlineLevel="3" x14ac:dyDescent="0.3">
      <c r="A293" s="26" t="str">
        <f>'БазНорм (обр)'!A281</f>
        <v>Средство САНФОР 750 мл</v>
      </c>
      <c r="B293" s="27" t="str">
        <f>'БазНорм (обр)'!B281</f>
        <v>шт.</v>
      </c>
      <c r="C293" s="52">
        <f>'БазНорм (обр)'!C281</f>
        <v>6.286672254819782E-2</v>
      </c>
      <c r="D293" s="181"/>
    </row>
    <row r="294" spans="1:4" ht="25.5" customHeight="1" outlineLevel="3" x14ac:dyDescent="0.3">
      <c r="A294" s="26" t="str">
        <f>'БазНорм (обр)'!A282</f>
        <v>Средство для чистки туалетов (САНОКС)</v>
      </c>
      <c r="B294" s="27" t="str">
        <f>'БазНорм (обр)'!B282</f>
        <v>шт.</v>
      </c>
      <c r="C294" s="52">
        <f>'БазНорм (обр)'!C282</f>
        <v>0</v>
      </c>
      <c r="D294" s="181"/>
    </row>
    <row r="295" spans="1:4" ht="25.5" customHeight="1" outlineLevel="3" x14ac:dyDescent="0.3">
      <c r="A295" s="26" t="str">
        <f>'БазНорм (обр)'!A283</f>
        <v>Средство дизенфицирующее Дихлор(300 таблеток)</v>
      </c>
      <c r="B295" s="27" t="str">
        <f>'БазНорм (обр)'!B283</f>
        <v>шт.</v>
      </c>
      <c r="C295" s="52">
        <f>'БазНорм (обр)'!C283</f>
        <v>3.143336127409891E-2</v>
      </c>
      <c r="D295" s="181"/>
    </row>
    <row r="296" spans="1:4" ht="25.5" customHeight="1" outlineLevel="3" x14ac:dyDescent="0.3">
      <c r="A296" s="26" t="str">
        <f>'БазНорм (обр)'!A284</f>
        <v>Средство для мытья пола 5 л</v>
      </c>
      <c r="B296" s="27" t="str">
        <f>'БазНорм (обр)'!B284</f>
        <v>шт.</v>
      </c>
      <c r="C296" s="52">
        <f>'БазНорм (обр)'!C284</f>
        <v>6.286672254819782E-2</v>
      </c>
      <c r="D296" s="181"/>
    </row>
    <row r="297" spans="1:4" s="60" customFormat="1" ht="25.5" customHeight="1" outlineLevel="2" x14ac:dyDescent="0.3">
      <c r="A297" s="33" t="s">
        <v>31</v>
      </c>
      <c r="B297" s="34" t="s">
        <v>3</v>
      </c>
      <c r="C297" s="51" t="s">
        <v>3</v>
      </c>
      <c r="D297" s="181"/>
    </row>
    <row r="298" spans="1:4" ht="25.5" customHeight="1" outlineLevel="3" x14ac:dyDescent="0.3">
      <c r="A298" s="26" t="str">
        <f>'БазНорм (обр)'!A286</f>
        <v>Спец одежда. Костюм мужской</v>
      </c>
      <c r="B298" s="27" t="str">
        <f>'БазНорм (обр)'!B286</f>
        <v>шт.</v>
      </c>
      <c r="C298" s="52">
        <f>'БазНорм (обр)'!C286</f>
        <v>0</v>
      </c>
      <c r="D298" s="181"/>
    </row>
    <row r="299" spans="1:4" ht="25.5" customHeight="1" outlineLevel="3" x14ac:dyDescent="0.3">
      <c r="A299" s="26" t="str">
        <f>'БазНорм (обр)'!A287</f>
        <v>Спец одежда. Халат женскй</v>
      </c>
      <c r="B299" s="27" t="str">
        <f>'БазНорм (обр)'!B287</f>
        <v>шт.</v>
      </c>
      <c r="C299" s="52">
        <f>'БазНорм (обр)'!C287</f>
        <v>0</v>
      </c>
      <c r="D299" s="181"/>
    </row>
    <row r="300" spans="1:4" ht="25.5" customHeight="1" outlineLevel="3" x14ac:dyDescent="0.3">
      <c r="A300" s="26" t="str">
        <f>'БазНорм (обр)'!A288</f>
        <v>Халат капроновый рабочий</v>
      </c>
      <c r="B300" s="27" t="str">
        <f>'БазНорм (обр)'!B288</f>
        <v>шт.</v>
      </c>
      <c r="C300" s="52">
        <f>'БазНорм (обр)'!C288</f>
        <v>0</v>
      </c>
      <c r="D300" s="181"/>
    </row>
    <row r="301" spans="1:4" s="60" customFormat="1" ht="25.5" customHeight="1" outlineLevel="2" x14ac:dyDescent="0.3">
      <c r="A301" s="33" t="s">
        <v>479</v>
      </c>
      <c r="B301" s="34" t="s">
        <v>3</v>
      </c>
      <c r="C301" s="51" t="s">
        <v>3</v>
      </c>
      <c r="D301" s="181"/>
    </row>
    <row r="302" spans="1:4" ht="25.5" customHeight="1" outlineLevel="3" x14ac:dyDescent="0.3">
      <c r="A302" s="26" t="str">
        <f>'БазНорм (обр)'!A290</f>
        <v>Ножовка по металлу 300мм(5 см,полотен)</v>
      </c>
      <c r="B302" s="27" t="str">
        <f>'БазНорм (обр)'!B290</f>
        <v>шт.</v>
      </c>
      <c r="C302" s="52">
        <f>'БазНорм (обр)'!C290</f>
        <v>0</v>
      </c>
      <c r="D302" s="181"/>
    </row>
    <row r="303" spans="1:4" ht="25.5" customHeight="1" outlineLevel="3" x14ac:dyDescent="0.3">
      <c r="A303" s="26" t="str">
        <f>'БазНорм (обр)'!A291</f>
        <v>Ножовка по дереву 350мм</v>
      </c>
      <c r="B303" s="27" t="str">
        <f>'БазНорм (обр)'!B291</f>
        <v>шт.</v>
      </c>
      <c r="C303" s="52">
        <f>'БазНорм (обр)'!C291</f>
        <v>0</v>
      </c>
      <c r="D303" s="181"/>
    </row>
    <row r="304" spans="1:4" ht="25.5" customHeight="1" outlineLevel="3" x14ac:dyDescent="0.3">
      <c r="A304" s="26" t="str">
        <f>'БазНорм (обр)'!A292</f>
        <v>Стамеска  16мм</v>
      </c>
      <c r="B304" s="27" t="str">
        <f>'БазНорм (обр)'!B292</f>
        <v>шт.</v>
      </c>
      <c r="C304" s="52">
        <f>'БазНорм (обр)'!C292</f>
        <v>0</v>
      </c>
      <c r="D304" s="181"/>
    </row>
    <row r="305" spans="1:4" ht="25.5" customHeight="1" outlineLevel="3" x14ac:dyDescent="0.3">
      <c r="A305" s="26" t="str">
        <f>'БазНорм (обр)'!A293</f>
        <v>Молоток</v>
      </c>
      <c r="B305" s="27" t="str">
        <f>'БазНорм (обр)'!B293</f>
        <v>шт.</v>
      </c>
      <c r="C305" s="52">
        <f>'БазНорм (обр)'!C293</f>
        <v>0</v>
      </c>
      <c r="D305" s="181"/>
    </row>
    <row r="306" spans="1:4" ht="25.5" customHeight="1" outlineLevel="3" x14ac:dyDescent="0.3">
      <c r="A306" s="26" t="str">
        <f>'БазНорм (обр)'!A294</f>
        <v>Набор напильников</v>
      </c>
      <c r="B306" s="27" t="str">
        <f>'БазНорм (обр)'!B294</f>
        <v>шт.</v>
      </c>
      <c r="C306" s="52">
        <f>'БазНорм (обр)'!C294</f>
        <v>0</v>
      </c>
      <c r="D306" s="181"/>
    </row>
    <row r="307" spans="1:4" ht="25.5" customHeight="1" outlineLevel="3" x14ac:dyDescent="0.3">
      <c r="A307" s="26" t="str">
        <f>'БазНорм (обр)'!A295</f>
        <v>Ведро пластик 10л</v>
      </c>
      <c r="B307" s="27" t="str">
        <f>'БазНорм (обр)'!B295</f>
        <v>шт.</v>
      </c>
      <c r="C307" s="52">
        <f>'БазНорм (обр)'!C295</f>
        <v>0</v>
      </c>
      <c r="D307" s="181"/>
    </row>
    <row r="308" spans="1:4" ht="25.5" customHeight="1" outlineLevel="3" x14ac:dyDescent="0.3">
      <c r="A308" s="26" t="str">
        <f>'БазНорм (обр)'!A296</f>
        <v>Ведро оцинкованное 15л</v>
      </c>
      <c r="B308" s="27" t="str">
        <f>'БазНорм (обр)'!B296</f>
        <v>шт.</v>
      </c>
      <c r="C308" s="52">
        <f>'БазНорм (обр)'!C296</f>
        <v>0</v>
      </c>
      <c r="D308" s="181"/>
    </row>
    <row r="309" spans="1:4" ht="25.5" customHeight="1" outlineLevel="3" x14ac:dyDescent="0.3">
      <c r="A309" s="26" t="str">
        <f>'БазНорм (обр)'!A297</f>
        <v>Ерш унитазный</v>
      </c>
      <c r="B309" s="27" t="str">
        <f>'БазНорм (обр)'!B297</f>
        <v>шт.</v>
      </c>
      <c r="C309" s="52">
        <f>'БазНорм (обр)'!C297</f>
        <v>0</v>
      </c>
      <c r="D309" s="181"/>
    </row>
    <row r="310" spans="1:4" ht="25.5" customHeight="1" outlineLevel="3" x14ac:dyDescent="0.3">
      <c r="A310" s="26" t="str">
        <f>'БазНорм (обр)'!A298</f>
        <v xml:space="preserve">Замок врезной </v>
      </c>
      <c r="B310" s="27" t="str">
        <f>'БазНорм (обр)'!B298</f>
        <v>шт.</v>
      </c>
      <c r="C310" s="52">
        <f>'БазНорм (обр)'!C298</f>
        <v>0</v>
      </c>
      <c r="D310" s="181"/>
    </row>
    <row r="311" spans="1:4" ht="25.5" customHeight="1" outlineLevel="3" x14ac:dyDescent="0.3">
      <c r="A311" s="26" t="str">
        <f>'БазНорм (обр)'!A299</f>
        <v>Замок навесной</v>
      </c>
      <c r="B311" s="27" t="str">
        <f>'БазНорм (обр)'!B299</f>
        <v>шт.</v>
      </c>
      <c r="C311" s="52">
        <f>'БазНорм (обр)'!C299</f>
        <v>0</v>
      </c>
      <c r="D311" s="181"/>
    </row>
    <row r="312" spans="1:4" ht="25.5" customHeight="1" outlineLevel="3" x14ac:dyDescent="0.3">
      <c r="A312" s="26" t="str">
        <f>'БазНорм (обр)'!A300</f>
        <v>Изолента</v>
      </c>
      <c r="B312" s="27" t="str">
        <f>'БазНорм (обр)'!B300</f>
        <v>шт.</v>
      </c>
      <c r="C312" s="52">
        <f>'БазНорм (обр)'!C300</f>
        <v>0</v>
      </c>
      <c r="D312" s="181"/>
    </row>
    <row r="313" spans="1:4" ht="25.5" customHeight="1" outlineLevel="3" x14ac:dyDescent="0.3">
      <c r="A313" s="26" t="str">
        <f>'БазНорм (обр)'!A301</f>
        <v>Лопата снеговая с черенком</v>
      </c>
      <c r="B313" s="27" t="str">
        <f>'БазНорм (обр)'!B301</f>
        <v>шт.</v>
      </c>
      <c r="C313" s="52">
        <f>'БазНорм (обр)'!C301</f>
        <v>0</v>
      </c>
      <c r="D313" s="181"/>
    </row>
    <row r="314" spans="1:4" ht="25.5" customHeight="1" outlineLevel="3" x14ac:dyDescent="0.3">
      <c r="A314" s="26" t="str">
        <f>'БазНорм (обр)'!A302</f>
        <v>Лопата совковая с черенком</v>
      </c>
      <c r="B314" s="27" t="str">
        <f>'БазНорм (обр)'!B302</f>
        <v>шт.</v>
      </c>
      <c r="C314" s="52">
        <f>'БазНорм (обр)'!C302</f>
        <v>0</v>
      </c>
      <c r="D314" s="181"/>
    </row>
    <row r="315" spans="1:4" ht="25.5" customHeight="1" outlineLevel="3" x14ac:dyDescent="0.3">
      <c r="A315" s="26" t="str">
        <f>'БазНорм (обр)'!A303</f>
        <v>Лопата штыковая с черенком</v>
      </c>
      <c r="B315" s="27" t="str">
        <f>'БазНорм (обр)'!B303</f>
        <v>шт.</v>
      </c>
      <c r="C315" s="52">
        <f>'БазНорм (обр)'!C303</f>
        <v>0</v>
      </c>
      <c r="D315" s="181"/>
    </row>
    <row r="316" spans="1:4" ht="25.5" customHeight="1" outlineLevel="3" x14ac:dyDescent="0.3">
      <c r="A316" s="26" t="str">
        <f>'БазНорм (обр)'!A304</f>
        <v>Мешок п/п зеленый</v>
      </c>
      <c r="B316" s="27" t="str">
        <f>'БазНорм (обр)'!B304</f>
        <v>шт.</v>
      </c>
      <c r="C316" s="52">
        <f>'БазНорм (обр)'!C304</f>
        <v>0</v>
      </c>
      <c r="D316" s="181"/>
    </row>
    <row r="317" spans="1:4" ht="25.5" customHeight="1" outlineLevel="3" x14ac:dyDescent="0.3">
      <c r="A317" s="26" t="str">
        <f>'БазНорм (обр)'!A305</f>
        <v>Насадка на швабру</v>
      </c>
      <c r="B317" s="27" t="str">
        <f>'БазНорм (обр)'!B305</f>
        <v>шт.</v>
      </c>
      <c r="C317" s="52">
        <f>'БазНорм (обр)'!C305</f>
        <v>0</v>
      </c>
      <c r="D317" s="181"/>
    </row>
    <row r="318" spans="1:4" ht="25.5" customHeight="1" outlineLevel="3" x14ac:dyDescent="0.3">
      <c r="A318" s="26" t="str">
        <f>'БазНорм (обр)'!A306</f>
        <v>Швабра для пола</v>
      </c>
      <c r="B318" s="27" t="str">
        <f>'БазНорм (обр)'!B306</f>
        <v>шт.</v>
      </c>
      <c r="C318" s="52">
        <f>'БазНорм (обр)'!C306</f>
        <v>0</v>
      </c>
      <c r="D318" s="181"/>
    </row>
    <row r="319" spans="1:4" ht="25.5" customHeight="1" outlineLevel="3" x14ac:dyDescent="0.3">
      <c r="A319" s="26" t="str">
        <f>'БазНорм (обр)'!A307</f>
        <v>Веник пластик</v>
      </c>
      <c r="B319" s="27" t="str">
        <f>'БазНорм (обр)'!B307</f>
        <v>шт.</v>
      </c>
      <c r="C319" s="52">
        <f>'БазНорм (обр)'!C307</f>
        <v>0</v>
      </c>
      <c r="D319" s="181"/>
    </row>
    <row r="320" spans="1:4" ht="25.5" customHeight="1" outlineLevel="3" x14ac:dyDescent="0.3">
      <c r="A320" s="26" t="str">
        <f>'БазНорм (обр)'!A308</f>
        <v>Пакеты для мусора 120 л черные</v>
      </c>
      <c r="B320" s="27" t="str">
        <f>'БазНорм (обр)'!B308</f>
        <v>шт.</v>
      </c>
      <c r="C320" s="52">
        <f>'БазНорм (обр)'!C308</f>
        <v>0</v>
      </c>
      <c r="D320" s="181"/>
    </row>
    <row r="321" spans="1:4" ht="25.5" customHeight="1" outlineLevel="3" x14ac:dyDescent="0.3">
      <c r="A321" s="26" t="str">
        <f>'БазНорм (обр)'!A309</f>
        <v>Пакеты для мусора 30л.*50 шт.</v>
      </c>
      <c r="B321" s="27" t="str">
        <f>'БазНорм (обр)'!B309</f>
        <v>ролик</v>
      </c>
      <c r="C321" s="52">
        <f>'БазНорм (обр)'!C309</f>
        <v>0</v>
      </c>
      <c r="D321" s="181"/>
    </row>
    <row r="322" spans="1:4" ht="25.5" customHeight="1" outlineLevel="3" x14ac:dyDescent="0.3">
      <c r="A322" s="26" t="str">
        <f>'БазНорм (обр)'!A310</f>
        <v>Пакеты для мусора 120 л. *10 шт.</v>
      </c>
      <c r="B322" s="27" t="str">
        <f>'БазНорм (обр)'!B310</f>
        <v>ролик</v>
      </c>
      <c r="C322" s="52">
        <f>'БазНорм (обр)'!C310</f>
        <v>0</v>
      </c>
      <c r="D322" s="181"/>
    </row>
    <row r="323" spans="1:4" ht="25.5" customHeight="1" outlineLevel="3" x14ac:dyDescent="0.3">
      <c r="A323" s="26" t="str">
        <f>'БазНорм (обр)'!A311</f>
        <v>Перчатки латексные</v>
      </c>
      <c r="B323" s="27" t="str">
        <f>'БазНорм (обр)'!B311</f>
        <v>пар.</v>
      </c>
      <c r="C323" s="52">
        <f>'БазНорм (обр)'!C311</f>
        <v>0</v>
      </c>
      <c r="D323" s="181"/>
    </row>
    <row r="324" spans="1:4" ht="25.5" customHeight="1" outlineLevel="3" x14ac:dyDescent="0.3">
      <c r="A324" s="26" t="str">
        <f>'БазНорм (обр)'!A312</f>
        <v>Перчатки резиновые НЭП</v>
      </c>
      <c r="B324" s="27" t="str">
        <f>'БазНорм (обр)'!B312</f>
        <v>пар.</v>
      </c>
      <c r="C324" s="52">
        <f>'БазНорм (обр)'!C312</f>
        <v>0</v>
      </c>
      <c r="D324" s="181"/>
    </row>
    <row r="325" spans="1:4" ht="25.5" customHeight="1" outlineLevel="3" x14ac:dyDescent="0.3">
      <c r="A325" s="26" t="str">
        <f>'БазНорм (обр)'!A313</f>
        <v>Перчатки ХБ ПВХ</v>
      </c>
      <c r="B325" s="27" t="str">
        <f>'БазНорм (обр)'!B313</f>
        <v>пар.</v>
      </c>
      <c r="C325" s="52">
        <f>'БазНорм (обр)'!C313</f>
        <v>0</v>
      </c>
      <c r="D325" s="181"/>
    </row>
    <row r="326" spans="1:4" ht="25.5" customHeight="1" outlineLevel="3" x14ac:dyDescent="0.3">
      <c r="A326" s="26" t="str">
        <f>'БазНорм (обр)'!A314</f>
        <v>Полотно вафельное</v>
      </c>
      <c r="B326" s="27" t="str">
        <f>'БазНорм (обр)'!B314</f>
        <v>шт.</v>
      </c>
      <c r="C326" s="52">
        <f>'БазНорм (обр)'!C314</f>
        <v>0</v>
      </c>
      <c r="D326" s="181"/>
    </row>
    <row r="327" spans="1:4" ht="25.5" customHeight="1" outlineLevel="3" x14ac:dyDescent="0.3">
      <c r="A327" s="26" t="str">
        <f>'БазНорм (обр)'!A315</f>
        <v>Полотенечная ткань</v>
      </c>
      <c r="B327" s="27" t="str">
        <f>'БазНорм (обр)'!B315</f>
        <v>м</v>
      </c>
      <c r="C327" s="52">
        <f>'БазНорм (обр)'!C315</f>
        <v>0</v>
      </c>
      <c r="D327" s="181"/>
    </row>
    <row r="328" spans="1:4" ht="25.5" customHeight="1" outlineLevel="3" x14ac:dyDescent="0.3">
      <c r="A328" s="26" t="str">
        <f>'БазНорм (обр)'!A316</f>
        <v>Полотно для мытья пола</v>
      </c>
      <c r="B328" s="27" t="str">
        <f>'БазНорм (обр)'!B316</f>
        <v>шт.</v>
      </c>
      <c r="C328" s="52">
        <f>'БазНорм (обр)'!C316</f>
        <v>0</v>
      </c>
      <c r="D328" s="181"/>
    </row>
    <row r="329" spans="1:4" ht="25.5" customHeight="1" outlineLevel="3" x14ac:dyDescent="0.3">
      <c r="A329" s="26" t="str">
        <f>'БазНорм (обр)'!A317</f>
        <v>Швабра отжим. губ с ведром</v>
      </c>
      <c r="B329" s="27" t="str">
        <f>'БазНорм (обр)'!B317</f>
        <v>шт.</v>
      </c>
      <c r="C329" s="52">
        <f>'БазНорм (обр)'!C317</f>
        <v>0</v>
      </c>
      <c r="D329" s="181"/>
    </row>
    <row r="330" spans="1:4" ht="25.5" customHeight="1" outlineLevel="3" x14ac:dyDescent="0.3">
      <c r="A330" s="26" t="str">
        <f>'БазНорм (обр)'!A318</f>
        <v>Перфоратор аккумуляторный</v>
      </c>
      <c r="B330" s="27" t="str">
        <f>'БазНорм (обр)'!B318</f>
        <v>шт.</v>
      </c>
      <c r="C330" s="52">
        <f>'БазНорм (обр)'!C318</f>
        <v>0</v>
      </c>
      <c r="D330" s="181"/>
    </row>
    <row r="331" spans="1:4" ht="25.5" customHeight="1" outlineLevel="3" x14ac:dyDescent="0.3">
      <c r="A331" s="26" t="str">
        <f>'БазНорм (обр)'!A319</f>
        <v>Бензиновый триммер</v>
      </c>
      <c r="B331" s="27" t="str">
        <f>'БазНорм (обр)'!B319</f>
        <v>шт.</v>
      </c>
      <c r="C331" s="52">
        <f>'БазНорм (обр)'!C319</f>
        <v>0</v>
      </c>
      <c r="D331" s="181"/>
    </row>
    <row r="332" spans="1:4" ht="25.5" customHeight="1" outlineLevel="3" x14ac:dyDescent="0.3">
      <c r="A332" s="26" t="str">
        <f>'БазНорм (обр)'!A320</f>
        <v xml:space="preserve">Рубанок HAMMER </v>
      </c>
      <c r="B332" s="27" t="str">
        <f>'БазНорм (обр)'!B320</f>
        <v>шт.</v>
      </c>
      <c r="C332" s="52">
        <f>'БазНорм (обр)'!C320</f>
        <v>0</v>
      </c>
      <c r="D332" s="181"/>
    </row>
    <row r="333" spans="1:4" ht="25.5" customHeight="1" outlineLevel="3" x14ac:dyDescent="0.3">
      <c r="A333" s="26" t="str">
        <f>'БазНорм (обр)'!A321</f>
        <v>Пила циркулярная HAMMER</v>
      </c>
      <c r="B333" s="27" t="str">
        <f>'БазНорм (обр)'!B321</f>
        <v>шт.</v>
      </c>
      <c r="C333" s="52">
        <f>'БазНорм (обр)'!C321</f>
        <v>0</v>
      </c>
      <c r="D333" s="181"/>
    </row>
    <row r="334" spans="1:4" ht="25.5" customHeight="1" outlineLevel="3" x14ac:dyDescent="0.3">
      <c r="A334" s="26" t="str">
        <f>'БазНорм (обр)'!A322</f>
        <v>Точило HAMMER</v>
      </c>
      <c r="B334" s="27" t="str">
        <f>'БазНорм (обр)'!B322</f>
        <v>шт.</v>
      </c>
      <c r="C334" s="52">
        <f>'БазНорм (обр)'!C322</f>
        <v>0</v>
      </c>
      <c r="D334" s="181"/>
    </row>
    <row r="335" spans="1:4" ht="25.5" customHeight="1" outlineLevel="3" x14ac:dyDescent="0.3">
      <c r="A335" s="26" t="str">
        <f>'БазНорм (обр)'!A323</f>
        <v>Набор сверл по металлу от 1 до 10(19шт)</v>
      </c>
      <c r="B335" s="27" t="str">
        <f>'БазНорм (обр)'!B323</f>
        <v>шт.</v>
      </c>
      <c r="C335" s="52">
        <f>'БазНорм (обр)'!C323</f>
        <v>0</v>
      </c>
      <c r="D335" s="181"/>
    </row>
    <row r="336" spans="1:4" ht="25.5" customHeight="1" outlineLevel="3" x14ac:dyDescent="0.3">
      <c r="A336" s="26" t="str">
        <f>'БазНорм (обр)'!A324</f>
        <v>Тряпкодержатель с салфеткой для пола усиленный</v>
      </c>
      <c r="B336" s="27" t="str">
        <f>'БазНорм (обр)'!B324</f>
        <v>шт.</v>
      </c>
      <c r="C336" s="52">
        <f>'БазНорм (обр)'!C324</f>
        <v>0</v>
      </c>
      <c r="D336" s="181"/>
    </row>
    <row r="337" spans="1:4" ht="25.5" customHeight="1" outlineLevel="3" x14ac:dyDescent="0.3">
      <c r="A337" s="26" t="str">
        <f>'БазНорм (обр)'!A325</f>
        <v>Замки навесные маленькие</v>
      </c>
      <c r="B337" s="27" t="str">
        <f>'БазНорм (обр)'!B325</f>
        <v>шт.</v>
      </c>
      <c r="C337" s="52">
        <f>'БазНорм (обр)'!C325</f>
        <v>0</v>
      </c>
      <c r="D337" s="181"/>
    </row>
    <row r="338" spans="1:4" ht="25.5" customHeight="1" outlineLevel="3" x14ac:dyDescent="0.3">
      <c r="A338" s="26" t="str">
        <f>'БазНорм (обр)'!A326</f>
        <v>Замки навесные большие</v>
      </c>
      <c r="B338" s="27" t="str">
        <f>'БазНорм (обр)'!B326</f>
        <v>шт.</v>
      </c>
      <c r="C338" s="52">
        <f>'БазНорм (обр)'!C326</f>
        <v>0</v>
      </c>
      <c r="D338" s="181"/>
    </row>
    <row r="339" spans="1:4" ht="25.5" customHeight="1" outlineLevel="3" x14ac:dyDescent="0.3">
      <c r="A339" s="26" t="str">
        <f>'БазНорм (обр)'!A327</f>
        <v>Знаки вспомогательные</v>
      </c>
      <c r="B339" s="27" t="str">
        <f>'БазНорм (обр)'!B327</f>
        <v>шт.</v>
      </c>
      <c r="C339" s="52">
        <f>'БазНорм (обр)'!C327</f>
        <v>0</v>
      </c>
      <c r="D339" s="181"/>
    </row>
    <row r="340" spans="1:4" ht="25.5" customHeight="1" outlineLevel="3" x14ac:dyDescent="0.3">
      <c r="A340" s="26" t="str">
        <f>'БазНорм (обр)'!A328</f>
        <v>Знаки эвакуационные</v>
      </c>
      <c r="B340" s="27" t="str">
        <f>'БазНорм (обр)'!B328</f>
        <v>шт.</v>
      </c>
      <c r="C340" s="52">
        <f>'БазНорм (обр)'!C328</f>
        <v>0</v>
      </c>
      <c r="D340" s="181"/>
    </row>
    <row r="341" spans="1:4" ht="25.5" customHeight="1" outlineLevel="3" x14ac:dyDescent="0.3">
      <c r="A341" s="26" t="str">
        <f>'БазНорм (обр)'!A329</f>
        <v>Бумага туалетная</v>
      </c>
      <c r="B341" s="27" t="str">
        <f>'БазНорм (обр)'!B329</f>
        <v>рулон</v>
      </c>
      <c r="C341" s="52">
        <f>'БазНорм (обр)'!C329</f>
        <v>0</v>
      </c>
      <c r="D341" s="181"/>
    </row>
    <row r="342" spans="1:4" ht="25.5" customHeight="1" outlineLevel="3" x14ac:dyDescent="0.3">
      <c r="A342" s="26" t="str">
        <f>'БазНорм (обр)'!A330</f>
        <v>Бумажные полотенца 2 шт.</v>
      </c>
      <c r="B342" s="27" t="str">
        <f>'БазНорм (обр)'!B330</f>
        <v>упак.</v>
      </c>
      <c r="C342" s="52">
        <f>'БазНорм (обр)'!C330</f>
        <v>0</v>
      </c>
      <c r="D342" s="181"/>
    </row>
    <row r="343" spans="1:4" ht="25.5" customHeight="1" outlineLevel="3" x14ac:dyDescent="0.3">
      <c r="A343" s="26" t="str">
        <f>'БазНорм (обр)'!A331</f>
        <v>Салфетки</v>
      </c>
      <c r="B343" s="27" t="str">
        <f>'БазНорм (обр)'!B331</f>
        <v>пач.</v>
      </c>
      <c r="C343" s="52">
        <f>'БазНорм (обр)'!C331</f>
        <v>0</v>
      </c>
      <c r="D343" s="181"/>
    </row>
    <row r="344" spans="1:4" ht="25.5" customHeight="1" outlineLevel="3" x14ac:dyDescent="0.3">
      <c r="A344" s="26" t="str">
        <f>'БазНорм (обр)'!A332</f>
        <v>Салфетки из микрофибры</v>
      </c>
      <c r="B344" s="27" t="str">
        <f>'БазНорм (обр)'!B332</f>
        <v>пач.</v>
      </c>
      <c r="C344" s="52">
        <f>'БазНорм (обр)'!C332</f>
        <v>0</v>
      </c>
      <c r="D344" s="181"/>
    </row>
    <row r="345" spans="1:4" ht="25.5" customHeight="1" outlineLevel="3" x14ac:dyDescent="0.3">
      <c r="A345" s="26" t="str">
        <f>'БазНорм (обр)'!A333</f>
        <v>Платочки бумажные</v>
      </c>
      <c r="B345" s="27" t="str">
        <f>'БазНорм (обр)'!B333</f>
        <v>упак.</v>
      </c>
      <c r="C345" s="52">
        <f>'БазНорм (обр)'!C333</f>
        <v>0</v>
      </c>
      <c r="D345" s="181"/>
    </row>
    <row r="346" spans="1:4" x14ac:dyDescent="0.3">
      <c r="A346" s="8"/>
    </row>
    <row r="347" spans="1:4" ht="37.5" customHeight="1" x14ac:dyDescent="0.3">
      <c r="A347" s="8" t="s">
        <v>91</v>
      </c>
      <c r="B347" s="58"/>
      <c r="C347" s="58"/>
    </row>
    <row r="348" spans="1:4" ht="17.25" customHeight="1" x14ac:dyDescent="0.3">
      <c r="A348" s="188" t="s">
        <v>92</v>
      </c>
      <c r="B348" s="188"/>
      <c r="C348" s="188"/>
      <c r="D348" s="188"/>
    </row>
    <row r="349" spans="1:4" ht="44.25" customHeight="1" x14ac:dyDescent="0.3">
      <c r="A349" s="188" t="s">
        <v>93</v>
      </c>
      <c r="B349" s="188"/>
      <c r="C349" s="188"/>
      <c r="D349" s="188"/>
    </row>
    <row r="350" spans="1:4" ht="42.75" customHeight="1" x14ac:dyDescent="0.3">
      <c r="A350" s="188" t="s">
        <v>93</v>
      </c>
      <c r="B350" s="188"/>
      <c r="C350" s="188"/>
      <c r="D350" s="188"/>
    </row>
    <row r="351" spans="1:4" ht="19.899999999999999" customHeight="1" x14ac:dyDescent="0.3">
      <c r="A351" s="188" t="s">
        <v>94</v>
      </c>
      <c r="B351" s="188"/>
      <c r="C351" s="188"/>
      <c r="D351" s="188"/>
    </row>
    <row r="352" spans="1:4" ht="36.65" customHeight="1" x14ac:dyDescent="0.3">
      <c r="A352" s="188" t="s">
        <v>95</v>
      </c>
      <c r="B352" s="188"/>
      <c r="C352" s="188"/>
      <c r="D352" s="188"/>
    </row>
  </sheetData>
  <mergeCells count="31">
    <mergeCell ref="A352:D352"/>
    <mergeCell ref="A220:D220"/>
    <mergeCell ref="D221:D345"/>
    <mergeCell ref="A348:D348"/>
    <mergeCell ref="A349:D349"/>
    <mergeCell ref="A350:D350"/>
    <mergeCell ref="A351:D351"/>
    <mergeCell ref="A216:D216"/>
    <mergeCell ref="A91:D91"/>
    <mergeCell ref="D92:D165"/>
    <mergeCell ref="A166:D166"/>
    <mergeCell ref="A167:D167"/>
    <mergeCell ref="D209:D211"/>
    <mergeCell ref="A208:D208"/>
    <mergeCell ref="A212:D212"/>
    <mergeCell ref="D177:D205"/>
    <mergeCell ref="A206:D206"/>
    <mergeCell ref="D168:D175"/>
    <mergeCell ref="A176:D176"/>
    <mergeCell ref="A4:D4"/>
    <mergeCell ref="A5:D5"/>
    <mergeCell ref="A6:D6"/>
    <mergeCell ref="A7:D7"/>
    <mergeCell ref="A16:D16"/>
    <mergeCell ref="A19:D19"/>
    <mergeCell ref="D20:D90"/>
    <mergeCell ref="A11:D11"/>
    <mergeCell ref="A12:D12"/>
    <mergeCell ref="A13:D13"/>
    <mergeCell ref="A14:D14"/>
    <mergeCell ref="A15:D15"/>
  </mergeCells>
  <phoneticPr fontId="20" type="noConversion"/>
  <pageMargins left="0.70866141732283472" right="0.70866141732283472" top="0.74803149606299213" bottom="0.74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342"/>
  <sheetViews>
    <sheetView view="pageBreakPreview" zoomScale="85" zoomScaleNormal="100" zoomScaleSheetLayoutView="85" workbookViewId="0">
      <pane ySplit="8" topLeftCell="A315" activePane="bottomLeft" state="frozen"/>
      <selection activeCell="E162" activeCellId="1" sqref="E15:E87 E162"/>
      <selection pane="bottomLeft" activeCell="A310" sqref="A310"/>
    </sheetView>
  </sheetViews>
  <sheetFormatPr defaultColWidth="9.1796875" defaultRowHeight="13" outlineLevelRow="3" x14ac:dyDescent="0.3"/>
  <cols>
    <col min="1" max="6" width="25.7265625" style="53" customWidth="1"/>
    <col min="7" max="16384" width="9.1796875" style="53"/>
  </cols>
  <sheetData>
    <row r="1" spans="1:6" x14ac:dyDescent="0.3">
      <c r="A1" s="74"/>
      <c r="F1" s="54" t="s">
        <v>96</v>
      </c>
    </row>
    <row r="2" spans="1:6" ht="14.5" customHeight="1" x14ac:dyDescent="0.3">
      <c r="A2" s="74"/>
      <c r="F2" s="55" t="s">
        <v>97</v>
      </c>
    </row>
    <row r="3" spans="1:6" x14ac:dyDescent="0.3">
      <c r="A3" s="8"/>
    </row>
    <row r="4" spans="1:6" x14ac:dyDescent="0.3">
      <c r="A4" s="182" t="s">
        <v>98</v>
      </c>
      <c r="B4" s="182"/>
      <c r="C4" s="182"/>
      <c r="D4" s="182"/>
      <c r="E4" s="182"/>
      <c r="F4" s="182"/>
    </row>
    <row r="5" spans="1:6" x14ac:dyDescent="0.3">
      <c r="A5" s="182" t="s">
        <v>99</v>
      </c>
      <c r="B5" s="182"/>
      <c r="C5" s="182"/>
      <c r="D5" s="182"/>
      <c r="E5" s="182"/>
      <c r="F5" s="182"/>
    </row>
    <row r="6" spans="1:6" x14ac:dyDescent="0.3">
      <c r="A6" s="8"/>
    </row>
    <row r="7" spans="1:6" ht="26" x14ac:dyDescent="0.3">
      <c r="A7" s="72" t="s">
        <v>0</v>
      </c>
      <c r="B7" s="72" t="s">
        <v>58</v>
      </c>
      <c r="C7" s="72" t="s">
        <v>60</v>
      </c>
      <c r="D7" s="72" t="s">
        <v>61</v>
      </c>
      <c r="E7" s="72" t="s">
        <v>62</v>
      </c>
      <c r="F7" s="72" t="s">
        <v>100</v>
      </c>
    </row>
    <row r="8" spans="1:6" x14ac:dyDescent="0.3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</row>
    <row r="9" spans="1:6" ht="28.9" customHeight="1" x14ac:dyDescent="0.3">
      <c r="A9" s="189" t="s">
        <v>526</v>
      </c>
      <c r="B9" s="189"/>
      <c r="C9" s="189"/>
      <c r="D9" s="189"/>
      <c r="E9" s="189"/>
      <c r="F9" s="189"/>
    </row>
    <row r="10" spans="1:6" ht="28.9" customHeight="1" x14ac:dyDescent="0.3">
      <c r="A10" s="196" t="s">
        <v>545</v>
      </c>
      <c r="B10" s="190"/>
      <c r="C10" s="190"/>
      <c r="D10" s="190"/>
      <c r="E10" s="190"/>
      <c r="F10" s="190"/>
    </row>
    <row r="11" spans="1:6" ht="30" customHeight="1" x14ac:dyDescent="0.3">
      <c r="A11" s="183" t="s">
        <v>4</v>
      </c>
      <c r="B11" s="183"/>
      <c r="C11" s="183"/>
      <c r="D11" s="183"/>
      <c r="E11" s="73">
        <f>E12+E15+E87</f>
        <v>2138.5390911640225</v>
      </c>
      <c r="F11" s="191" t="s">
        <v>135</v>
      </c>
    </row>
    <row r="12" spans="1:6" ht="30" customHeight="1" outlineLevel="1" x14ac:dyDescent="0.3">
      <c r="A12" s="183" t="s">
        <v>5</v>
      </c>
      <c r="B12" s="183"/>
      <c r="C12" s="183"/>
      <c r="D12" s="183"/>
      <c r="E12" s="68">
        <f>SUM(E13:E14)</f>
        <v>776.36324496288444</v>
      </c>
      <c r="F12" s="192"/>
    </row>
    <row r="13" spans="1:6" outlineLevel="2" x14ac:dyDescent="0.3">
      <c r="A13" s="131" t="str">
        <f>'БазНорм (обр)'!A5</f>
        <v>Педагогический персонал</v>
      </c>
      <c r="B13" s="64">
        <f>'БазНорм (обр)'!C5</f>
        <v>5.5493107104984091E-2</v>
      </c>
      <c r="C13" s="68">
        <f>'БазНорм (обр)'!J5</f>
        <v>1</v>
      </c>
      <c r="D13" s="68">
        <f>'БазНорм (обр)'!K5</f>
        <v>13990.264475444297</v>
      </c>
      <c r="E13" s="68">
        <f>B13/C13*D13</f>
        <v>776.36324496288444</v>
      </c>
      <c r="F13" s="192"/>
    </row>
    <row r="14" spans="1:6" outlineLevel="2" x14ac:dyDescent="0.3">
      <c r="A14" s="57"/>
      <c r="B14" s="57"/>
      <c r="C14" s="57"/>
      <c r="D14" s="57"/>
      <c r="E14" s="56"/>
      <c r="F14" s="192"/>
    </row>
    <row r="15" spans="1:6" ht="45" customHeight="1" outlineLevel="1" x14ac:dyDescent="0.3">
      <c r="A15" s="183" t="s">
        <v>6</v>
      </c>
      <c r="B15" s="183"/>
      <c r="C15" s="183"/>
      <c r="D15" s="183"/>
      <c r="E15" s="73">
        <f>E16+E67+E85+E86</f>
        <v>146.27071580042409</v>
      </c>
      <c r="F15" s="192"/>
    </row>
    <row r="16" spans="1:6" s="75" customFormat="1" outlineLevel="2" x14ac:dyDescent="0.3">
      <c r="A16" s="33" t="s">
        <v>56</v>
      </c>
      <c r="B16" s="34" t="s">
        <v>3</v>
      </c>
      <c r="C16" s="61" t="s">
        <v>3</v>
      </c>
      <c r="D16" s="122" t="s">
        <v>3</v>
      </c>
      <c r="E16" s="123">
        <f>SUM(E17:E66)</f>
        <v>122.15476333373341</v>
      </c>
      <c r="F16" s="192"/>
    </row>
    <row r="17" spans="1:10" s="75" customFormat="1" ht="39" outlineLevel="3" x14ac:dyDescent="0.3">
      <c r="A17" s="26" t="str">
        <f>'БазНорм (обр)'!A9</f>
        <v xml:space="preserve">Журнал: Воспитание школьников и духовно-нравственное воспитание </v>
      </c>
      <c r="B17" s="52">
        <f>'БазНорм (обр)'!C9</f>
        <v>2.4006721882126993E-3</v>
      </c>
      <c r="C17" s="61">
        <f>'БазНорм (обр)'!J9</f>
        <v>1</v>
      </c>
      <c r="D17" s="122">
        <f>'БазНорм (обр)'!K9</f>
        <v>9669.8700000000008</v>
      </c>
      <c r="E17" s="122">
        <f>B17/C17*D17</f>
        <v>23.214187972632338</v>
      </c>
      <c r="F17" s="192"/>
      <c r="G17" s="53">
        <f>E17*943-'БазНорм (обр)'!T9*'БазНорм (обр)'!$T$2</f>
        <v>-20621302.461217143</v>
      </c>
      <c r="J17" s="75">
        <f>943*E17</f>
        <v>21890.979258192296</v>
      </c>
    </row>
    <row r="18" spans="1:10" s="75" customFormat="1" ht="26" outlineLevel="3" x14ac:dyDescent="0.3">
      <c r="A18" s="26" t="str">
        <f>'БазНорм (обр)'!A10</f>
        <v>Инновационные проекты и программы в оьразовании</v>
      </c>
      <c r="B18" s="52">
        <f>'БазНорм (обр)'!C10</f>
        <v>2.4006721882126993E-3</v>
      </c>
      <c r="C18" s="61">
        <f>'БазНорм (обр)'!J10</f>
        <v>1</v>
      </c>
      <c r="D18" s="122">
        <f>'БазНорм (обр)'!K10</f>
        <v>1732.6000000000001</v>
      </c>
      <c r="E18" s="122">
        <f t="shared" ref="E18:E81" si="0">B18/C18*D18</f>
        <v>4.1594046332973234</v>
      </c>
      <c r="F18" s="192"/>
    </row>
    <row r="19" spans="1:10" s="75" customFormat="1" ht="26" outlineLevel="3" x14ac:dyDescent="0.3">
      <c r="A19" s="26" t="str">
        <f>'БазНорм (обр)'!A11</f>
        <v>Журнал: Льготный комплект "Эксперт"</v>
      </c>
      <c r="B19" s="52">
        <f>'БазНорм (обр)'!C11</f>
        <v>2.4006721882126993E-3</v>
      </c>
      <c r="C19" s="61">
        <f>'БазНорм (обр)'!J11</f>
        <v>1</v>
      </c>
      <c r="D19" s="122">
        <f>'БазНорм (обр)'!K11</f>
        <v>12040.93</v>
      </c>
      <c r="E19" s="122">
        <f t="shared" si="0"/>
        <v>28.906325771215936</v>
      </c>
      <c r="F19" s="192"/>
    </row>
    <row r="20" spans="1:10" s="75" customFormat="1" outlineLevel="3" x14ac:dyDescent="0.3">
      <c r="A20" s="26" t="str">
        <f>'БазНорм (обр)'!A12</f>
        <v>Журнал: Профильная школа</v>
      </c>
      <c r="B20" s="52">
        <f>'БазНорм (обр)'!C12</f>
        <v>2.4006721882126993E-3</v>
      </c>
      <c r="C20" s="61">
        <f>'БазНорм (обр)'!J12</f>
        <v>1</v>
      </c>
      <c r="D20" s="122">
        <f>'БазНорм (обр)'!K12</f>
        <v>2385.61</v>
      </c>
      <c r="E20" s="122">
        <f t="shared" si="0"/>
        <v>5.7270675789220977</v>
      </c>
      <c r="F20" s="192"/>
    </row>
    <row r="21" spans="1:10" s="75" customFormat="1" ht="26" outlineLevel="3" x14ac:dyDescent="0.3">
      <c r="A21" s="26" t="str">
        <f>'БазНорм (обр)'!A13</f>
        <v xml:space="preserve">Журнал: Путешествие на зеленый свет </v>
      </c>
      <c r="B21" s="52">
        <f>'БазНорм (обр)'!C13</f>
        <v>1.2003360941063496E-3</v>
      </c>
      <c r="C21" s="61">
        <f>'БазНорм (обр)'!J13</f>
        <v>1</v>
      </c>
      <c r="D21" s="122">
        <f>'БазНорм (обр)'!K13</f>
        <v>2401.4900000000002</v>
      </c>
      <c r="E21" s="122">
        <f t="shared" si="0"/>
        <v>2.8825951266354579</v>
      </c>
      <c r="F21" s="192"/>
    </row>
    <row r="22" spans="1:10" s="75" customFormat="1" ht="52" outlineLevel="3" x14ac:dyDescent="0.3">
      <c r="A22" s="26" t="str">
        <f>'БазНорм (обр)'!A14</f>
        <v>Журнал: Школа управления образовательным учреждением. опыт. практика. лучшие рещения (+CD)</v>
      </c>
      <c r="B22" s="52">
        <f>'БазНорм (обр)'!C14</f>
        <v>2.4006721882126993E-3</v>
      </c>
      <c r="C22" s="61">
        <f>'БазНорм (обр)'!J14</f>
        <v>1</v>
      </c>
      <c r="D22" s="122">
        <f>'БазНорм (обр)'!K14</f>
        <v>5662.5</v>
      </c>
      <c r="E22" s="122">
        <f t="shared" si="0"/>
        <v>13.593806265754409</v>
      </c>
      <c r="F22" s="192"/>
    </row>
    <row r="23" spans="1:10" s="75" customFormat="1" outlineLevel="3" x14ac:dyDescent="0.3">
      <c r="A23" s="26" t="str">
        <f>'БазНорм (обр)'!A15</f>
        <v>Журнал: Вестник образования</v>
      </c>
      <c r="B23" s="52">
        <f>'БазНорм (обр)'!C15</f>
        <v>1.2003360941063496E-3</v>
      </c>
      <c r="C23" s="61">
        <f>'БазНорм (обр)'!J15</f>
        <v>1</v>
      </c>
      <c r="D23" s="122">
        <f>'БазНорм (обр)'!K15</f>
        <v>1220.5233333333333</v>
      </c>
      <c r="E23" s="122">
        <f t="shared" si="0"/>
        <v>1.4650382106989954</v>
      </c>
      <c r="F23" s="192"/>
    </row>
    <row r="24" spans="1:10" s="75" customFormat="1" outlineLevel="3" x14ac:dyDescent="0.3">
      <c r="A24" s="26" t="str">
        <f>'БазНорм (обр)'!A16</f>
        <v>Учительская газета</v>
      </c>
      <c r="B24" s="52">
        <f>'БазНорм (обр)'!C16</f>
        <v>1.2003360941063496E-3</v>
      </c>
      <c r="C24" s="61">
        <f>'БазНорм (обр)'!J16</f>
        <v>1</v>
      </c>
      <c r="D24" s="122">
        <f>'БазНорм (обр)'!K16</f>
        <v>2217.91</v>
      </c>
      <c r="E24" s="122">
        <f t="shared" si="0"/>
        <v>2.6622374264794137</v>
      </c>
      <c r="F24" s="192"/>
    </row>
    <row r="25" spans="1:10" s="75" customFormat="1" ht="26" outlineLevel="3" x14ac:dyDescent="0.3">
      <c r="A25" s="26" t="str">
        <f>'БазНорм (обр)'!A17</f>
        <v>Журнал: Управление современной школой. завуч.</v>
      </c>
      <c r="B25" s="52">
        <f>'БазНорм (обр)'!C17</f>
        <v>1.2003360941063496E-3</v>
      </c>
      <c r="C25" s="61">
        <f>'БазНорм (обр)'!J17</f>
        <v>1</v>
      </c>
      <c r="D25" s="122">
        <f>'БазНорм (обр)'!K17</f>
        <v>2938.6333333333332</v>
      </c>
      <c r="E25" s="122">
        <f t="shared" si="0"/>
        <v>3.5273476573440559</v>
      </c>
      <c r="F25" s="192"/>
    </row>
    <row r="26" spans="1:10" s="75" customFormat="1" ht="43.15" customHeight="1" outlineLevel="3" x14ac:dyDescent="0.3">
      <c r="A26" s="26" t="str">
        <f>'БазНорм (обр)'!A18</f>
        <v>Журнал: Управление образовательным учреждением в вопросах и ответах</v>
      </c>
      <c r="B26" s="52">
        <f>'БазНорм (обр)'!C18</f>
        <v>1.2003360941063496E-3</v>
      </c>
      <c r="C26" s="61">
        <f>'БазНорм (обр)'!J18</f>
        <v>1</v>
      </c>
      <c r="D26" s="122">
        <f>'БазНорм (обр)'!K18</f>
        <v>5111.956666666666</v>
      </c>
      <c r="E26" s="122">
        <f t="shared" si="0"/>
        <v>6.1360660985075803</v>
      </c>
      <c r="F26" s="192"/>
    </row>
    <row r="27" spans="1:10" s="75" customFormat="1" outlineLevel="3" x14ac:dyDescent="0.3">
      <c r="A27" s="26" t="str">
        <f>'БазНорм (обр)'!A19</f>
        <v>Журнал: Лучик</v>
      </c>
      <c r="B27" s="52">
        <f>'БазНорм (обр)'!C19</f>
        <v>1.2003360941063496E-3</v>
      </c>
      <c r="C27" s="61">
        <f>'БазНорм (обр)'!J19</f>
        <v>1</v>
      </c>
      <c r="D27" s="122">
        <f>'БазНорм (обр)'!K19</f>
        <v>2481.1133333333332</v>
      </c>
      <c r="E27" s="122">
        <f t="shared" si="0"/>
        <v>2.9781698875685185</v>
      </c>
      <c r="F27" s="192"/>
    </row>
    <row r="28" spans="1:10" s="75" customFormat="1" outlineLevel="3" x14ac:dyDescent="0.3">
      <c r="A28" s="26" t="str">
        <f>'БазНорм (обр)'!A20</f>
        <v>Журнал: Дефектология</v>
      </c>
      <c r="B28" s="52">
        <f>'БазНорм (обр)'!C20</f>
        <v>0</v>
      </c>
      <c r="C28" s="61">
        <f>'БазНорм (обр)'!J20</f>
        <v>1</v>
      </c>
      <c r="D28" s="122">
        <f>'БазНорм (обр)'!K20</f>
        <v>4152.8633333333337</v>
      </c>
      <c r="E28" s="122">
        <f t="shared" si="0"/>
        <v>0</v>
      </c>
      <c r="F28" s="192"/>
    </row>
    <row r="29" spans="1:10" s="75" customFormat="1" outlineLevel="3" x14ac:dyDescent="0.3">
      <c r="A29" s="26" t="str">
        <f>'БазНорм (обр)'!A21</f>
        <v>Журнал: Лена рукоделия</v>
      </c>
      <c r="B29" s="52">
        <f>'БазНорм (обр)'!C21</f>
        <v>0</v>
      </c>
      <c r="C29" s="61">
        <f>'БазНорм (обр)'!J21</f>
        <v>1</v>
      </c>
      <c r="D29" s="122">
        <f>'БазНорм (обр)'!K21</f>
        <v>650.57000000000005</v>
      </c>
      <c r="E29" s="122">
        <f t="shared" si="0"/>
        <v>0</v>
      </c>
      <c r="F29" s="192"/>
    </row>
    <row r="30" spans="1:10" s="75" customFormat="1" ht="26" outlineLevel="3" x14ac:dyDescent="0.3">
      <c r="A30" s="26" t="str">
        <f>'БазНорм (обр)'!A22</f>
        <v>Нормативные документы образовательного учреждения</v>
      </c>
      <c r="B30" s="52">
        <f>'БазНорм (обр)'!C22</f>
        <v>1.2003360941063496E-3</v>
      </c>
      <c r="C30" s="61">
        <f>'БазНорм (обр)'!J22</f>
        <v>1</v>
      </c>
      <c r="D30" s="122">
        <f>'БазНорм (обр)'!K22</f>
        <v>3898.5533333333333</v>
      </c>
      <c r="E30" s="122">
        <f t="shared" si="0"/>
        <v>4.6795742807986231</v>
      </c>
      <c r="F30" s="192"/>
    </row>
    <row r="31" spans="1:10" s="75" customFormat="1" ht="26" outlineLevel="3" x14ac:dyDescent="0.3">
      <c r="A31" s="26" t="str">
        <f>'БазНорм (обр)'!A23</f>
        <v>Журнал: Практика работы в школе</v>
      </c>
      <c r="B31" s="52">
        <f>'БазНорм (обр)'!C23</f>
        <v>0</v>
      </c>
      <c r="C31" s="61">
        <f>'БазНорм (обр)'!J23</f>
        <v>1</v>
      </c>
      <c r="D31" s="122">
        <f>'БазНорм (обр)'!K23</f>
        <v>2880.0966666666668</v>
      </c>
      <c r="E31" s="122">
        <f t="shared" si="0"/>
        <v>0</v>
      </c>
      <c r="F31" s="192"/>
    </row>
    <row r="32" spans="1:10" s="75" customFormat="1" ht="26" outlineLevel="3" x14ac:dyDescent="0.3">
      <c r="A32" s="26" t="str">
        <f>'БазНорм (обр)'!A24</f>
        <v>Журнал: Профессиональная библиотека</v>
      </c>
      <c r="B32" s="52">
        <f>'БазНорм (обр)'!C24</f>
        <v>0</v>
      </c>
      <c r="C32" s="61">
        <f>'БазНорм (обр)'!J24</f>
        <v>1</v>
      </c>
      <c r="D32" s="122">
        <f>'БазНорм (обр)'!K24</f>
        <v>1519.4233333333334</v>
      </c>
      <c r="E32" s="122">
        <f t="shared" si="0"/>
        <v>0</v>
      </c>
      <c r="F32" s="192"/>
    </row>
    <row r="33" spans="1:6" s="75" customFormat="1" outlineLevel="3" x14ac:dyDescent="0.3">
      <c r="A33" s="26" t="str">
        <f>'БазНорм (обр)'!A25</f>
        <v>Справочник руководителя</v>
      </c>
      <c r="B33" s="52">
        <f>'БазНорм (обр)'!C25</f>
        <v>1.2003360941063496E-3</v>
      </c>
      <c r="C33" s="61">
        <f>'БазНорм (обр)'!J25</f>
        <v>1</v>
      </c>
      <c r="D33" s="122">
        <f>'БазНорм (обр)'!K25</f>
        <v>5374.4366666666665</v>
      </c>
      <c r="E33" s="122">
        <f t="shared" si="0"/>
        <v>6.4511303164886158</v>
      </c>
      <c r="F33" s="192"/>
    </row>
    <row r="34" spans="1:6" s="75" customFormat="1" ht="26" outlineLevel="3" x14ac:dyDescent="0.3">
      <c r="A34" s="26" t="str">
        <f>'БазНорм (обр)'!A26</f>
        <v>Юридический журнал директора школы</v>
      </c>
      <c r="B34" s="52">
        <f>'БазНорм (обр)'!C26</f>
        <v>1.2003360941063496E-3</v>
      </c>
      <c r="C34" s="61">
        <f>'БазНорм (обр)'!J26</f>
        <v>1</v>
      </c>
      <c r="D34" s="122">
        <f>'БазНорм (обр)'!K26</f>
        <v>2784.8700000000003</v>
      </c>
      <c r="E34" s="122">
        <f t="shared" si="0"/>
        <v>3.3427799783939505</v>
      </c>
      <c r="F34" s="192"/>
    </row>
    <row r="35" spans="1:6" s="75" customFormat="1" outlineLevel="3" x14ac:dyDescent="0.3">
      <c r="A35" s="26" t="str">
        <f>'БазНорм (обр)'!A27</f>
        <v xml:space="preserve">Детская энциклопедия </v>
      </c>
      <c r="B35" s="52">
        <f>'БазНорм (обр)'!C27</f>
        <v>0</v>
      </c>
      <c r="C35" s="61">
        <f>'БазНорм (обр)'!J27</f>
        <v>1</v>
      </c>
      <c r="D35" s="122">
        <f>'БазНорм (обр)'!K27</f>
        <v>675.24000000000012</v>
      </c>
      <c r="E35" s="122">
        <f t="shared" si="0"/>
        <v>0</v>
      </c>
      <c r="F35" s="192"/>
    </row>
    <row r="36" spans="1:6" s="75" customFormat="1" ht="26" outlineLevel="3" x14ac:dyDescent="0.3">
      <c r="A36" s="26" t="str">
        <f>'БазНорм (обр)'!A28</f>
        <v>Журнал: Добрая дорога детства</v>
      </c>
      <c r="B36" s="52">
        <f>'БазНорм (обр)'!C28</f>
        <v>0</v>
      </c>
      <c r="C36" s="61">
        <f>'БазНорм (обр)'!J28</f>
        <v>1</v>
      </c>
      <c r="D36" s="122">
        <f>'БазНорм (обр)'!K28</f>
        <v>483.35999999999996</v>
      </c>
      <c r="E36" s="122">
        <f t="shared" si="0"/>
        <v>0</v>
      </c>
      <c r="F36" s="192"/>
    </row>
    <row r="37" spans="1:6" s="75" customFormat="1" ht="26" outlineLevel="3" x14ac:dyDescent="0.3">
      <c r="A37" s="26" t="str">
        <f>'БазНорм (обр)'!A29</f>
        <v>Справочник классного руководителя</v>
      </c>
      <c r="B37" s="52">
        <f>'БазНорм (обр)'!C29</f>
        <v>0</v>
      </c>
      <c r="C37" s="61">
        <f>'БазНорм (обр)'!J29</f>
        <v>1</v>
      </c>
      <c r="D37" s="122">
        <f>'БазНорм (обр)'!K29</f>
        <v>3829.6933333333332</v>
      </c>
      <c r="E37" s="122">
        <f t="shared" si="0"/>
        <v>0</v>
      </c>
      <c r="F37" s="192"/>
    </row>
    <row r="38" spans="1:6" s="75" customFormat="1" ht="26" outlineLevel="3" x14ac:dyDescent="0.3">
      <c r="A38" s="26" t="str">
        <f>'БазНорм (обр)'!A30</f>
        <v>Справочник заместителя директора школы</v>
      </c>
      <c r="B38" s="52">
        <f>'БазНорм (обр)'!C30</f>
        <v>1.2003360941063496E-3</v>
      </c>
      <c r="C38" s="61">
        <f>'БазНорм (обр)'!J30</f>
        <v>1</v>
      </c>
      <c r="D38" s="122">
        <f>'БазНорм (обр)'!K30</f>
        <v>8785.5866666666661</v>
      </c>
      <c r="E38" s="122">
        <f t="shared" si="0"/>
        <v>10.54565678389949</v>
      </c>
      <c r="F38" s="192"/>
    </row>
    <row r="39" spans="1:6" s="75" customFormat="1" outlineLevel="3" x14ac:dyDescent="0.3">
      <c r="A39" s="26" t="str">
        <f>'БазНорм (обр)'!A31</f>
        <v>Журнал: Школьный психолог</v>
      </c>
      <c r="B39" s="52">
        <f>'БазНорм (обр)'!C31</f>
        <v>0</v>
      </c>
      <c r="C39" s="61">
        <f>'БазНорм (обр)'!J31</f>
        <v>1</v>
      </c>
      <c r="D39" s="122">
        <f>'БазНорм (обр)'!K31</f>
        <v>2492.1033333333335</v>
      </c>
      <c r="E39" s="122">
        <f t="shared" si="0"/>
        <v>0</v>
      </c>
      <c r="F39" s="192"/>
    </row>
    <row r="40" spans="1:6" s="75" customFormat="1" outlineLevel="3" x14ac:dyDescent="0.3">
      <c r="A40" s="26" t="str">
        <f>'БазНорм (обр)'!A32</f>
        <v>Журнал: Последний звонок</v>
      </c>
      <c r="B40" s="52">
        <f>'БазНорм (обр)'!C32</f>
        <v>0</v>
      </c>
      <c r="C40" s="61">
        <f>'БазНорм (обр)'!J32</f>
        <v>1</v>
      </c>
      <c r="D40" s="122">
        <f>'БазНорм (обр)'!K32</f>
        <v>243.67999999999998</v>
      </c>
      <c r="E40" s="122">
        <f t="shared" si="0"/>
        <v>0</v>
      </c>
      <c r="F40" s="192"/>
    </row>
    <row r="41" spans="1:6" s="75" customFormat="1" outlineLevel="3" x14ac:dyDescent="0.3">
      <c r="A41" s="26" t="str">
        <f>'БазНорм (обр)'!A33</f>
        <v>Журнал: Шишкин лес</v>
      </c>
      <c r="B41" s="52">
        <f>'БазНорм (обр)'!C33</f>
        <v>0</v>
      </c>
      <c r="C41" s="61">
        <f>'БазНорм (обр)'!J33</f>
        <v>1</v>
      </c>
      <c r="D41" s="122">
        <f>'БазНорм (обр)'!K33</f>
        <v>729.63</v>
      </c>
      <c r="E41" s="122">
        <f t="shared" si="0"/>
        <v>0</v>
      </c>
      <c r="F41" s="192"/>
    </row>
    <row r="42" spans="1:6" s="75" customFormat="1" outlineLevel="3" x14ac:dyDescent="0.3">
      <c r="A42" s="26" t="str">
        <f>'БазНорм (обр)'!A34</f>
        <v>Журнал: ГЕОленок</v>
      </c>
      <c r="B42" s="52">
        <f>'БазНорм (обр)'!C34</f>
        <v>0</v>
      </c>
      <c r="C42" s="61">
        <f>'БазНорм (обр)'!J34</f>
        <v>1</v>
      </c>
      <c r="D42" s="122">
        <f>'БазНорм (обр)'!K34</f>
        <v>975.71333333333325</v>
      </c>
      <c r="E42" s="122">
        <f t="shared" si="0"/>
        <v>0</v>
      </c>
      <c r="F42" s="192"/>
    </row>
    <row r="43" spans="1:6" s="75" customFormat="1" outlineLevel="3" x14ac:dyDescent="0.3">
      <c r="A43" s="26" t="str">
        <f>'БазНорм (обр)'!A35</f>
        <v>Журнал: Добрята</v>
      </c>
      <c r="B43" s="52">
        <f>'БазНорм (обр)'!C35</f>
        <v>0</v>
      </c>
      <c r="C43" s="61">
        <f>'БазНорм (обр)'!J35</f>
        <v>1</v>
      </c>
      <c r="D43" s="122">
        <f>'БазНорм (обр)'!K35</f>
        <v>555.23333333333323</v>
      </c>
      <c r="E43" s="122">
        <f t="shared" si="0"/>
        <v>0</v>
      </c>
      <c r="F43" s="192"/>
    </row>
    <row r="44" spans="1:6" s="75" customFormat="1" outlineLevel="3" x14ac:dyDescent="0.3">
      <c r="A44" s="26" t="str">
        <f>'БазНорм (обр)'!A36</f>
        <v>Журнал: Бумеранг</v>
      </c>
      <c r="B44" s="52">
        <f>'БазНорм (обр)'!C36</f>
        <v>0</v>
      </c>
      <c r="C44" s="61">
        <f>'БазНорм (обр)'!J36</f>
        <v>1</v>
      </c>
      <c r="D44" s="122">
        <f>'БазНорм (обр)'!K36</f>
        <v>1560.5833333333333</v>
      </c>
      <c r="E44" s="122">
        <f t="shared" si="0"/>
        <v>0</v>
      </c>
      <c r="F44" s="192"/>
    </row>
    <row r="45" spans="1:6" s="75" customFormat="1" outlineLevel="3" x14ac:dyDescent="0.3">
      <c r="A45" s="26" t="str">
        <f>'БазНорм (обр)'!A37</f>
        <v>Журнал :Веселые животные</v>
      </c>
      <c r="B45" s="52">
        <f>'БазНорм (обр)'!C37</f>
        <v>0</v>
      </c>
      <c r="C45" s="61">
        <f>'БазНорм (обр)'!J37</f>
        <v>1</v>
      </c>
      <c r="D45" s="122">
        <f>'БазНорм (обр)'!K37</f>
        <v>786.48666666666668</v>
      </c>
      <c r="E45" s="122">
        <f t="shared" si="0"/>
        <v>0</v>
      </c>
      <c r="F45" s="192"/>
    </row>
    <row r="46" spans="1:6" s="75" customFormat="1" outlineLevel="3" x14ac:dyDescent="0.3">
      <c r="A46" s="26" t="str">
        <f>'БазНорм (обр)'!A38</f>
        <v>Журнал: Весёлый затейник</v>
      </c>
      <c r="B46" s="52">
        <f>'БазНорм (обр)'!C38</f>
        <v>0</v>
      </c>
      <c r="C46" s="61">
        <f>'БазНорм (обр)'!J38</f>
        <v>1</v>
      </c>
      <c r="D46" s="122">
        <f>'БазНорм (обр)'!K38</f>
        <v>488.7833333333333</v>
      </c>
      <c r="E46" s="122">
        <f t="shared" si="0"/>
        <v>0</v>
      </c>
      <c r="F46" s="192"/>
    </row>
    <row r="47" spans="1:6" s="75" customFormat="1" outlineLevel="3" x14ac:dyDescent="0.3">
      <c r="A47" s="26" t="str">
        <f>'БазНорм (обр)'!A39</f>
        <v>Журнал: Все звёзды</v>
      </c>
      <c r="B47" s="52">
        <f>'БазНорм (обр)'!C39</f>
        <v>0</v>
      </c>
      <c r="C47" s="61">
        <f>'БазНорм (обр)'!J39</f>
        <v>1</v>
      </c>
      <c r="D47" s="122">
        <f>'БазНорм (обр)'!K39</f>
        <v>1488.61</v>
      </c>
      <c r="E47" s="122">
        <f t="shared" si="0"/>
        <v>0</v>
      </c>
      <c r="F47" s="192"/>
    </row>
    <row r="48" spans="1:6" s="75" customFormat="1" ht="26" outlineLevel="3" x14ac:dyDescent="0.3">
      <c r="A48" s="26" t="str">
        <f>'БазНорм (обр)'!A40</f>
        <v>Журнал: Девчонки-мальчишки. Школа ремесел</v>
      </c>
      <c r="B48" s="52">
        <f>'БазНорм (обр)'!C40</f>
        <v>0</v>
      </c>
      <c r="C48" s="61">
        <f>'БазНорм (обр)'!J40</f>
        <v>1</v>
      </c>
      <c r="D48" s="122">
        <f>'БазНорм (обр)'!K40</f>
        <v>2156.1133333333332</v>
      </c>
      <c r="E48" s="122">
        <f t="shared" si="0"/>
        <v>0</v>
      </c>
      <c r="F48" s="192"/>
    </row>
    <row r="49" spans="1:6" s="75" customFormat="1" ht="26" outlineLevel="3" x14ac:dyDescent="0.3">
      <c r="A49" s="26" t="str">
        <f>'БазНорм (обр)'!A41</f>
        <v>Журнал: Управление современной школой</v>
      </c>
      <c r="B49" s="52">
        <f>'БазНорм (обр)'!C41</f>
        <v>0</v>
      </c>
      <c r="C49" s="61">
        <f>'БазНорм (обр)'!J41</f>
        <v>1</v>
      </c>
      <c r="D49" s="122">
        <f>'БазНорм (обр)'!K41</f>
        <v>1364.0166666666667</v>
      </c>
      <c r="E49" s="122">
        <f t="shared" si="0"/>
        <v>0</v>
      </c>
      <c r="F49" s="192"/>
    </row>
    <row r="50" spans="1:6" s="75" customFormat="1" outlineLevel="3" x14ac:dyDescent="0.3">
      <c r="A50" s="26" t="str">
        <f>'БазНорм (обр)'!A42</f>
        <v>Журнал : Клёпа</v>
      </c>
      <c r="B50" s="52">
        <f>'БазНорм (обр)'!C42</f>
        <v>0</v>
      </c>
      <c r="C50" s="61">
        <f>'БазНорм (обр)'!J42</f>
        <v>1</v>
      </c>
      <c r="D50" s="122">
        <f>'БазНорм (обр)'!K42</f>
        <v>1301.9666666666667</v>
      </c>
      <c r="E50" s="122">
        <f t="shared" si="0"/>
        <v>0</v>
      </c>
      <c r="F50" s="192"/>
    </row>
    <row r="51" spans="1:6" s="75" customFormat="1" outlineLevel="3" x14ac:dyDescent="0.3">
      <c r="A51" s="26" t="str">
        <f>'БазНорм (обр)'!A43</f>
        <v>Журнал: Компьютер MOUSE</v>
      </c>
      <c r="B51" s="52">
        <f>'БазНорм (обр)'!C43</f>
        <v>0</v>
      </c>
      <c r="C51" s="61">
        <f>'БазНорм (обр)'!J43</f>
        <v>1</v>
      </c>
      <c r="D51" s="122">
        <f>'БазНорм (обр)'!K43</f>
        <v>891.30333333333328</v>
      </c>
      <c r="E51" s="122">
        <f t="shared" si="0"/>
        <v>0</v>
      </c>
      <c r="F51" s="192"/>
    </row>
    <row r="52" spans="1:6" s="75" customFormat="1" outlineLevel="3" x14ac:dyDescent="0.3">
      <c r="A52" s="26" t="str">
        <f>'БазНорм (обр)'!A44</f>
        <v>Журнал: Спасайкин</v>
      </c>
      <c r="B52" s="52">
        <f>'БазНорм (обр)'!C44</f>
        <v>1.2003360941063496E-3</v>
      </c>
      <c r="C52" s="61">
        <f>'БазНорм (обр)'!J44</f>
        <v>1</v>
      </c>
      <c r="D52" s="122">
        <f>'БазНорм (обр)'!K44</f>
        <v>1569.04</v>
      </c>
      <c r="E52" s="122">
        <f t="shared" si="0"/>
        <v>1.8833753450966269</v>
      </c>
      <c r="F52" s="192"/>
    </row>
    <row r="53" spans="1:6" s="75" customFormat="1" ht="26" outlineLevel="3" x14ac:dyDescent="0.3">
      <c r="A53" s="26" t="str">
        <f>'БазНорм (обр)'!A45</f>
        <v>Журнал: Мир техники для детей</v>
      </c>
      <c r="B53" s="52">
        <f>'БазНорм (обр)'!C45</f>
        <v>0</v>
      </c>
      <c r="C53" s="61">
        <f>'БазНорм (обр)'!J45</f>
        <v>1</v>
      </c>
      <c r="D53" s="122">
        <f>'БазНорм (обр)'!K45</f>
        <v>1734.6766666666665</v>
      </c>
      <c r="E53" s="122">
        <f t="shared" si="0"/>
        <v>0</v>
      </c>
      <c r="F53" s="192"/>
    </row>
    <row r="54" spans="1:6" s="75" customFormat="1" outlineLevel="3" x14ac:dyDescent="0.3">
      <c r="A54" s="26" t="str">
        <f>'БазНорм (обр)'!A46</f>
        <v>Журнал: Читайка</v>
      </c>
      <c r="B54" s="52">
        <f>'БазНорм (обр)'!C46</f>
        <v>0</v>
      </c>
      <c r="C54" s="61">
        <f>'БазНорм (обр)'!J46</f>
        <v>1</v>
      </c>
      <c r="D54" s="122">
        <f>'БазНорм (обр)'!K46</f>
        <v>2052.0733333333333</v>
      </c>
      <c r="E54" s="122">
        <f t="shared" si="0"/>
        <v>0</v>
      </c>
      <c r="F54" s="192"/>
    </row>
    <row r="55" spans="1:6" s="75" customFormat="1" ht="26" outlineLevel="3" x14ac:dyDescent="0.3">
      <c r="A55" s="26" t="str">
        <f>'БазНорм (обр)'!A47</f>
        <v>Журнал: Чудеса и приключения-детям-ЧИП</v>
      </c>
      <c r="B55" s="52">
        <f>'БазНорм (обр)'!C47</f>
        <v>0</v>
      </c>
      <c r="C55" s="61">
        <f>'БазНорм (обр)'!J47</f>
        <v>1</v>
      </c>
      <c r="D55" s="122">
        <f>'БазНорм (обр)'!K47</f>
        <v>690.03333333333342</v>
      </c>
      <c r="E55" s="122">
        <f t="shared" si="0"/>
        <v>0</v>
      </c>
      <c r="F55" s="192"/>
    </row>
    <row r="56" spans="1:6" s="75" customFormat="1" outlineLevel="3" x14ac:dyDescent="0.3">
      <c r="A56" s="26" t="str">
        <f>'БазНорм (обр)'!A48</f>
        <v>Журнал: Юный краевед</v>
      </c>
      <c r="B56" s="52">
        <f>'БазНорм (обр)'!C48</f>
        <v>0</v>
      </c>
      <c r="C56" s="61">
        <f>'БазНорм (обр)'!J48</f>
        <v>1</v>
      </c>
      <c r="D56" s="122">
        <f>'БазНорм (обр)'!K48</f>
        <v>1650.9000000000003</v>
      </c>
      <c r="E56" s="122">
        <f t="shared" si="0"/>
        <v>0</v>
      </c>
      <c r="F56" s="192"/>
    </row>
    <row r="57" spans="1:6" s="75" customFormat="1" outlineLevel="3" x14ac:dyDescent="0.3">
      <c r="A57" s="26" t="str">
        <f>'БазНорм (обр)'!A49</f>
        <v>Журнал: Игровая библиотека</v>
      </c>
      <c r="B57" s="52">
        <f>'БазНорм (обр)'!C49</f>
        <v>0</v>
      </c>
      <c r="C57" s="61">
        <f>'БазНорм (обр)'!J49</f>
        <v>1</v>
      </c>
      <c r="D57" s="122">
        <f>'БазНорм (обр)'!K49</f>
        <v>1969.9599999999998</v>
      </c>
      <c r="E57" s="122">
        <f t="shared" si="0"/>
        <v>0</v>
      </c>
      <c r="F57" s="192"/>
    </row>
    <row r="58" spans="1:6" s="75" customFormat="1" ht="26" outlineLevel="3" x14ac:dyDescent="0.3">
      <c r="A58" s="26" t="str">
        <f>'БазНорм (обр)'!A50</f>
        <v>Журнал: Школа и производство</v>
      </c>
      <c r="B58" s="52">
        <f>'БазНорм (обр)'!C50</f>
        <v>0</v>
      </c>
      <c r="C58" s="61">
        <f>'БазНорм (обр)'!J50</f>
        <v>1</v>
      </c>
      <c r="D58" s="122">
        <f>'БазНорм (обр)'!K50</f>
        <v>5537.1500000000005</v>
      </c>
      <c r="E58" s="122">
        <f t="shared" si="0"/>
        <v>0</v>
      </c>
      <c r="F58" s="192"/>
    </row>
    <row r="59" spans="1:6" s="75" customFormat="1" outlineLevel="3" x14ac:dyDescent="0.3">
      <c r="A59" s="26" t="str">
        <f>'БазНорм (обр)'!A51</f>
        <v>Журнал: Веселый урок</v>
      </c>
      <c r="B59" s="52">
        <f>'БазНорм (обр)'!C51</f>
        <v>0</v>
      </c>
      <c r="C59" s="61">
        <f>'БазНорм (обр)'!J51</f>
        <v>1</v>
      </c>
      <c r="D59" s="122">
        <f>'БазНорм (обр)'!K51</f>
        <v>882.0100000000001</v>
      </c>
      <c r="E59" s="122">
        <f t="shared" si="0"/>
        <v>0</v>
      </c>
      <c r="F59" s="192"/>
    </row>
    <row r="60" spans="1:6" s="75" customFormat="1" outlineLevel="3" x14ac:dyDescent="0.3">
      <c r="A60" s="26" t="str">
        <f>'БазНорм (обр)'!A52</f>
        <v>Журнал: ОБЖ</v>
      </c>
      <c r="B60" s="52">
        <f>'БазНорм (обр)'!C52</f>
        <v>0</v>
      </c>
      <c r="C60" s="61">
        <f>'БазНорм (обр)'!J52</f>
        <v>1</v>
      </c>
      <c r="D60" s="122">
        <f>'БазНорм (обр)'!K52</f>
        <v>866.4</v>
      </c>
      <c r="E60" s="122">
        <f t="shared" si="0"/>
        <v>0</v>
      </c>
      <c r="F60" s="192"/>
    </row>
    <row r="61" spans="1:6" s="75" customFormat="1" outlineLevel="3" x14ac:dyDescent="0.3">
      <c r="A61" s="26" t="str">
        <f>'БазНорм (обр)'!A53</f>
        <v>Журнал: Мурзилка</v>
      </c>
      <c r="B61" s="52">
        <f>'БазНорм (обр)'!C53</f>
        <v>0</v>
      </c>
      <c r="C61" s="61">
        <f>'БазНорм (обр)'!J53</f>
        <v>1</v>
      </c>
      <c r="D61" s="122">
        <f>'БазНорм (обр)'!K53</f>
        <v>950.5100000000001</v>
      </c>
      <c r="E61" s="122">
        <f t="shared" si="0"/>
        <v>0</v>
      </c>
      <c r="F61" s="192"/>
    </row>
    <row r="62" spans="1:6" s="75" customFormat="1" outlineLevel="3" x14ac:dyDescent="0.3">
      <c r="A62" s="26" t="str">
        <f>'БазНорм (обр)'!A54</f>
        <v>Журнал: Юный эрудит</v>
      </c>
      <c r="B62" s="52">
        <f>'БазНорм (обр)'!C54</f>
        <v>0</v>
      </c>
      <c r="C62" s="61">
        <f>'БазНорм (обр)'!J54</f>
        <v>1</v>
      </c>
      <c r="D62" s="122">
        <f>'БазНорм (обр)'!K54</f>
        <v>436.38333333333338</v>
      </c>
      <c r="E62" s="122">
        <f t="shared" si="0"/>
        <v>0</v>
      </c>
      <c r="F62" s="192"/>
    </row>
    <row r="63" spans="1:6" s="75" customFormat="1" outlineLevel="3" x14ac:dyDescent="0.3">
      <c r="A63" s="26" t="str">
        <f>'БазНорм (обр)'!A55</f>
        <v>Журнал: Педсовет</v>
      </c>
      <c r="B63" s="52">
        <f>'БазНорм (обр)'!C55</f>
        <v>0</v>
      </c>
      <c r="C63" s="61">
        <f>'БазНорм (обр)'!J55</f>
        <v>1</v>
      </c>
      <c r="D63" s="122">
        <f>'БазНорм (обр)'!K55</f>
        <v>238.34</v>
      </c>
      <c r="E63" s="122">
        <f t="shared" si="0"/>
        <v>0</v>
      </c>
      <c r="F63" s="192"/>
    </row>
    <row r="64" spans="1:6" s="75" customFormat="1" outlineLevel="3" x14ac:dyDescent="0.3">
      <c r="A64" s="26" t="str">
        <f>'БазНорм (обр)'!A56</f>
        <v>Журнал: Методист</v>
      </c>
      <c r="B64" s="52">
        <f>'БазНорм (обр)'!C56</f>
        <v>0</v>
      </c>
      <c r="C64" s="61">
        <f>'БазНорм (обр)'!J56</f>
        <v>1</v>
      </c>
      <c r="D64" s="122">
        <f>'БазНорм (обр)'!K56</f>
        <v>1476.32</v>
      </c>
      <c r="E64" s="122">
        <f t="shared" si="0"/>
        <v>0</v>
      </c>
      <c r="F64" s="192"/>
    </row>
    <row r="65" spans="1:6" s="75" customFormat="1" outlineLevel="3" x14ac:dyDescent="0.3">
      <c r="A65" s="26" t="str">
        <f>'БазНорм (обр)'!A57</f>
        <v>Журнал: Огонек</v>
      </c>
      <c r="B65" s="52">
        <f>'БазНорм (обр)'!C57</f>
        <v>0</v>
      </c>
      <c r="C65" s="61">
        <f>'БазНорм (обр)'!J57</f>
        <v>1</v>
      </c>
      <c r="D65" s="122">
        <f>'БазНорм (обр)'!K57</f>
        <v>806.31666666666661</v>
      </c>
      <c r="E65" s="122">
        <f t="shared" si="0"/>
        <v>0</v>
      </c>
      <c r="F65" s="192"/>
    </row>
    <row r="66" spans="1:6" s="75" customFormat="1" outlineLevel="3" x14ac:dyDescent="0.3">
      <c r="A66" s="26" t="str">
        <f>'БазНорм (обр)'!A58</f>
        <v>Журнал: Отчего и почему</v>
      </c>
      <c r="B66" s="52">
        <f>'БазНорм (обр)'!C58</f>
        <v>0</v>
      </c>
      <c r="C66" s="61">
        <f>'БазНорм (обр)'!J58</f>
        <v>1</v>
      </c>
      <c r="D66" s="122">
        <f>'БазНорм (обр)'!K58</f>
        <v>901.74333333333334</v>
      </c>
      <c r="E66" s="122">
        <f t="shared" si="0"/>
        <v>0</v>
      </c>
      <c r="F66" s="192"/>
    </row>
    <row r="67" spans="1:6" s="76" customFormat="1" outlineLevel="2" x14ac:dyDescent="0.3">
      <c r="A67" s="33" t="s">
        <v>478</v>
      </c>
      <c r="B67" s="51" t="s">
        <v>3</v>
      </c>
      <c r="C67" s="50" t="s">
        <v>3</v>
      </c>
      <c r="D67" s="123" t="s">
        <v>3</v>
      </c>
      <c r="E67" s="123">
        <f>SUM(E68:E84)</f>
        <v>0</v>
      </c>
      <c r="F67" s="192"/>
    </row>
    <row r="68" spans="1:6" s="75" customFormat="1" outlineLevel="3" x14ac:dyDescent="0.3">
      <c r="A68" s="26" t="str">
        <f>'БазНорм (обр)'!A60</f>
        <v>Шкаф для документов</v>
      </c>
      <c r="B68" s="52">
        <f>'БазНорм (обр)'!C60</f>
        <v>0</v>
      </c>
      <c r="C68" s="61">
        <f>'БазНорм (обр)'!J60</f>
        <v>5</v>
      </c>
      <c r="D68" s="122">
        <f>'БазНорм (обр)'!K60</f>
        <v>6845</v>
      </c>
      <c r="E68" s="122">
        <f t="shared" si="0"/>
        <v>0</v>
      </c>
      <c r="F68" s="192"/>
    </row>
    <row r="69" spans="1:6" s="75" customFormat="1" outlineLevel="3" x14ac:dyDescent="0.3">
      <c r="A69" s="26" t="str">
        <f>'БазНорм (обр)'!A61</f>
        <v>Шкаф книжный</v>
      </c>
      <c r="B69" s="52">
        <f>'БазНорм (обр)'!C61</f>
        <v>0</v>
      </c>
      <c r="C69" s="61">
        <f>'БазНорм (обр)'!J61</f>
        <v>5</v>
      </c>
      <c r="D69" s="122">
        <f>'БазНорм (обр)'!K61</f>
        <v>4120</v>
      </c>
      <c r="E69" s="122">
        <f t="shared" si="0"/>
        <v>0</v>
      </c>
      <c r="F69" s="192"/>
    </row>
    <row r="70" spans="1:6" s="75" customFormat="1" outlineLevel="3" x14ac:dyDescent="0.3">
      <c r="A70" s="26" t="str">
        <f>'БазНорм (обр)'!A62</f>
        <v>Шкаф под ключи</v>
      </c>
      <c r="B70" s="52">
        <f>'БазНорм (обр)'!C62</f>
        <v>0</v>
      </c>
      <c r="C70" s="61">
        <f>'БазНорм (обр)'!J62</f>
        <v>5</v>
      </c>
      <c r="D70" s="122">
        <f>'БазНорм (обр)'!K62</f>
        <v>1274.6666666666667</v>
      </c>
      <c r="E70" s="122">
        <f t="shared" si="0"/>
        <v>0</v>
      </c>
      <c r="F70" s="192"/>
    </row>
    <row r="71" spans="1:6" s="75" customFormat="1" outlineLevel="3" x14ac:dyDescent="0.3">
      <c r="A71" s="26" t="str">
        <f>'БазНорм (обр)'!A63</f>
        <v>Шкаф для одежды</v>
      </c>
      <c r="B71" s="52">
        <f>'БазНорм (обр)'!C63</f>
        <v>0</v>
      </c>
      <c r="C71" s="61">
        <f>'БазНорм (обр)'!J63</f>
        <v>5</v>
      </c>
      <c r="D71" s="122">
        <f>'БазНорм (обр)'!K63</f>
        <v>8696.6666666666661</v>
      </c>
      <c r="E71" s="122">
        <f t="shared" si="0"/>
        <v>0</v>
      </c>
      <c r="F71" s="192"/>
    </row>
    <row r="72" spans="1:6" s="75" customFormat="1" outlineLevel="3" x14ac:dyDescent="0.3">
      <c r="A72" s="26" t="str">
        <f>'БазНорм (обр)'!A64</f>
        <v>Стеллаж для библиотеки</v>
      </c>
      <c r="B72" s="52">
        <f>'БазНорм (обр)'!C64</f>
        <v>0</v>
      </c>
      <c r="C72" s="61">
        <f>'БазНорм (обр)'!J64</f>
        <v>5</v>
      </c>
      <c r="D72" s="122">
        <f>'БазНорм (обр)'!K64</f>
        <v>3510.16</v>
      </c>
      <c r="E72" s="122">
        <f t="shared" si="0"/>
        <v>0</v>
      </c>
      <c r="F72" s="192"/>
    </row>
    <row r="73" spans="1:6" s="75" customFormat="1" ht="26" outlineLevel="3" x14ac:dyDescent="0.3">
      <c r="A73" s="26" t="str">
        <f>'БазНорм (обр)'!A65</f>
        <v>Стеллаж библиотечный 2х сторон</v>
      </c>
      <c r="B73" s="52">
        <f>'БазНорм (обр)'!C65</f>
        <v>0</v>
      </c>
      <c r="C73" s="61">
        <f>'БазНорм (обр)'!J65</f>
        <v>5</v>
      </c>
      <c r="D73" s="122">
        <f>'БазНорм (обр)'!K65</f>
        <v>9230</v>
      </c>
      <c r="E73" s="122">
        <f t="shared" si="0"/>
        <v>0</v>
      </c>
      <c r="F73" s="192"/>
    </row>
    <row r="74" spans="1:6" s="75" customFormat="1" ht="26" outlineLevel="3" x14ac:dyDescent="0.3">
      <c r="A74" s="26" t="str">
        <f>'БазНорм (обр)'!A66</f>
        <v>Стеллаж библиотечный односторонний</v>
      </c>
      <c r="B74" s="52">
        <f>'БазНорм (обр)'!C66</f>
        <v>0</v>
      </c>
      <c r="C74" s="61">
        <f>'БазНорм (обр)'!J66</f>
        <v>5</v>
      </c>
      <c r="D74" s="122">
        <f>'БазНорм (обр)'!K66</f>
        <v>7546.666666666667</v>
      </c>
      <c r="E74" s="122">
        <f t="shared" si="0"/>
        <v>0</v>
      </c>
      <c r="F74" s="192"/>
    </row>
    <row r="75" spans="1:6" s="75" customFormat="1" outlineLevel="3" x14ac:dyDescent="0.3">
      <c r="A75" s="26" t="str">
        <f>'БазНорм (обр)'!A67</f>
        <v>Полка для раз. досок</v>
      </c>
      <c r="B75" s="52">
        <f>'БазНорм (обр)'!C67</f>
        <v>0</v>
      </c>
      <c r="C75" s="61">
        <f>'БазНорм (обр)'!J67</f>
        <v>5</v>
      </c>
      <c r="D75" s="122">
        <f>'БазНорм (обр)'!K67</f>
        <v>8756.6666666666661</v>
      </c>
      <c r="E75" s="122">
        <f t="shared" si="0"/>
        <v>0</v>
      </c>
      <c r="F75" s="192"/>
    </row>
    <row r="76" spans="1:6" s="75" customFormat="1" outlineLevel="3" x14ac:dyDescent="0.3">
      <c r="A76" s="26" t="str">
        <f>'БазНорм (обр)'!A68</f>
        <v>Доска аудиторная</v>
      </c>
      <c r="B76" s="52">
        <f>'БазНорм (обр)'!C68</f>
        <v>0</v>
      </c>
      <c r="C76" s="61">
        <f>'БазНорм (обр)'!J68</f>
        <v>5</v>
      </c>
      <c r="D76" s="122">
        <f>'БазНорм (обр)'!K68</f>
        <v>3951.0050000000001</v>
      </c>
      <c r="E76" s="122">
        <f t="shared" si="0"/>
        <v>0</v>
      </c>
      <c r="F76" s="192"/>
    </row>
    <row r="77" spans="1:6" s="75" customFormat="1" outlineLevel="3" x14ac:dyDescent="0.3">
      <c r="A77" s="26" t="str">
        <f>'БазНорм (обр)'!A69</f>
        <v>Доска пробковая</v>
      </c>
      <c r="B77" s="52">
        <f>'БазНорм (обр)'!C69</f>
        <v>0</v>
      </c>
      <c r="C77" s="61">
        <f>'БазНорм (обр)'!J69</f>
        <v>5</v>
      </c>
      <c r="D77" s="122">
        <f>'БазНорм (обр)'!K69</f>
        <v>3123.8166666666671</v>
      </c>
      <c r="E77" s="122">
        <f t="shared" si="0"/>
        <v>0</v>
      </c>
      <c r="F77" s="192"/>
    </row>
    <row r="78" spans="1:6" s="75" customFormat="1" outlineLevel="3" x14ac:dyDescent="0.3">
      <c r="A78" s="26" t="str">
        <f>'БазНорм (обр)'!A70</f>
        <v>Стол эргономичный</v>
      </c>
      <c r="B78" s="52">
        <f>'БазНорм (обр)'!C70</f>
        <v>0</v>
      </c>
      <c r="C78" s="61">
        <f>'БазНорм (обр)'!J70</f>
        <v>5</v>
      </c>
      <c r="D78" s="122">
        <f>'БазНорм (обр)'!K70</f>
        <v>2116.6666666666665</v>
      </c>
      <c r="E78" s="122">
        <f t="shared" si="0"/>
        <v>0</v>
      </c>
      <c r="F78" s="192"/>
    </row>
    <row r="79" spans="1:6" s="75" customFormat="1" outlineLevel="3" x14ac:dyDescent="0.3">
      <c r="A79" s="26" t="str">
        <f>'БазНорм (обр)'!A71</f>
        <v>Стол ученический</v>
      </c>
      <c r="B79" s="52">
        <f>'БазНорм (обр)'!C71</f>
        <v>0</v>
      </c>
      <c r="C79" s="61">
        <f>'БазНорм (обр)'!J71</f>
        <v>5</v>
      </c>
      <c r="D79" s="122">
        <f>'БазНорм (обр)'!K71</f>
        <v>2768</v>
      </c>
      <c r="E79" s="122">
        <f t="shared" si="0"/>
        <v>0</v>
      </c>
      <c r="F79" s="192"/>
    </row>
    <row r="80" spans="1:6" s="75" customFormat="1" outlineLevel="3" x14ac:dyDescent="0.3">
      <c r="A80" s="26" t="str">
        <f>'БазНорм (обр)'!A72</f>
        <v>Стул офисный</v>
      </c>
      <c r="B80" s="52">
        <f>'БазНорм (обр)'!C72</f>
        <v>0</v>
      </c>
      <c r="C80" s="61">
        <f>'БазНорм (обр)'!J72</f>
        <v>5</v>
      </c>
      <c r="D80" s="122">
        <f>'БазНорм (обр)'!K72</f>
        <v>1830</v>
      </c>
      <c r="E80" s="122">
        <f t="shared" si="0"/>
        <v>0</v>
      </c>
      <c r="F80" s="192"/>
    </row>
    <row r="81" spans="1:6" s="75" customFormat="1" outlineLevel="3" x14ac:dyDescent="0.3">
      <c r="A81" s="26" t="str">
        <f>'БазНорм (обр)'!A73</f>
        <v>Стул ученический</v>
      </c>
      <c r="B81" s="52">
        <f>'БазНорм (обр)'!C73</f>
        <v>0</v>
      </c>
      <c r="C81" s="61">
        <f>'БазНорм (обр)'!J73</f>
        <v>5</v>
      </c>
      <c r="D81" s="122">
        <f>'БазНорм (обр)'!K73</f>
        <v>1222.5333333333333</v>
      </c>
      <c r="E81" s="122">
        <f t="shared" si="0"/>
        <v>0</v>
      </c>
      <c r="F81" s="192"/>
    </row>
    <row r="82" spans="1:6" s="75" customFormat="1" outlineLevel="3" x14ac:dyDescent="0.3">
      <c r="A82" s="26" t="str">
        <f>'БазНорм (обр)'!A74</f>
        <v>Тумба подкатная</v>
      </c>
      <c r="B82" s="52">
        <f>'БазНорм (обр)'!C74</f>
        <v>0</v>
      </c>
      <c r="C82" s="61">
        <f>'БазНорм (обр)'!J74</f>
        <v>5</v>
      </c>
      <c r="D82" s="122">
        <f>'БазНорм (обр)'!K74</f>
        <v>2782.3333333333335</v>
      </c>
      <c r="E82" s="122">
        <f t="shared" ref="E82:E145" si="1">B82/C82*D82</f>
        <v>0</v>
      </c>
      <c r="F82" s="192"/>
    </row>
    <row r="83" spans="1:6" s="75" customFormat="1" outlineLevel="3" x14ac:dyDescent="0.3">
      <c r="A83" s="26" t="str">
        <f>'БазНорм (обр)'!A75</f>
        <v>Скамейка 3- местная</v>
      </c>
      <c r="B83" s="52">
        <f>'БазНорм (обр)'!C75</f>
        <v>0</v>
      </c>
      <c r="C83" s="61">
        <f>'БазНорм (обр)'!J75</f>
        <v>5</v>
      </c>
      <c r="D83" s="122">
        <f>'БазНорм (обр)'!K75</f>
        <v>2249</v>
      </c>
      <c r="E83" s="122">
        <f t="shared" si="1"/>
        <v>0</v>
      </c>
      <c r="F83" s="192"/>
    </row>
    <row r="84" spans="1:6" s="75" customFormat="1" ht="26" outlineLevel="3" x14ac:dyDescent="0.3">
      <c r="A84" s="26" t="str">
        <f>'БазНорм (обр)'!A76</f>
        <v>Скамья для раздевалок одностопрнняя</v>
      </c>
      <c r="B84" s="52">
        <f>'БазНорм (обр)'!C76</f>
        <v>0</v>
      </c>
      <c r="C84" s="61">
        <f>'БазНорм (обр)'!J76</f>
        <v>5</v>
      </c>
      <c r="D84" s="122">
        <f>'БазНорм (обр)'!K76</f>
        <v>12866.666666666666</v>
      </c>
      <c r="E84" s="122">
        <f t="shared" si="1"/>
        <v>0</v>
      </c>
      <c r="F84" s="192"/>
    </row>
    <row r="85" spans="1:6" s="75" customFormat="1" outlineLevel="2" x14ac:dyDescent="0.3">
      <c r="A85" s="26" t="str">
        <f>'БазНорм (обр)'!A77</f>
        <v>Грамоты</v>
      </c>
      <c r="B85" s="52">
        <f>'БазНорм (обр)'!C77</f>
        <v>1.3323730644580483</v>
      </c>
      <c r="C85" s="61">
        <f>'БазНорм (обр)'!J77</f>
        <v>1</v>
      </c>
      <c r="D85" s="122">
        <f>'БазНорм (обр)'!K77</f>
        <v>18.099999999999998</v>
      </c>
      <c r="E85" s="122">
        <f>B85*D85</f>
        <v>24.115952466690672</v>
      </c>
      <c r="F85" s="192"/>
    </row>
    <row r="86" spans="1:6" s="75" customFormat="1" ht="39" outlineLevel="2" x14ac:dyDescent="0.3">
      <c r="A86" s="26" t="str">
        <f>'БазНорм (обр)'!A78</f>
        <v>Медали "За особые успехи в учении", аттестаты, приложения к аттестату</v>
      </c>
      <c r="B86" s="52">
        <f>'БазНорм (обр)'!C78</f>
        <v>0.23646621053895089</v>
      </c>
      <c r="C86" s="61">
        <f>'БазНорм (обр)'!J78</f>
        <v>1</v>
      </c>
      <c r="D86" s="122">
        <f>'БазНорм (обр)'!K78</f>
        <v>0</v>
      </c>
      <c r="E86" s="122">
        <f>B86*D86</f>
        <v>0</v>
      </c>
      <c r="F86" s="192"/>
    </row>
    <row r="87" spans="1:6" ht="30" customHeight="1" outlineLevel="1" x14ac:dyDescent="0.3">
      <c r="A87" s="183" t="s">
        <v>7</v>
      </c>
      <c r="B87" s="183"/>
      <c r="C87" s="183"/>
      <c r="D87" s="183"/>
      <c r="E87" s="73">
        <f>E88+E91+E95+E103+E143</f>
        <v>1215.9051304007137</v>
      </c>
      <c r="F87" s="192"/>
    </row>
    <row r="88" spans="1:6" s="60" customFormat="1" ht="26" outlineLevel="2" x14ac:dyDescent="0.3">
      <c r="A88" s="33" t="s">
        <v>475</v>
      </c>
      <c r="B88" s="51" t="s">
        <v>3</v>
      </c>
      <c r="C88" s="51" t="s">
        <v>3</v>
      </c>
      <c r="D88" s="73" t="s">
        <v>3</v>
      </c>
      <c r="E88" s="123">
        <f>SUM(E89:E90)</f>
        <v>205.99823853891434</v>
      </c>
      <c r="F88" s="192"/>
    </row>
    <row r="89" spans="1:6" s="60" customFormat="1" outlineLevel="3" collapsed="1" x14ac:dyDescent="0.3">
      <c r="A89" s="26" t="str">
        <f>'БазНорм (обр)'!A81</f>
        <v>Вода питьевая</v>
      </c>
      <c r="B89" s="52">
        <f>'БазНорм (обр)'!C81</f>
        <v>10.568766513697677</v>
      </c>
      <c r="C89" s="61">
        <f>'БазНорм (обр)'!J81</f>
        <v>1</v>
      </c>
      <c r="D89" s="122">
        <f>'БазНорм (обр)'!K81</f>
        <v>13.157894736842104</v>
      </c>
      <c r="E89" s="122">
        <f>B89*D89</f>
        <v>139.06271728549572</v>
      </c>
      <c r="F89" s="192"/>
    </row>
    <row r="90" spans="1:6" s="60" customFormat="1" outlineLevel="3" x14ac:dyDescent="0.3">
      <c r="A90" s="26" t="str">
        <f>'БазНорм (обр)'!A82</f>
        <v>Одноразовые стаканы</v>
      </c>
      <c r="B90" s="52">
        <f>'БазНорм (обр)'!C82</f>
        <v>52.843832568488388</v>
      </c>
      <c r="C90" s="61">
        <f>'БазНорм (обр)'!J82</f>
        <v>1</v>
      </c>
      <c r="D90" s="122">
        <f>'БазНорм (обр)'!K82</f>
        <v>1.2666666666666666</v>
      </c>
      <c r="E90" s="122">
        <f>B90*D90</f>
        <v>66.935521253418628</v>
      </c>
      <c r="F90" s="192"/>
    </row>
    <row r="91" spans="1:6" s="60" customFormat="1" outlineLevel="2" x14ac:dyDescent="0.3">
      <c r="A91" s="33" t="s">
        <v>474</v>
      </c>
      <c r="B91" s="51" t="s">
        <v>3</v>
      </c>
      <c r="C91" s="34" t="s">
        <v>3</v>
      </c>
      <c r="D91" s="73" t="s">
        <v>3</v>
      </c>
      <c r="E91" s="123">
        <f>SUM(E92:E94)</f>
        <v>99.922279392450434</v>
      </c>
      <c r="F91" s="192"/>
    </row>
    <row r="92" spans="1:6" s="60" customFormat="1" outlineLevel="3" x14ac:dyDescent="0.3">
      <c r="A92" s="26" t="str">
        <f>'БазНорм (обр)'!A84</f>
        <v>Антивирус</v>
      </c>
      <c r="B92" s="52">
        <f>'БазНорм (обр)'!C84</f>
        <v>0.13906271728549574</v>
      </c>
      <c r="C92" s="61">
        <f>'БазНорм (обр)'!J84</f>
        <v>1</v>
      </c>
      <c r="D92" s="122">
        <f>'БазНорм (обр)'!K84</f>
        <v>464.32</v>
      </c>
      <c r="E92" s="122">
        <f t="shared" si="1"/>
        <v>64.569600890001382</v>
      </c>
      <c r="F92" s="192"/>
    </row>
    <row r="93" spans="1:6" s="60" customFormat="1" outlineLevel="3" x14ac:dyDescent="0.3">
      <c r="A93" s="26" t="str">
        <f>'БазНорм (обр)'!A85</f>
        <v>WebFiltre UserGate</v>
      </c>
      <c r="B93" s="52">
        <f>'БазНорм (обр)'!C85</f>
        <v>0.13906271728549574</v>
      </c>
      <c r="C93" s="61">
        <f>'БазНорм (обр)'!J85</f>
        <v>1</v>
      </c>
      <c r="D93" s="122">
        <f>'БазНорм (обр)'!K85</f>
        <v>238.88777777777776</v>
      </c>
      <c r="E93" s="122">
        <f t="shared" si="1"/>
        <v>33.220383504071442</v>
      </c>
      <c r="F93" s="192"/>
    </row>
    <row r="94" spans="1:6" s="60" customFormat="1" ht="26" outlineLevel="3" x14ac:dyDescent="0.3">
      <c r="A94" s="26" t="str">
        <f>'БазНорм (обр)'!A86</f>
        <v>Сопровождение ПО Vipnet Client</v>
      </c>
      <c r="B94" s="52">
        <f>'БазНорм (обр)'!C86</f>
        <v>1.3906271728549575E-3</v>
      </c>
      <c r="C94" s="61">
        <f>'БазНорм (обр)'!J86</f>
        <v>1</v>
      </c>
      <c r="D94" s="122">
        <f>'БазНорм (обр)'!K86</f>
        <v>1533.3333333333333</v>
      </c>
      <c r="E94" s="122">
        <f t="shared" si="1"/>
        <v>2.1322949983776014</v>
      </c>
      <c r="F94" s="192"/>
    </row>
    <row r="95" spans="1:6" s="60" customFormat="1" ht="26" outlineLevel="2" x14ac:dyDescent="0.3">
      <c r="A95" s="33" t="s">
        <v>65</v>
      </c>
      <c r="B95" s="51" t="s">
        <v>3</v>
      </c>
      <c r="C95" s="34" t="s">
        <v>3</v>
      </c>
      <c r="D95" s="73" t="s">
        <v>3</v>
      </c>
      <c r="E95" s="123">
        <f>SUM(E96:E102)</f>
        <v>610.75159169374228</v>
      </c>
      <c r="F95" s="192"/>
    </row>
    <row r="96" spans="1:6" s="60" customFormat="1" outlineLevel="3" x14ac:dyDescent="0.3">
      <c r="A96" s="26" t="str">
        <f>'БазНорм (обр)'!A88</f>
        <v>Медицинский осмотр</v>
      </c>
      <c r="B96" s="52">
        <f>'БазНорм (обр)'!C88</f>
        <v>3.0593797802809065E-2</v>
      </c>
      <c r="C96" s="61">
        <f>'БазНорм (обр)'!J88</f>
        <v>1</v>
      </c>
      <c r="D96" s="122">
        <f>'БазНорм (обр)'!K88</f>
        <v>4045.8333333333335</v>
      </c>
      <c r="E96" s="122">
        <f t="shared" si="1"/>
        <v>123.77740694386502</v>
      </c>
      <c r="F96" s="192"/>
    </row>
    <row r="97" spans="1:6" s="60" customFormat="1" outlineLevel="3" x14ac:dyDescent="0.3">
      <c r="A97" s="26" t="str">
        <f>'БазНорм (обр)'!A89</f>
        <v>Гигиеническая аттестация</v>
      </c>
      <c r="B97" s="52">
        <f>'БазНорм (обр)'!C89</f>
        <v>0.1015157836184119</v>
      </c>
      <c r="C97" s="61">
        <f>'БазНорм (обр)'!J89</f>
        <v>1</v>
      </c>
      <c r="D97" s="122">
        <f>'БазНорм (обр)'!K89</f>
        <v>570</v>
      </c>
      <c r="E97" s="122">
        <f t="shared" si="1"/>
        <v>57.863996662494785</v>
      </c>
      <c r="F97" s="192"/>
    </row>
    <row r="98" spans="1:6" s="60" customFormat="1" outlineLevel="3" x14ac:dyDescent="0.3">
      <c r="A98" s="26" t="str">
        <f>'БазНорм (обр)'!A90</f>
        <v>Оценка условий труда</v>
      </c>
      <c r="B98" s="52">
        <f>'БазНорм (обр)'!C90</f>
        <v>7.7412513255567333E-2</v>
      </c>
      <c r="C98" s="61">
        <f>'БазНорм (обр)'!J90</f>
        <v>1</v>
      </c>
      <c r="D98" s="122">
        <f>'БазНорм (обр)'!K90</f>
        <v>2200</v>
      </c>
      <c r="E98" s="122">
        <f t="shared" si="1"/>
        <v>170.30752916224813</v>
      </c>
      <c r="F98" s="192"/>
    </row>
    <row r="99" spans="1:6" s="60" customFormat="1" outlineLevel="3" x14ac:dyDescent="0.3">
      <c r="A99" s="26" t="str">
        <f>'БазНорм (обр)'!A91</f>
        <v>Аттестация рабочих мест</v>
      </c>
      <c r="B99" s="52">
        <f>'БазНорм (обр)'!C91</f>
        <v>7.4231177094379638E-2</v>
      </c>
      <c r="C99" s="61">
        <f>'БазНорм (обр)'!J91</f>
        <v>1</v>
      </c>
      <c r="D99" s="122">
        <f>'БазНорм (обр)'!K91</f>
        <v>1800</v>
      </c>
      <c r="E99" s="122">
        <f t="shared" si="1"/>
        <v>133.61611876988334</v>
      </c>
      <c r="F99" s="192"/>
    </row>
    <row r="100" spans="1:6" s="60" customFormat="1" outlineLevel="3" x14ac:dyDescent="0.3">
      <c r="A100" s="26" t="str">
        <f>'БазНорм (обр)'!A92</f>
        <v>Заправка картриджей</v>
      </c>
      <c r="B100" s="52">
        <f>'БазНорм (обр)'!C92</f>
        <v>0.20859407592824364</v>
      </c>
      <c r="C100" s="61">
        <f>'БазНорм (обр)'!J92</f>
        <v>1</v>
      </c>
      <c r="D100" s="122">
        <f>'БазНорм (обр)'!K92</f>
        <v>400</v>
      </c>
      <c r="E100" s="122">
        <f t="shared" si="1"/>
        <v>83.437630371297459</v>
      </c>
      <c r="F100" s="192"/>
    </row>
    <row r="101" spans="1:6" s="60" customFormat="1" outlineLevel="3" x14ac:dyDescent="0.3">
      <c r="A101" s="26" t="str">
        <f>'БазНорм (обр)'!A93</f>
        <v>Приобритение картриджей</v>
      </c>
      <c r="B101" s="52">
        <f>'БазНорм (обр)'!C93</f>
        <v>2.7812543457099152E-2</v>
      </c>
      <c r="C101" s="61">
        <f>'БазНорм (обр)'!J93</f>
        <v>1</v>
      </c>
      <c r="D101" s="122">
        <f>'БазНорм (обр)'!K93</f>
        <v>1408.2820512820515</v>
      </c>
      <c r="E101" s="122">
        <f t="shared" si="1"/>
        <v>39.167905751134796</v>
      </c>
      <c r="F101" s="192"/>
    </row>
    <row r="102" spans="1:6" s="60" customFormat="1" outlineLevel="3" x14ac:dyDescent="0.3">
      <c r="A102" s="26" t="str">
        <f>'БазНорм (обр)'!A94</f>
        <v>Хостинг сайта</v>
      </c>
      <c r="B102" s="52">
        <f>'БазНорм (обр)'!C94</f>
        <v>1.3906271728549575E-3</v>
      </c>
      <c r="C102" s="61">
        <f>'БазНорм (обр)'!J94</f>
        <v>1</v>
      </c>
      <c r="D102" s="122">
        <f>'БазНорм (обр)'!K94</f>
        <v>1856</v>
      </c>
      <c r="E102" s="122">
        <f t="shared" si="1"/>
        <v>2.5810040328188011</v>
      </c>
      <c r="F102" s="192"/>
    </row>
    <row r="103" spans="1:6" s="60" customFormat="1" outlineLevel="2" x14ac:dyDescent="0.3">
      <c r="A103" s="33" t="s">
        <v>66</v>
      </c>
      <c r="B103" s="51" t="s">
        <v>3</v>
      </c>
      <c r="C103" s="34" t="s">
        <v>3</v>
      </c>
      <c r="D103" s="73" t="s">
        <v>3</v>
      </c>
      <c r="E103" s="123">
        <f>SUM(E104:E142)</f>
        <v>287.6069654801239</v>
      </c>
      <c r="F103" s="192"/>
    </row>
    <row r="104" spans="1:6" s="60" customFormat="1" outlineLevel="3" x14ac:dyDescent="0.3">
      <c r="A104" s="26" t="str">
        <f>'БазНорм (обр)'!A96</f>
        <v>Бумага А4</v>
      </c>
      <c r="B104" s="52">
        <f>'БазНорм (обр)'!C96</f>
        <v>0.29692470837751855</v>
      </c>
      <c r="C104" s="61">
        <f>'БазНорм (обр)'!J96</f>
        <v>1</v>
      </c>
      <c r="D104" s="122">
        <f>'БазНорм (обр)'!K96</f>
        <v>246.29333333333338</v>
      </c>
      <c r="E104" s="122">
        <f t="shared" si="1"/>
        <v>73.130576175326979</v>
      </c>
      <c r="F104" s="192"/>
    </row>
    <row r="105" spans="1:6" s="60" customFormat="1" outlineLevel="3" x14ac:dyDescent="0.3">
      <c r="A105" s="26" t="str">
        <f>'БазНорм (обр)'!A97</f>
        <v>Блок для записей</v>
      </c>
      <c r="B105" s="52">
        <f>'БазНорм (обр)'!C97</f>
        <v>6.0016804705317485E-2</v>
      </c>
      <c r="C105" s="61">
        <f>'БазНорм (обр)'!J97</f>
        <v>1</v>
      </c>
      <c r="D105" s="122">
        <f>'БазНорм (обр)'!K97</f>
        <v>93.743333333333325</v>
      </c>
      <c r="E105" s="122">
        <f t="shared" si="1"/>
        <v>5.6261753290921446</v>
      </c>
      <c r="F105" s="192"/>
    </row>
    <row r="106" spans="1:6" s="60" customFormat="1" outlineLevel="3" x14ac:dyDescent="0.3">
      <c r="A106" s="26" t="str">
        <f>'БазНорм (обр)'!A98</f>
        <v>Блок липкий</v>
      </c>
      <c r="B106" s="52">
        <f>'БазНорм (обр)'!C98</f>
        <v>6.0016804705317485E-2</v>
      </c>
      <c r="C106" s="61">
        <f>'БазНорм (обр)'!J98</f>
        <v>1</v>
      </c>
      <c r="D106" s="122">
        <f>'БазНорм (обр)'!K98</f>
        <v>112.23333333333333</v>
      </c>
      <c r="E106" s="122">
        <f t="shared" si="1"/>
        <v>6.7358860480934659</v>
      </c>
      <c r="F106" s="192"/>
    </row>
    <row r="107" spans="1:6" s="60" customFormat="1" outlineLevel="3" x14ac:dyDescent="0.3">
      <c r="A107" s="26" t="str">
        <f>'БазНорм (обр)'!A99</f>
        <v>Мел школьный</v>
      </c>
      <c r="B107" s="52">
        <f>'БазНорм (обр)'!C99</f>
        <v>2.4006721882126995E-2</v>
      </c>
      <c r="C107" s="61">
        <f>'БазНорм (обр)'!J99</f>
        <v>1</v>
      </c>
      <c r="D107" s="122">
        <f>'БазНорм (обр)'!K99</f>
        <v>534</v>
      </c>
      <c r="E107" s="122">
        <f t="shared" si="1"/>
        <v>12.819589485055815</v>
      </c>
      <c r="F107" s="192"/>
    </row>
    <row r="108" spans="1:6" s="60" customFormat="1" outlineLevel="3" x14ac:dyDescent="0.3">
      <c r="A108" s="26" t="str">
        <f>'БазНорм (обр)'!A100</f>
        <v>Ластик (резинка)</v>
      </c>
      <c r="B108" s="52">
        <f>'БазНорм (обр)'!C100</f>
        <v>3.0008402352658742E-2</v>
      </c>
      <c r="C108" s="61">
        <f>'БазНорм (обр)'!J100</f>
        <v>1</v>
      </c>
      <c r="D108" s="122">
        <f>'БазНорм (обр)'!K100</f>
        <v>22.436666666666667</v>
      </c>
      <c r="E108" s="122">
        <f t="shared" si="1"/>
        <v>0.67328852078582002</v>
      </c>
      <c r="F108" s="192"/>
    </row>
    <row r="109" spans="1:6" s="60" customFormat="1" outlineLevel="3" x14ac:dyDescent="0.3">
      <c r="A109" s="26" t="str">
        <f>'БазНорм (обр)'!A101</f>
        <v>Карандаш ч/гр</v>
      </c>
      <c r="B109" s="52">
        <f>'БазНорм (обр)'!C101</f>
        <v>8.402352658744448E-3</v>
      </c>
      <c r="C109" s="61">
        <f>'БазНорм (обр)'!J101</f>
        <v>1</v>
      </c>
      <c r="D109" s="122">
        <f>'БазНорм (обр)'!K101</f>
        <v>16.09</v>
      </c>
      <c r="E109" s="122">
        <f t="shared" si="1"/>
        <v>0.13519385427919817</v>
      </c>
      <c r="F109" s="192"/>
    </row>
    <row r="110" spans="1:6" s="60" customFormat="1" outlineLevel="3" x14ac:dyDescent="0.3">
      <c r="A110" s="26" t="str">
        <f>'БазНорм (обр)'!A102</f>
        <v>Ручка гелевая черная</v>
      </c>
      <c r="B110" s="52">
        <f>'БазНорм (обр)'!C102</f>
        <v>0.14404033129276198</v>
      </c>
      <c r="C110" s="61">
        <f>'БазНорм (обр)'!J102</f>
        <v>1</v>
      </c>
      <c r="D110" s="122">
        <f>'БазНорм (обр)'!K102</f>
        <v>49.300000000000004</v>
      </c>
      <c r="E110" s="122">
        <f t="shared" si="1"/>
        <v>7.101188332733166</v>
      </c>
      <c r="F110" s="192"/>
    </row>
    <row r="111" spans="1:6" s="60" customFormat="1" outlineLevel="3" x14ac:dyDescent="0.3">
      <c r="A111" s="26" t="str">
        <f>'БазНорм (обр)'!A103</f>
        <v>Ручка шариковая</v>
      </c>
      <c r="B111" s="52">
        <f>'БазНорм (обр)'!C103</f>
        <v>6.0016804705317485E-2</v>
      </c>
      <c r="C111" s="61">
        <f>'БазНорм (обр)'!J103</f>
        <v>1</v>
      </c>
      <c r="D111" s="122">
        <f>'БазНорм (обр)'!K103</f>
        <v>26.313333333333333</v>
      </c>
      <c r="E111" s="122">
        <f t="shared" si="1"/>
        <v>1.5792421878125873</v>
      </c>
      <c r="F111" s="192"/>
    </row>
    <row r="112" spans="1:6" s="60" customFormat="1" outlineLevel="3" x14ac:dyDescent="0.3">
      <c r="A112" s="26" t="str">
        <f>'БазНорм (обр)'!A104</f>
        <v>Текстовый маркер</v>
      </c>
      <c r="B112" s="52">
        <f>'БазНорм (обр)'!C104</f>
        <v>5.4015124234785737E-2</v>
      </c>
      <c r="C112" s="61">
        <f>'БазНорм (обр)'!J104</f>
        <v>1</v>
      </c>
      <c r="D112" s="122">
        <f>'БазНорм (обр)'!K104</f>
        <v>43.686666666666667</v>
      </c>
      <c r="E112" s="122">
        <f t="shared" si="1"/>
        <v>2.3597407274036728</v>
      </c>
      <c r="F112" s="192"/>
    </row>
    <row r="113" spans="1:6" s="60" customFormat="1" outlineLevel="3" x14ac:dyDescent="0.3">
      <c r="A113" s="26" t="str">
        <f>'БазНорм (обр)'!A105</f>
        <v>Маркеры для доски</v>
      </c>
      <c r="B113" s="52">
        <f>'БазНорм (обр)'!C105</f>
        <v>0.27812543457099148</v>
      </c>
      <c r="C113" s="61">
        <f>'БазНорм (обр)'!J105</f>
        <v>1</v>
      </c>
      <c r="D113" s="122">
        <f>'БазНорм (обр)'!K105</f>
        <v>275.59999999999997</v>
      </c>
      <c r="E113" s="122">
        <f t="shared" si="1"/>
        <v>76.651369767765246</v>
      </c>
      <c r="F113" s="192"/>
    </row>
    <row r="114" spans="1:6" s="60" customFormat="1" outlineLevel="3" x14ac:dyDescent="0.3">
      <c r="A114" s="26" t="str">
        <f>'БазНорм (обр)'!A106</f>
        <v xml:space="preserve">Корректор </v>
      </c>
      <c r="B114" s="52">
        <f>'БазНорм (обр)'!C106</f>
        <v>2.225003476567932E-2</v>
      </c>
      <c r="C114" s="61">
        <f>'БазНорм (обр)'!J106</f>
        <v>1</v>
      </c>
      <c r="D114" s="122">
        <f>'БазНорм (обр)'!K106</f>
        <v>29.77333333333333</v>
      </c>
      <c r="E114" s="122">
        <f t="shared" si="1"/>
        <v>0.6624577017568255</v>
      </c>
      <c r="F114" s="192"/>
    </row>
    <row r="115" spans="1:6" s="60" customFormat="1" outlineLevel="3" x14ac:dyDescent="0.3">
      <c r="A115" s="26" t="str">
        <f>'БазНорм (обр)'!A107</f>
        <v>Кнопки</v>
      </c>
      <c r="B115" s="52">
        <f>'БазНорм (обр)'!C107</f>
        <v>1.3906271728549576E-2</v>
      </c>
      <c r="C115" s="61">
        <f>'БазНорм (обр)'!J107</f>
        <v>1</v>
      </c>
      <c r="D115" s="122">
        <f>'БазНорм (обр)'!K107</f>
        <v>30.330000000000002</v>
      </c>
      <c r="E115" s="122">
        <f t="shared" si="1"/>
        <v>0.42177722152690866</v>
      </c>
      <c r="F115" s="192"/>
    </row>
    <row r="116" spans="1:6" s="60" customFormat="1" ht="26" outlineLevel="3" x14ac:dyDescent="0.3">
      <c r="A116" s="26" t="str">
        <f>'БазНорм (обр)'!A108</f>
        <v>Разделители листов, картонные</v>
      </c>
      <c r="B116" s="52">
        <f>'БазНорм (обр)'!C108</f>
        <v>6.0016804705317485E-2</v>
      </c>
      <c r="C116" s="61">
        <f>'БазНорм (обр)'!J108</f>
        <v>1</v>
      </c>
      <c r="D116" s="122">
        <f>'БазНорм (обр)'!K108</f>
        <v>199.04</v>
      </c>
      <c r="E116" s="122">
        <f t="shared" si="1"/>
        <v>11.945744808546392</v>
      </c>
      <c r="F116" s="192"/>
    </row>
    <row r="117" spans="1:6" s="60" customFormat="1" ht="26" outlineLevel="3" x14ac:dyDescent="0.3">
      <c r="A117" s="26" t="str">
        <f>'БазНорм (обр)'!A109</f>
        <v>Скоросшиватель пластик 150мкм</v>
      </c>
      <c r="B117" s="52">
        <f>'БазНорм (обр)'!C109</f>
        <v>0.13906271728549574</v>
      </c>
      <c r="C117" s="61">
        <f>'БазНорм (обр)'!J109</f>
        <v>1</v>
      </c>
      <c r="D117" s="122">
        <f>'БазНорм (обр)'!K109</f>
        <v>114.63666666666666</v>
      </c>
      <c r="E117" s="122">
        <f t="shared" si="1"/>
        <v>15.941686367218278</v>
      </c>
      <c r="F117" s="192"/>
    </row>
    <row r="118" spans="1:6" s="60" customFormat="1" outlineLevel="3" x14ac:dyDescent="0.3">
      <c r="A118" s="26" t="str">
        <f>'БазНорм (обр)'!A110</f>
        <v>Файл А4 прозрачный</v>
      </c>
      <c r="B118" s="52">
        <f>'БазНорм (обр)'!C110</f>
        <v>3.5624476110645431</v>
      </c>
      <c r="C118" s="61">
        <f>'БазНорм (обр)'!J110</f>
        <v>1</v>
      </c>
      <c r="D118" s="122">
        <f>'БазНорм (обр)'!K110</f>
        <v>1.51</v>
      </c>
      <c r="E118" s="122">
        <f t="shared" si="1"/>
        <v>5.3792958927074599</v>
      </c>
      <c r="F118" s="192"/>
    </row>
    <row r="119" spans="1:6" s="60" customFormat="1" outlineLevel="3" x14ac:dyDescent="0.3">
      <c r="A119" s="26" t="str">
        <f>'БазНорм (обр)'!A111</f>
        <v xml:space="preserve">Папки файлы </v>
      </c>
      <c r="B119" s="52">
        <f>'БазНорм (обр)'!C111</f>
        <v>3.6010082823190494E-2</v>
      </c>
      <c r="C119" s="61">
        <f>'БазНорм (обр)'!J111</f>
        <v>1</v>
      </c>
      <c r="D119" s="122">
        <f>'БазНорм (обр)'!K111</f>
        <v>129.82666666666668</v>
      </c>
      <c r="E119" s="122">
        <f t="shared" si="1"/>
        <v>4.6750690193254121</v>
      </c>
      <c r="F119" s="192"/>
    </row>
    <row r="120" spans="1:6" s="60" customFormat="1" outlineLevel="3" x14ac:dyDescent="0.3">
      <c r="A120" s="26" t="str">
        <f>'БазНорм (обр)'!A112</f>
        <v xml:space="preserve">Клей-карандаш </v>
      </c>
      <c r="B120" s="52">
        <f>'БазНорм (обр)'!C112</f>
        <v>2.7812543457099152E-2</v>
      </c>
      <c r="C120" s="61">
        <f>'БазНорм (обр)'!J112</f>
        <v>1</v>
      </c>
      <c r="D120" s="122">
        <f>'БазНорм (обр)'!K112</f>
        <v>53.403333333333336</v>
      </c>
      <c r="E120" s="122">
        <f t="shared" si="1"/>
        <v>1.4852825290872851</v>
      </c>
      <c r="F120" s="192"/>
    </row>
    <row r="121" spans="1:6" s="60" customFormat="1" outlineLevel="3" x14ac:dyDescent="0.3">
      <c r="A121" s="26" t="str">
        <f>'БазНорм (обр)'!A113</f>
        <v>Клей ПВА</v>
      </c>
      <c r="B121" s="52">
        <f>'БазНорм (обр)'!C113</f>
        <v>1.3906271728549576E-2</v>
      </c>
      <c r="C121" s="61">
        <f>'БазНорм (обр)'!J113</f>
        <v>1</v>
      </c>
      <c r="D121" s="122">
        <f>'БазНорм (обр)'!K113</f>
        <v>86.553333333333327</v>
      </c>
      <c r="E121" s="122">
        <f t="shared" si="1"/>
        <v>1.203634172345061</v>
      </c>
      <c r="F121" s="192"/>
    </row>
    <row r="122" spans="1:6" s="60" customFormat="1" outlineLevel="3" x14ac:dyDescent="0.3">
      <c r="A122" s="26" t="str">
        <f>'БазНорм (обр)'!A114</f>
        <v>Скотч 19*33</v>
      </c>
      <c r="B122" s="52">
        <f>'БазНорм (обр)'!C114</f>
        <v>2.7242246437552388E-2</v>
      </c>
      <c r="C122" s="61">
        <f>'БазНорм (обр)'!J114</f>
        <v>1</v>
      </c>
      <c r="D122" s="122">
        <f>'БазНорм (обр)'!K114</f>
        <v>47.993333333333332</v>
      </c>
      <c r="E122" s="122">
        <f t="shared" si="1"/>
        <v>1.3074462140262642</v>
      </c>
      <c r="F122" s="192"/>
    </row>
    <row r="123" spans="1:6" s="60" customFormat="1" outlineLevel="3" x14ac:dyDescent="0.3">
      <c r="A123" s="26" t="str">
        <f>'БазНорм (обр)'!A115</f>
        <v>Скотч 50*66</v>
      </c>
      <c r="B123" s="52">
        <f>'БазНорм (обр)'!C115</f>
        <v>2.9337803855825649E-2</v>
      </c>
      <c r="C123" s="61">
        <f>'БазНорм (обр)'!J115</f>
        <v>1</v>
      </c>
      <c r="D123" s="122">
        <f>'БазНорм (обр)'!K115</f>
        <v>92.29</v>
      </c>
      <c r="E123" s="122">
        <f t="shared" si="1"/>
        <v>2.7075859178541495</v>
      </c>
      <c r="F123" s="192"/>
    </row>
    <row r="124" spans="1:6" s="60" customFormat="1" outlineLevel="3" x14ac:dyDescent="0.3">
      <c r="A124" s="26" t="str">
        <f>'БазНорм (обр)'!A116</f>
        <v>Скотч 48*100</v>
      </c>
      <c r="B124" s="52">
        <f>'БазНорм (обр)'!C116</f>
        <v>0</v>
      </c>
      <c r="C124" s="61">
        <f>'БазНорм (обр)'!J116</f>
        <v>1</v>
      </c>
      <c r="D124" s="122">
        <f>'БазНорм (обр)'!K116</f>
        <v>98</v>
      </c>
      <c r="E124" s="122">
        <f t="shared" si="1"/>
        <v>0</v>
      </c>
      <c r="F124" s="192"/>
    </row>
    <row r="125" spans="1:6" s="60" customFormat="1" outlineLevel="3" x14ac:dyDescent="0.3">
      <c r="A125" s="26" t="str">
        <f>'БазНорм (обр)'!A117</f>
        <v>Клейкая лента 48*100</v>
      </c>
      <c r="B125" s="52">
        <f>'БазНорм (обр)'!C117</f>
        <v>2.1606049693914296E-2</v>
      </c>
      <c r="C125" s="61">
        <f>'БазНорм (обр)'!J117</f>
        <v>1</v>
      </c>
      <c r="D125" s="122">
        <f>'БазНорм (обр)'!K117</f>
        <v>85.236666666666665</v>
      </c>
      <c r="E125" s="122">
        <f t="shared" si="1"/>
        <v>1.8416276557436082</v>
      </c>
      <c r="F125" s="192"/>
    </row>
    <row r="126" spans="1:6" s="60" customFormat="1" outlineLevel="3" x14ac:dyDescent="0.3">
      <c r="A126" s="26" t="str">
        <f>'БазНорм (обр)'!A118</f>
        <v>Клейкая лента 48*66</v>
      </c>
      <c r="B126" s="52">
        <f>'БазНорм (обр)'!C118</f>
        <v>0.17382839660686969</v>
      </c>
      <c r="C126" s="61">
        <f>'БазНорм (обр)'!J118</f>
        <v>1</v>
      </c>
      <c r="D126" s="122">
        <f>'БазНорм (обр)'!K118</f>
        <v>79.876666666666665</v>
      </c>
      <c r="E126" s="122">
        <f t="shared" si="1"/>
        <v>13.884832892968062</v>
      </c>
      <c r="F126" s="192"/>
    </row>
    <row r="127" spans="1:6" s="60" customFormat="1" outlineLevel="3" x14ac:dyDescent="0.3">
      <c r="A127" s="26" t="str">
        <f>'БазНорм (обр)'!A119</f>
        <v>Регистратор 50 мм</v>
      </c>
      <c r="B127" s="52">
        <f>'БазНорм (обр)'!C119</f>
        <v>3.143336127409891E-2</v>
      </c>
      <c r="C127" s="61">
        <f>'БазНорм (обр)'!J119</f>
        <v>1</v>
      </c>
      <c r="D127" s="122">
        <f>'БазНорм (обр)'!K119</f>
        <v>162.49333333333334</v>
      </c>
      <c r="E127" s="122">
        <f t="shared" si="1"/>
        <v>5.1077116512992458</v>
      </c>
      <c r="F127" s="192"/>
    </row>
    <row r="128" spans="1:6" s="60" customFormat="1" ht="26" outlineLevel="3" x14ac:dyDescent="0.3">
      <c r="A128" s="26" t="str">
        <f>'БазНорм (обр)'!A120</f>
        <v>Накопитель документов Лоток-коробка 150мм</v>
      </c>
      <c r="B128" s="52">
        <f>'БазНорм (обр)'!C120</f>
        <v>1.2003360941063497E-2</v>
      </c>
      <c r="C128" s="61">
        <f>'БазНорм (обр)'!J120</f>
        <v>1</v>
      </c>
      <c r="D128" s="122">
        <f>'БазНорм (обр)'!K120</f>
        <v>76.953333333333333</v>
      </c>
      <c r="E128" s="122">
        <f t="shared" si="1"/>
        <v>0.92369863561797305</v>
      </c>
      <c r="F128" s="192"/>
    </row>
    <row r="129" spans="1:6" s="60" customFormat="1" ht="26" outlineLevel="3" x14ac:dyDescent="0.3">
      <c r="A129" s="26" t="str">
        <f>'БазНорм (обр)'!A121</f>
        <v>Накопитель документов Лоток-коробка 75мм</v>
      </c>
      <c r="B129" s="52">
        <f>'БазНорм (обр)'!C121</f>
        <v>2.4006721882126995E-2</v>
      </c>
      <c r="C129" s="61">
        <f>'БазНорм (обр)'!J121</f>
        <v>1</v>
      </c>
      <c r="D129" s="122">
        <f>'БазНорм (обр)'!K121</f>
        <v>50.306666666666672</v>
      </c>
      <c r="E129" s="122">
        <f t="shared" si="1"/>
        <v>1.2076981554835355</v>
      </c>
      <c r="F129" s="192"/>
    </row>
    <row r="130" spans="1:6" s="60" customFormat="1" outlineLevel="3" x14ac:dyDescent="0.3">
      <c r="A130" s="26" t="str">
        <f>'БазНорм (обр)'!A122</f>
        <v>Тетрадь 48л.</v>
      </c>
      <c r="B130" s="52">
        <f>'БазНорм (обр)'!C122</f>
        <v>3.6010082823190494E-3</v>
      </c>
      <c r="C130" s="61">
        <f>'БазНорм (обр)'!J122</f>
        <v>1</v>
      </c>
      <c r="D130" s="122">
        <f>'БазНорм (обр)'!K122</f>
        <v>33.536666666666669</v>
      </c>
      <c r="E130" s="122">
        <f t="shared" si="1"/>
        <v>0.12076581442803987</v>
      </c>
      <c r="F130" s="192"/>
    </row>
    <row r="131" spans="1:6" s="60" customFormat="1" outlineLevel="3" x14ac:dyDescent="0.3">
      <c r="A131" s="26" t="str">
        <f>'БазНорм (обр)'!A123</f>
        <v>Скрепки 28 мм</v>
      </c>
      <c r="B131" s="52">
        <f>'БазНорм (обр)'!C123</f>
        <v>2.7812543457099152E-2</v>
      </c>
      <c r="C131" s="61">
        <f>'БазНорм (обр)'!J123</f>
        <v>1</v>
      </c>
      <c r="D131" s="122">
        <f>'БазНорм (обр)'!K123</f>
        <v>35.979999999999997</v>
      </c>
      <c r="E131" s="122">
        <f t="shared" si="1"/>
        <v>1.0006953135864274</v>
      </c>
      <c r="F131" s="192"/>
    </row>
    <row r="132" spans="1:6" s="60" customFormat="1" outlineLevel="3" x14ac:dyDescent="0.3">
      <c r="A132" s="26" t="str">
        <f>'БазНорм (обр)'!A124</f>
        <v>Скобы № 10</v>
      </c>
      <c r="B132" s="52">
        <f>'БазНорм (обр)'!C124</f>
        <v>4.8013443764253989E-2</v>
      </c>
      <c r="C132" s="61">
        <f>'БазНорм (обр)'!J124</f>
        <v>1</v>
      </c>
      <c r="D132" s="122">
        <f>'БазНорм (обр)'!K124</f>
        <v>26.26</v>
      </c>
      <c r="E132" s="122">
        <f t="shared" si="1"/>
        <v>1.2608330332493098</v>
      </c>
      <c r="F132" s="192"/>
    </row>
    <row r="133" spans="1:6" s="60" customFormat="1" outlineLevel="3" x14ac:dyDescent="0.3">
      <c r="A133" s="26" t="str">
        <f>'БазНорм (обр)'!A125</f>
        <v>Скобы № 24</v>
      </c>
      <c r="B133" s="52">
        <f>'БазНорм (обр)'!C125</f>
        <v>2.4006721882126995E-2</v>
      </c>
      <c r="C133" s="61">
        <f>'БазНорм (обр)'!J125</f>
        <v>1</v>
      </c>
      <c r="D133" s="122">
        <f>'БазНорм (обр)'!K125</f>
        <v>45.336666666666666</v>
      </c>
      <c r="E133" s="122">
        <f t="shared" si="1"/>
        <v>1.0883847477293642</v>
      </c>
      <c r="F133" s="192"/>
    </row>
    <row r="134" spans="1:6" s="60" customFormat="1" outlineLevel="3" x14ac:dyDescent="0.3">
      <c r="A134" s="26" t="str">
        <f>'БазНорм (обр)'!A126</f>
        <v>Папка с файлами</v>
      </c>
      <c r="B134" s="52">
        <f>'БазНорм (обр)'!C126</f>
        <v>6.953135864274787E-2</v>
      </c>
      <c r="C134" s="61">
        <f>'БазНорм (обр)'!J126</f>
        <v>1</v>
      </c>
      <c r="D134" s="122">
        <f>'БазНорм (обр)'!K126</f>
        <v>190.79333333333332</v>
      </c>
      <c r="E134" s="122">
        <f t="shared" si="1"/>
        <v>13.266119686645341</v>
      </c>
      <c r="F134" s="192"/>
    </row>
    <row r="135" spans="1:6" s="60" customFormat="1" outlineLevel="3" x14ac:dyDescent="0.3">
      <c r="A135" s="26" t="str">
        <f>'БазНорм (обр)'!A127</f>
        <v>Папка - регистратор</v>
      </c>
      <c r="B135" s="52">
        <f>'БазНорм (обр)'!C127</f>
        <v>4.1718815185648725E-2</v>
      </c>
      <c r="C135" s="61">
        <f>'БазНорм (обр)'!J127</f>
        <v>1</v>
      </c>
      <c r="D135" s="122">
        <f>'БазНорм (обр)'!K127</f>
        <v>158.69666666666666</v>
      </c>
      <c r="E135" s="122">
        <f t="shared" si="1"/>
        <v>6.6206369072451672</v>
      </c>
      <c r="F135" s="192"/>
    </row>
    <row r="136" spans="1:6" s="60" customFormat="1" outlineLevel="3" x14ac:dyDescent="0.3">
      <c r="A136" s="26" t="str">
        <f>'БазНорм (обр)'!A128</f>
        <v>Папка - уголок</v>
      </c>
      <c r="B136" s="52">
        <f>'БазНорм (обр)'!C128</f>
        <v>6.953135864274787E-2</v>
      </c>
      <c r="C136" s="61">
        <f>'БазНорм (обр)'!J128</f>
        <v>1</v>
      </c>
      <c r="D136" s="122">
        <f>'БазНорм (обр)'!K128</f>
        <v>12.046666666666667</v>
      </c>
      <c r="E136" s="122">
        <f t="shared" si="1"/>
        <v>0.837621100449636</v>
      </c>
      <c r="F136" s="192"/>
    </row>
    <row r="137" spans="1:6" s="60" customFormat="1" outlineLevel="3" x14ac:dyDescent="0.3">
      <c r="A137" s="26" t="str">
        <f>'БазНорм (обр)'!A129</f>
        <v>Папка с завязками карт</v>
      </c>
      <c r="B137" s="52">
        <f>'БазНорм (обр)'!C129</f>
        <v>0.13906271728549574</v>
      </c>
      <c r="C137" s="61">
        <f>'БазНорм (обр)'!J129</f>
        <v>1</v>
      </c>
      <c r="D137" s="122">
        <f>'БазНорм (обр)'!K129</f>
        <v>8.98</v>
      </c>
      <c r="E137" s="122">
        <f t="shared" si="1"/>
        <v>1.2487832012237519</v>
      </c>
      <c r="F137" s="192"/>
    </row>
    <row r="138" spans="1:6" s="60" customFormat="1" outlineLevel="3" x14ac:dyDescent="0.3">
      <c r="A138" s="26" t="str">
        <f>'БазНорм (обр)'!A130</f>
        <v>Папка с мет. приж. 0,6 мм</v>
      </c>
      <c r="B138" s="52">
        <f>'БазНорм (обр)'!C130</f>
        <v>2.4006721882126995E-2</v>
      </c>
      <c r="C138" s="61">
        <f>'БазНорм (обр)'!J130</f>
        <v>1</v>
      </c>
      <c r="D138" s="122">
        <f>'БазНорм (обр)'!K130</f>
        <v>92.06</v>
      </c>
      <c r="E138" s="122">
        <f t="shared" si="1"/>
        <v>2.210058816468611</v>
      </c>
      <c r="F138" s="192"/>
    </row>
    <row r="139" spans="1:6" s="60" customFormat="1" outlineLevel="3" x14ac:dyDescent="0.3">
      <c r="A139" s="26" t="str">
        <f>'БазНорм (обр)'!A131</f>
        <v>Папка с мет. приж 0,7мм</v>
      </c>
      <c r="B139" s="52">
        <f>'БазНорм (обр)'!C131</f>
        <v>1.2003360941063497E-2</v>
      </c>
      <c r="C139" s="61">
        <f>'БазНорм (обр)'!J131</f>
        <v>1</v>
      </c>
      <c r="D139" s="122">
        <f>'БазНорм (обр)'!K131</f>
        <v>97.14</v>
      </c>
      <c r="E139" s="122">
        <f t="shared" si="1"/>
        <v>1.1660064818149081</v>
      </c>
      <c r="F139" s="192"/>
    </row>
    <row r="140" spans="1:6" s="60" customFormat="1" outlineLevel="3" x14ac:dyDescent="0.3">
      <c r="A140" s="26" t="str">
        <f>'БазНорм (обр)'!A132</f>
        <v>Нож канцелярский</v>
      </c>
      <c r="B140" s="52">
        <f>'БазНорм (обр)'!C132</f>
        <v>1.3906271728549576E-2</v>
      </c>
      <c r="C140" s="61">
        <f>'БазНорм (обр)'!J132</f>
        <v>1</v>
      </c>
      <c r="D140" s="122">
        <f>'БазНорм (обр)'!K132</f>
        <v>68.13</v>
      </c>
      <c r="E140" s="122">
        <f t="shared" si="1"/>
        <v>0.94743429286608261</v>
      </c>
      <c r="F140" s="192"/>
    </row>
    <row r="141" spans="1:6" s="60" customFormat="1" outlineLevel="3" x14ac:dyDescent="0.3">
      <c r="A141" s="26" t="str">
        <f>'БазНорм (обр)'!A133</f>
        <v>Ножницы канц.</v>
      </c>
      <c r="B141" s="52">
        <f>'БазНорм (обр)'!C133</f>
        <v>6.9531358642747881E-3</v>
      </c>
      <c r="C141" s="61">
        <f>'БазНорм (обр)'!J133</f>
        <v>1</v>
      </c>
      <c r="D141" s="122">
        <f>'БазНорм (обр)'!K133</f>
        <v>99.089999999999989</v>
      </c>
      <c r="E141" s="122">
        <f t="shared" si="1"/>
        <v>0.6889862327909887</v>
      </c>
      <c r="F141" s="192"/>
    </row>
    <row r="142" spans="1:6" s="60" customFormat="1" outlineLevel="3" x14ac:dyDescent="0.3">
      <c r="A142" s="26" t="str">
        <f>'БазНорм (обр)'!A134</f>
        <v>Степлер</v>
      </c>
      <c r="B142" s="52">
        <f>'БазНорм (обр)'!C134</f>
        <v>6.9531358642747881E-3</v>
      </c>
      <c r="C142" s="61">
        <f>'БазНорм (обр)'!J134</f>
        <v>1</v>
      </c>
      <c r="D142" s="122">
        <f>'БазНорм (обр)'!K134</f>
        <v>236.27333333333331</v>
      </c>
      <c r="E142" s="122">
        <f t="shared" si="1"/>
        <v>1.6428405877717516</v>
      </c>
      <c r="F142" s="192"/>
    </row>
    <row r="143" spans="1:6" s="60" customFormat="1" outlineLevel="2" x14ac:dyDescent="0.3">
      <c r="A143" s="33" t="s">
        <v>67</v>
      </c>
      <c r="B143" s="51" t="s">
        <v>3</v>
      </c>
      <c r="C143" s="34" t="s">
        <v>3</v>
      </c>
      <c r="D143" s="73" t="s">
        <v>3</v>
      </c>
      <c r="E143" s="123">
        <f>SUM(E144:E161)</f>
        <v>11.626055295482733</v>
      </c>
      <c r="F143" s="192"/>
    </row>
    <row r="144" spans="1:6" s="60" customFormat="1" outlineLevel="3" x14ac:dyDescent="0.3">
      <c r="A144" s="26" t="str">
        <f>'БазНорм (обр)'!A136</f>
        <v>Йод р-р 5%-10 мл.</v>
      </c>
      <c r="B144" s="52">
        <f>'БазНорм (обр)'!C136</f>
        <v>2.4006721882126995E-2</v>
      </c>
      <c r="C144" s="61">
        <f>'БазНорм (обр)'!J136</f>
        <v>1</v>
      </c>
      <c r="D144" s="122">
        <f>'БазНорм (обр)'!K136</f>
        <v>10.666666666666666</v>
      </c>
      <c r="E144" s="122">
        <f t="shared" si="1"/>
        <v>0.25607170007602126</v>
      </c>
      <c r="F144" s="192"/>
    </row>
    <row r="145" spans="1:6" s="60" customFormat="1" outlineLevel="3" x14ac:dyDescent="0.3">
      <c r="A145" s="26" t="str">
        <f>'БазНорм (обр)'!A137</f>
        <v>Перекись водорода 3% 40 мл.</v>
      </c>
      <c r="B145" s="52">
        <f>'БазНорм (обр)'!C137</f>
        <v>3.6010082823190494E-2</v>
      </c>
      <c r="C145" s="61">
        <f>'БазНорм (обр)'!J137</f>
        <v>1</v>
      </c>
      <c r="D145" s="122">
        <f>'БазНорм (обр)'!K137</f>
        <v>6.666666666666667</v>
      </c>
      <c r="E145" s="122">
        <f t="shared" si="1"/>
        <v>0.24006721882126997</v>
      </c>
      <c r="F145" s="192"/>
    </row>
    <row r="146" spans="1:6" s="60" customFormat="1" outlineLevel="3" x14ac:dyDescent="0.3">
      <c r="A146" s="26" t="str">
        <f>'БазНорм (обр)'!A138</f>
        <v>Аммиака р-р-100 мл</v>
      </c>
      <c r="B146" s="52">
        <f>'БазНорм (обр)'!C138</f>
        <v>3.6010082823190494E-3</v>
      </c>
      <c r="C146" s="61">
        <f>'БазНорм (обр)'!J138</f>
        <v>1</v>
      </c>
      <c r="D146" s="122">
        <f>'БазНорм (обр)'!K138</f>
        <v>26</v>
      </c>
      <c r="E146" s="122">
        <f t="shared" ref="E146:E161" si="2">B146/C146*D146</f>
        <v>9.3626215340295277E-2</v>
      </c>
      <c r="F146" s="192"/>
    </row>
    <row r="147" spans="1:6" s="60" customFormat="1" ht="26" outlineLevel="3" x14ac:dyDescent="0.3">
      <c r="A147" s="26" t="str">
        <f>'БазНорм (обр)'!A139</f>
        <v>Уголь активированный 250мг №10</v>
      </c>
      <c r="B147" s="52">
        <f>'БазНорм (обр)'!C139</f>
        <v>1.2003360941063497E-2</v>
      </c>
      <c r="C147" s="61">
        <f>'БазНорм (обр)'!J139</f>
        <v>1</v>
      </c>
      <c r="D147" s="122">
        <f>'БазНорм (обр)'!K139</f>
        <v>8</v>
      </c>
      <c r="E147" s="122">
        <f t="shared" si="2"/>
        <v>9.6026887528507979E-2</v>
      </c>
      <c r="F147" s="192"/>
    </row>
    <row r="148" spans="1:6" s="60" customFormat="1" outlineLevel="3" x14ac:dyDescent="0.3">
      <c r="A148" s="26" t="str">
        <f>'БазНорм (обр)'!A140</f>
        <v>Бинт стерильный 5*10 см</v>
      </c>
      <c r="B148" s="52">
        <f>'БазНорм (обр)'!C140</f>
        <v>4.2011763293722242E-2</v>
      </c>
      <c r="C148" s="61">
        <f>'БазНорм (обр)'!J140</f>
        <v>1</v>
      </c>
      <c r="D148" s="122">
        <f>'БазНорм (обр)'!K140</f>
        <v>17</v>
      </c>
      <c r="E148" s="122">
        <f t="shared" si="2"/>
        <v>0.71419997599327811</v>
      </c>
      <c r="F148" s="192"/>
    </row>
    <row r="149" spans="1:6" s="60" customFormat="1" outlineLevel="3" x14ac:dyDescent="0.3">
      <c r="A149" s="26" t="str">
        <f>'БазНорм (обр)'!A141</f>
        <v>Бинт стерильный 7-14 см</v>
      </c>
      <c r="B149" s="52">
        <f>'БазНорм (обр)'!C141</f>
        <v>4.2011763293722242E-2</v>
      </c>
      <c r="C149" s="61">
        <f>'БазНорм (обр)'!J141</f>
        <v>1</v>
      </c>
      <c r="D149" s="122">
        <f>'БазНорм (обр)'!K141</f>
        <v>32</v>
      </c>
      <c r="E149" s="122">
        <f t="shared" si="2"/>
        <v>1.3443764253991117</v>
      </c>
      <c r="F149" s="192"/>
    </row>
    <row r="150" spans="1:6" s="60" customFormat="1" outlineLevel="3" x14ac:dyDescent="0.3">
      <c r="A150" s="26" t="str">
        <f>'БазНорм (обр)'!A142</f>
        <v>Вата хирург. стерильн. 250г</v>
      </c>
      <c r="B150" s="52">
        <f>'БазНорм (обр)'!C142</f>
        <v>2.4006721882126993E-3</v>
      </c>
      <c r="C150" s="61">
        <f>'БазНорм (обр)'!J142</f>
        <v>1</v>
      </c>
      <c r="D150" s="122">
        <f>'БазНорм (обр)'!K142</f>
        <v>115.33333333333333</v>
      </c>
      <c r="E150" s="122">
        <f t="shared" si="2"/>
        <v>0.27687752570719798</v>
      </c>
      <c r="F150" s="192"/>
    </row>
    <row r="151" spans="1:6" s="60" customFormat="1" ht="26" outlineLevel="3" x14ac:dyDescent="0.3">
      <c r="A151" s="26" t="str">
        <f>'БазНорм (обр)'!A143</f>
        <v>Салфетки стрерильные 16*14 №20</v>
      </c>
      <c r="B151" s="52">
        <f>'БазНорм (обр)'!C143</f>
        <v>2.4006721882126995E-2</v>
      </c>
      <c r="C151" s="61">
        <f>'БазНорм (обр)'!J143</f>
        <v>1</v>
      </c>
      <c r="D151" s="122">
        <f>'БазНорм (обр)'!K143</f>
        <v>30</v>
      </c>
      <c r="E151" s="122">
        <f t="shared" si="2"/>
        <v>0.72020165646380985</v>
      </c>
      <c r="F151" s="192"/>
    </row>
    <row r="152" spans="1:6" s="60" customFormat="1" outlineLevel="3" x14ac:dyDescent="0.3">
      <c r="A152" s="26" t="str">
        <f>'БазНорм (обр)'!A144</f>
        <v>Л/пласт. бактериц. 2,5*7,2 №1</v>
      </c>
      <c r="B152" s="52">
        <f>'БазНорм (обр)'!C144</f>
        <v>0.24006721882126994</v>
      </c>
      <c r="C152" s="61">
        <f>'БазНорм (обр)'!J144</f>
        <v>1</v>
      </c>
      <c r="D152" s="122">
        <f>'БазНорм (обр)'!K144</f>
        <v>3.5</v>
      </c>
      <c r="E152" s="122">
        <f t="shared" si="2"/>
        <v>0.84023526587444475</v>
      </c>
      <c r="F152" s="192"/>
    </row>
    <row r="153" spans="1:6" s="60" customFormat="1" outlineLevel="3" x14ac:dyDescent="0.3">
      <c r="A153" s="26" t="str">
        <f>'БазНорм (обр)'!A145</f>
        <v>Л/пласт,3*500</v>
      </c>
      <c r="B153" s="52">
        <f>'БазНорм (обр)'!C145</f>
        <v>2.4006721882126993E-3</v>
      </c>
      <c r="C153" s="61">
        <f>'БазНорм (обр)'!J145</f>
        <v>1</v>
      </c>
      <c r="D153" s="122">
        <f>'БазНорм (обр)'!K145</f>
        <v>37.666666666666664</v>
      </c>
      <c r="E153" s="122">
        <f t="shared" si="2"/>
        <v>9.0425319089345008E-2</v>
      </c>
      <c r="F153" s="192"/>
    </row>
    <row r="154" spans="1:6" s="60" customFormat="1" outlineLevel="3" x14ac:dyDescent="0.3">
      <c r="A154" s="26" t="str">
        <f>'БазНорм (обр)'!A146</f>
        <v>Маска трехсл.мед.№50</v>
      </c>
      <c r="B154" s="52">
        <f>'БазНорм (обр)'!C146</f>
        <v>2.4006721882126993E-3</v>
      </c>
      <c r="C154" s="61">
        <f>'БазНорм (обр)'!J146</f>
        <v>1</v>
      </c>
      <c r="D154" s="122">
        <f>'БазНорм (обр)'!K146</f>
        <v>150</v>
      </c>
      <c r="E154" s="122">
        <f t="shared" si="2"/>
        <v>0.36010082823190487</v>
      </c>
      <c r="F154" s="192"/>
    </row>
    <row r="155" spans="1:6" s="60" customFormat="1" outlineLevel="3" x14ac:dyDescent="0.3">
      <c r="A155" s="26" t="str">
        <f>'БазНорм (обр)'!A147</f>
        <v>Губка гемостатическая 5*5</v>
      </c>
      <c r="B155" s="52">
        <f>'БазНорм (обр)'!C147</f>
        <v>2.4006721882126993E-3</v>
      </c>
      <c r="C155" s="61">
        <f>'БазНорм (обр)'!J147</f>
        <v>1</v>
      </c>
      <c r="D155" s="122">
        <f>'БазНорм (обр)'!K147</f>
        <v>110</v>
      </c>
      <c r="E155" s="122">
        <f t="shared" si="2"/>
        <v>0.2640739407033969</v>
      </c>
      <c r="F155" s="192"/>
    </row>
    <row r="156" spans="1:6" s="60" customFormat="1" outlineLevel="3" x14ac:dyDescent="0.3">
      <c r="A156" s="26" t="str">
        <f>'БазНорм (обр)'!A148</f>
        <v>Левомеколь мазь 40г.</v>
      </c>
      <c r="B156" s="52">
        <f>'БазНорм (обр)'!C148</f>
        <v>3.6010082823190494E-3</v>
      </c>
      <c r="C156" s="61">
        <f>'БазНорм (обр)'!J148</f>
        <v>1</v>
      </c>
      <c r="D156" s="122">
        <f>'БазНорм (обр)'!K148</f>
        <v>150</v>
      </c>
      <c r="E156" s="122">
        <f t="shared" si="2"/>
        <v>0.54015124234785739</v>
      </c>
      <c r="F156" s="192"/>
    </row>
    <row r="157" spans="1:6" s="60" customFormat="1" outlineLevel="3" x14ac:dyDescent="0.3">
      <c r="A157" s="26" t="str">
        <f>'БазНорм (обр)'!A149</f>
        <v>Напальчник резиновый №5</v>
      </c>
      <c r="B157" s="52">
        <f>'БазНорм (обр)'!C149</f>
        <v>9.6026887528507972E-3</v>
      </c>
      <c r="C157" s="61">
        <f>'БазНорм (обр)'!J149</f>
        <v>1</v>
      </c>
      <c r="D157" s="122">
        <f>'БазНорм (обр)'!K149</f>
        <v>15</v>
      </c>
      <c r="E157" s="122">
        <f t="shared" si="2"/>
        <v>0.14404033129276195</v>
      </c>
      <c r="F157" s="192"/>
    </row>
    <row r="158" spans="1:6" s="60" customFormat="1" outlineLevel="3" x14ac:dyDescent="0.3">
      <c r="A158" s="26" t="str">
        <f>'БазНорм (обр)'!A150</f>
        <v>Пакет гипотермич. "Снежок"</v>
      </c>
      <c r="B158" s="52">
        <f>'БазНорм (обр)'!C150</f>
        <v>0.18005041411595246</v>
      </c>
      <c r="C158" s="61">
        <f>'БазНорм (обр)'!J150</f>
        <v>1</v>
      </c>
      <c r="D158" s="122">
        <f>'БазНорм (обр)'!K150</f>
        <v>23</v>
      </c>
      <c r="E158" s="122">
        <f t="shared" si="2"/>
        <v>4.1411595246669064</v>
      </c>
      <c r="F158" s="192"/>
    </row>
    <row r="159" spans="1:6" s="60" customFormat="1" outlineLevel="3" x14ac:dyDescent="0.3">
      <c r="A159" s="26" t="str">
        <f>'БазНорм (обр)'!A151</f>
        <v>Сульфацил-натрия 20%-5мл</v>
      </c>
      <c r="B159" s="52">
        <f>'БазНорм (обр)'!C151</f>
        <v>4.8013443764253986E-3</v>
      </c>
      <c r="C159" s="61">
        <f>'БазНорм (обр)'!J151</f>
        <v>1</v>
      </c>
      <c r="D159" s="122">
        <f>'БазНорм (обр)'!K151</f>
        <v>90</v>
      </c>
      <c r="E159" s="122">
        <f t="shared" si="2"/>
        <v>0.4321209938782859</v>
      </c>
      <c r="F159" s="192"/>
    </row>
    <row r="160" spans="1:6" s="60" customFormat="1" outlineLevel="3" x14ac:dyDescent="0.3">
      <c r="A160" s="26" t="str">
        <f>'БазНорм (обр)'!A152</f>
        <v>Перчатки латексные хир.стер.</v>
      </c>
      <c r="B160" s="52">
        <f>'БазНорм (обр)'!C152</f>
        <v>2.4006721882126995E-2</v>
      </c>
      <c r="C160" s="61">
        <f>'БазНорм (обр)'!J152</f>
        <v>1</v>
      </c>
      <c r="D160" s="122">
        <f>'БазНорм (обр)'!K152</f>
        <v>40</v>
      </c>
      <c r="E160" s="122">
        <f t="shared" si="2"/>
        <v>0.96026887528507976</v>
      </c>
      <c r="F160" s="192"/>
    </row>
    <row r="161" spans="1:6" s="60" customFormat="1" ht="26" outlineLevel="3" x14ac:dyDescent="0.3">
      <c r="A161" s="26" t="str">
        <f>'БазНорм (обр)'!A153</f>
        <v>Бриллиантовый зелен. 1%-10мл</v>
      </c>
      <c r="B161" s="52">
        <f>'БазНорм (обр)'!C153</f>
        <v>1.2003360941063497E-2</v>
      </c>
      <c r="C161" s="61">
        <f>'БазНорм (обр)'!J153</f>
        <v>1</v>
      </c>
      <c r="D161" s="122">
        <f>'БазНорм (обр)'!K153</f>
        <v>9.3333333333333339</v>
      </c>
      <c r="E161" s="122">
        <f t="shared" si="2"/>
        <v>0.11203136878325931</v>
      </c>
      <c r="F161" s="192"/>
    </row>
    <row r="162" spans="1:6" ht="30" customHeight="1" x14ac:dyDescent="0.3">
      <c r="A162" s="183" t="s">
        <v>11</v>
      </c>
      <c r="B162" s="183"/>
      <c r="C162" s="183"/>
      <c r="D162" s="183"/>
      <c r="E162" s="73">
        <f>E163+E172+E202+E204+E208+E212+E216+E213</f>
        <v>7800.7254723867909</v>
      </c>
      <c r="F162" s="192"/>
    </row>
    <row r="163" spans="1:6" ht="30" customHeight="1" outlineLevel="1" x14ac:dyDescent="0.3">
      <c r="A163" s="183" t="s">
        <v>12</v>
      </c>
      <c r="B163" s="183"/>
      <c r="C163" s="183"/>
      <c r="D163" s="183"/>
      <c r="E163" s="73">
        <f>SUM(E164:E171)</f>
        <v>6229.999088016968</v>
      </c>
      <c r="F163" s="192"/>
    </row>
    <row r="164" spans="1:6" outlineLevel="2" x14ac:dyDescent="0.3">
      <c r="A164" s="26" t="str">
        <f>'БазНорм (обр)'!A156</f>
        <v>Теплоэнергия (город)</v>
      </c>
      <c r="B164" s="52">
        <f>'БазНорм (обр)'!C156</f>
        <v>1.6197030752916226</v>
      </c>
      <c r="C164" s="61">
        <f>'БазНорм (обр)'!J156</f>
        <v>1</v>
      </c>
      <c r="D164" s="122">
        <f>'БазНорм (обр)'!K156</f>
        <v>3101.7699982977383</v>
      </c>
      <c r="E164" s="68">
        <f t="shared" ref="E164:E171" si="3">B164*D164</f>
        <v>5023.9464050901379</v>
      </c>
      <c r="F164" s="192"/>
    </row>
    <row r="165" spans="1:6" outlineLevel="2" x14ac:dyDescent="0.3">
      <c r="A165" s="26" t="str">
        <f>'БазНорм (обр)'!A157</f>
        <v>Теплоэнергия в горячей воде</v>
      </c>
      <c r="B165" s="52">
        <f>'БазНорм (обр)'!C157</f>
        <v>0</v>
      </c>
      <c r="C165" s="61">
        <f>'БазНорм (обр)'!J157</f>
        <v>1</v>
      </c>
      <c r="D165" s="122">
        <f>'БазНорм (обр)'!K157</f>
        <v>0</v>
      </c>
      <c r="E165" s="68">
        <f t="shared" si="3"/>
        <v>0</v>
      </c>
      <c r="F165" s="192"/>
    </row>
    <row r="166" spans="1:6" outlineLevel="2" x14ac:dyDescent="0.3">
      <c r="A166" s="26" t="str">
        <f>'БазНорм (обр)'!A158</f>
        <v>Теплоноситель</v>
      </c>
      <c r="B166" s="52">
        <f>'БазНорм (обр)'!C158</f>
        <v>3.4638388123011667</v>
      </c>
      <c r="C166" s="61">
        <f>'БазНорм (обр)'!J158</f>
        <v>1</v>
      </c>
      <c r="D166" s="122">
        <f>'БазНорм (обр)'!K158</f>
        <v>19.370000612294881</v>
      </c>
      <c r="E166" s="68">
        <f t="shared" si="3"/>
        <v>67.094559915164368</v>
      </c>
      <c r="F166" s="192"/>
    </row>
    <row r="167" spans="1:6" outlineLevel="2" x14ac:dyDescent="0.3">
      <c r="A167" s="26" t="str">
        <f>'БазНорм (обр)'!A159</f>
        <v>Электроэнергия (до 150)</v>
      </c>
      <c r="B167" s="52">
        <f>'БазНорм (обр)'!C159</f>
        <v>113.65853658536585</v>
      </c>
      <c r="C167" s="61">
        <f>'БазНорм (обр)'!J159</f>
        <v>1</v>
      </c>
      <c r="D167" s="122">
        <f>'БазНорм (обр)'!K159</f>
        <v>5.23</v>
      </c>
      <c r="E167" s="68">
        <f t="shared" si="3"/>
        <v>594.43414634146347</v>
      </c>
      <c r="F167" s="192"/>
    </row>
    <row r="168" spans="1:6" ht="26" outlineLevel="2" x14ac:dyDescent="0.3">
      <c r="A168" s="26" t="str">
        <f>'БазНорм (обр)'!A160</f>
        <v>Электроэнергия (от 150 до 670)</v>
      </c>
      <c r="B168" s="52">
        <f>'БазНорм (обр)'!C160</f>
        <v>57.739130434782609</v>
      </c>
      <c r="C168" s="61">
        <f>'БазНорм (обр)'!J160</f>
        <v>1</v>
      </c>
      <c r="D168" s="122">
        <f>'БазНорм (обр)'!K160</f>
        <v>5.1899999999999995</v>
      </c>
      <c r="E168" s="68">
        <f t="shared" si="3"/>
        <v>299.66608695652172</v>
      </c>
      <c r="F168" s="192"/>
    </row>
    <row r="169" spans="1:6" outlineLevel="2" x14ac:dyDescent="0.3">
      <c r="A169" s="26" t="str">
        <f>'БазНорм (обр)'!A161</f>
        <v>Холодное водоснабжение</v>
      </c>
      <c r="B169" s="52">
        <f>'БазНорм (обр)'!C161</f>
        <v>4.1823966065747618</v>
      </c>
      <c r="C169" s="61">
        <f>'БазНорм (обр)'!J161</f>
        <v>1</v>
      </c>
      <c r="D169" s="122">
        <f>'БазНорм (обр)'!K161</f>
        <v>19.55</v>
      </c>
      <c r="E169" s="68">
        <f t="shared" si="3"/>
        <v>81.765853658536599</v>
      </c>
      <c r="F169" s="192"/>
    </row>
    <row r="170" spans="1:6" outlineLevel="2" x14ac:dyDescent="0.3">
      <c r="A170" s="26" t="str">
        <f>'БазНорм (обр)'!A162</f>
        <v>Водоотведение</v>
      </c>
      <c r="B170" s="52">
        <f>'БазНорм (обр)'!C162</f>
        <v>6.7815482502651117</v>
      </c>
      <c r="C170" s="61">
        <f>'БазНорм (обр)'!J162</f>
        <v>1</v>
      </c>
      <c r="D170" s="122">
        <f>'БазНорм (обр)'!K162</f>
        <v>22.639999999999997</v>
      </c>
      <c r="E170" s="68">
        <f t="shared" si="3"/>
        <v>153.53425238600209</v>
      </c>
      <c r="F170" s="192"/>
    </row>
    <row r="171" spans="1:6" outlineLevel="2" x14ac:dyDescent="0.3">
      <c r="A171" s="26" t="str">
        <f>'БазНорм (обр)'!A163</f>
        <v>Сбросы загрязнений</v>
      </c>
      <c r="B171" s="52">
        <f>'БазНорм (обр)'!C163</f>
        <v>5.7232237539766704</v>
      </c>
      <c r="C171" s="61">
        <f>'БазНорм (обр)'!J163</f>
        <v>1</v>
      </c>
      <c r="D171" s="122">
        <f>'БазНорм (обр)'!K163</f>
        <v>1.67</v>
      </c>
      <c r="E171" s="68">
        <f t="shared" si="3"/>
        <v>9.5577836691410383</v>
      </c>
      <c r="F171" s="192"/>
    </row>
    <row r="172" spans="1:6" ht="30" customHeight="1" outlineLevel="1" x14ac:dyDescent="0.3">
      <c r="A172" s="183" t="s">
        <v>14</v>
      </c>
      <c r="B172" s="183"/>
      <c r="C172" s="183"/>
      <c r="D172" s="183"/>
      <c r="E172" s="73">
        <f>SUM(E173:E201)</f>
        <v>899.27834676564157</v>
      </c>
      <c r="F172" s="192"/>
    </row>
    <row r="173" spans="1:6" outlineLevel="2" x14ac:dyDescent="0.3">
      <c r="A173" s="26" t="str">
        <f>'БазНорм (обр)'!A165</f>
        <v>Дератизация</v>
      </c>
      <c r="B173" s="52">
        <f>'БазНорм (обр)'!C165</f>
        <v>0.93864262990455993</v>
      </c>
      <c r="C173" s="61">
        <f>'БазНорм (обр)'!J165</f>
        <v>1</v>
      </c>
      <c r="D173" s="122">
        <f>'БазНорм (обр)'!K165</f>
        <v>1.6499999999999997</v>
      </c>
      <c r="E173" s="68">
        <f t="shared" ref="E173:E203" si="4">B173*D173</f>
        <v>1.5487603393425236</v>
      </c>
      <c r="F173" s="192"/>
    </row>
    <row r="174" spans="1:6" outlineLevel="2" x14ac:dyDescent="0.3">
      <c r="A174" s="26" t="str">
        <f>'БазНорм (обр)'!A166</f>
        <v>Дезинсекция</v>
      </c>
      <c r="B174" s="52">
        <f>'БазНорм (обр)'!C166</f>
        <v>0.42417815482502652</v>
      </c>
      <c r="C174" s="61">
        <f>'БазНорм (обр)'!J166</f>
        <v>1</v>
      </c>
      <c r="D174" s="122">
        <f>'БазНорм (обр)'!K166</f>
        <v>3.64</v>
      </c>
      <c r="E174" s="68">
        <f t="shared" si="4"/>
        <v>1.5440084835630965</v>
      </c>
      <c r="F174" s="192"/>
    </row>
    <row r="175" spans="1:6" outlineLevel="2" x14ac:dyDescent="0.3">
      <c r="A175" s="26" t="str">
        <f>'БазНорм (обр)'!A167</f>
        <v>ТО КТС</v>
      </c>
      <c r="B175" s="52">
        <f>'БазНорм (обр)'!C167</f>
        <v>2.1208907741251328E-3</v>
      </c>
      <c r="C175" s="61">
        <f>'БазНорм (обр)'!J167</f>
        <v>1</v>
      </c>
      <c r="D175" s="122">
        <f>'БазНорм (обр)'!K167</f>
        <v>3997.2</v>
      </c>
      <c r="E175" s="68">
        <f t="shared" si="4"/>
        <v>8.4776246023329804</v>
      </c>
      <c r="F175" s="192"/>
    </row>
    <row r="176" spans="1:6" outlineLevel="2" x14ac:dyDescent="0.3">
      <c r="A176" s="26" t="str">
        <f>'БазНорм (обр)'!A168</f>
        <v>Охрана КТС</v>
      </c>
      <c r="B176" s="52">
        <f>'БазНорм (обр)'!C168</f>
        <v>0</v>
      </c>
      <c r="C176" s="61">
        <f>'БазНорм (обр)'!J168</f>
        <v>1</v>
      </c>
      <c r="D176" s="122">
        <f>'БазНорм (обр)'!K168</f>
        <v>1.69</v>
      </c>
      <c r="E176" s="68">
        <f t="shared" si="4"/>
        <v>0</v>
      </c>
      <c r="F176" s="192"/>
    </row>
    <row r="177" spans="1:6" outlineLevel="2" x14ac:dyDescent="0.3">
      <c r="A177" s="26" t="str">
        <f>'БазНорм (обр)'!A169</f>
        <v>Охрана КТС</v>
      </c>
      <c r="B177" s="52">
        <f>'БазНорм (обр)'!C169</f>
        <v>18.579003181336162</v>
      </c>
      <c r="C177" s="61">
        <f>'БазНорм (обр)'!J169</f>
        <v>1</v>
      </c>
      <c r="D177" s="122">
        <f>'БазНорм (обр)'!K169</f>
        <v>3.28</v>
      </c>
      <c r="E177" s="68">
        <f t="shared" si="4"/>
        <v>60.939130434782605</v>
      </c>
      <c r="F177" s="192"/>
    </row>
    <row r="178" spans="1:6" outlineLevel="2" x14ac:dyDescent="0.3">
      <c r="A178" s="26" t="str">
        <f>'БазНорм (обр)'!A170</f>
        <v>Охрана КТС</v>
      </c>
      <c r="B178" s="52">
        <f>'БазНорм (обр)'!C170</f>
        <v>0</v>
      </c>
      <c r="C178" s="61">
        <f>'БазНорм (обр)'!J170</f>
        <v>1</v>
      </c>
      <c r="D178" s="122">
        <f>'БазНорм (обр)'!K170</f>
        <v>5.48</v>
      </c>
      <c r="E178" s="68">
        <f t="shared" si="4"/>
        <v>0</v>
      </c>
      <c r="F178" s="192"/>
    </row>
    <row r="179" spans="1:6" outlineLevel="2" x14ac:dyDescent="0.3">
      <c r="A179" s="26" t="str">
        <f>'БазНорм (обр)'!A171</f>
        <v>Охрана КТС</v>
      </c>
      <c r="B179" s="52">
        <f>'БазНорм (обр)'!C171</f>
        <v>0</v>
      </c>
      <c r="C179" s="61">
        <f>'БазНорм (обр)'!J171</f>
        <v>1</v>
      </c>
      <c r="D179" s="122">
        <f>'БазНорм (обр)'!K171</f>
        <v>1.34</v>
      </c>
      <c r="E179" s="68">
        <f t="shared" si="4"/>
        <v>0</v>
      </c>
      <c r="F179" s="192"/>
    </row>
    <row r="180" spans="1:6" outlineLevel="2" x14ac:dyDescent="0.3">
      <c r="A180" s="26" t="str">
        <f>'БазНорм (обр)'!A172</f>
        <v>Охрана КТС</v>
      </c>
      <c r="B180" s="52">
        <f>'БазНорм (обр)'!C172</f>
        <v>0</v>
      </c>
      <c r="C180" s="61">
        <f>'БазНорм (обр)'!J172</f>
        <v>1</v>
      </c>
      <c r="D180" s="122">
        <f>'БазНорм (обр)'!K172</f>
        <v>1.64</v>
      </c>
      <c r="E180" s="68">
        <f t="shared" si="4"/>
        <v>0</v>
      </c>
      <c r="F180" s="192"/>
    </row>
    <row r="181" spans="1:6" outlineLevel="2" x14ac:dyDescent="0.3">
      <c r="A181" s="26" t="str">
        <f>'БазНорм (обр)'!A173</f>
        <v>Пожарная охрана</v>
      </c>
      <c r="B181" s="52">
        <f>'БазНорм (обр)'!C173</f>
        <v>18.579003181336162</v>
      </c>
      <c r="C181" s="61">
        <f>'БазНорм (обр)'!J173</f>
        <v>1</v>
      </c>
      <c r="D181" s="122">
        <f>'БазНорм (обр)'!K173</f>
        <v>5.27</v>
      </c>
      <c r="E181" s="68">
        <f t="shared" si="4"/>
        <v>97.911346765641568</v>
      </c>
      <c r="F181" s="192"/>
    </row>
    <row r="182" spans="1:6" outlineLevel="2" x14ac:dyDescent="0.3">
      <c r="A182" s="26" t="str">
        <f>'БазНорм (обр)'!A174</f>
        <v>ТО пожарной сигнализации</v>
      </c>
      <c r="B182" s="52">
        <f>'БазНорм (обр)'!C174</f>
        <v>0</v>
      </c>
      <c r="C182" s="61">
        <f>'БазНорм (обр)'!J174</f>
        <v>1</v>
      </c>
      <c r="D182" s="122">
        <f>'БазНорм (обр)'!K174</f>
        <v>103782</v>
      </c>
      <c r="E182" s="68">
        <f t="shared" si="4"/>
        <v>0</v>
      </c>
      <c r="F182" s="192"/>
    </row>
    <row r="183" spans="1:6" outlineLevel="2" x14ac:dyDescent="0.3">
      <c r="A183" s="26" t="str">
        <f>'БазНорм (обр)'!A175</f>
        <v>ТО пожарной сигнализации</v>
      </c>
      <c r="B183" s="52">
        <f>'БазНорм (обр)'!C175</f>
        <v>0</v>
      </c>
      <c r="C183" s="61">
        <f>'БазНорм (обр)'!J175</f>
        <v>1</v>
      </c>
      <c r="D183" s="122">
        <f>'БазНорм (обр)'!K175</f>
        <v>139884</v>
      </c>
      <c r="E183" s="68">
        <f t="shared" si="4"/>
        <v>0</v>
      </c>
      <c r="F183" s="192"/>
    </row>
    <row r="184" spans="1:6" outlineLevel="2" x14ac:dyDescent="0.3">
      <c r="A184" s="26" t="str">
        <f>'БазНорм (обр)'!A176</f>
        <v>ТО пожарной сигнализации</v>
      </c>
      <c r="B184" s="52">
        <f>'БазНорм (обр)'!C176</f>
        <v>1.0604453870625664E-3</v>
      </c>
      <c r="C184" s="61">
        <f>'БазНорм (обр)'!J176</f>
        <v>1</v>
      </c>
      <c r="D184" s="122">
        <f>'БазНорм (обр)'!K176</f>
        <v>93710.48</v>
      </c>
      <c r="E184" s="68">
        <f t="shared" si="4"/>
        <v>99.374846235418886</v>
      </c>
      <c r="F184" s="192"/>
    </row>
    <row r="185" spans="1:6" outlineLevel="2" x14ac:dyDescent="0.3">
      <c r="A185" s="26" t="str">
        <f>'БазНорм (обр)'!A177</f>
        <v>ТО пожарной сигнализации</v>
      </c>
      <c r="B185" s="52">
        <f>'БазНорм (обр)'!C177</f>
        <v>0</v>
      </c>
      <c r="C185" s="61">
        <f>'БазНорм (обр)'!J177</f>
        <v>1</v>
      </c>
      <c r="D185" s="122">
        <f>'БазНорм (обр)'!K177</f>
        <v>109874.40000000001</v>
      </c>
      <c r="E185" s="68">
        <f t="shared" si="4"/>
        <v>0</v>
      </c>
      <c r="F185" s="192"/>
    </row>
    <row r="186" spans="1:6" outlineLevel="2" x14ac:dyDescent="0.3">
      <c r="A186" s="26" t="str">
        <f>'БазНорм (обр)'!A178</f>
        <v>ТО пожарной сигнализации</v>
      </c>
      <c r="B186" s="52">
        <f>'БазНорм (обр)'!C178</f>
        <v>0</v>
      </c>
      <c r="C186" s="61">
        <f>'БазНорм (обр)'!J178</f>
        <v>1</v>
      </c>
      <c r="D186" s="122">
        <f>'БазНорм (обр)'!K178</f>
        <v>93710.399999999994</v>
      </c>
      <c r="E186" s="68">
        <f t="shared" si="4"/>
        <v>0</v>
      </c>
      <c r="F186" s="192"/>
    </row>
    <row r="187" spans="1:6" outlineLevel="2" x14ac:dyDescent="0.3">
      <c r="A187" s="26" t="str">
        <f>'БазНорм (обр)'!A179</f>
        <v>ТО пожарной сигнализации</v>
      </c>
      <c r="B187" s="52">
        <f>'БазНорм (обр)'!C179</f>
        <v>0</v>
      </c>
      <c r="C187" s="61">
        <f>'БазНорм (обр)'!J179</f>
        <v>1</v>
      </c>
      <c r="D187" s="122">
        <f>'БазНорм (обр)'!K179</f>
        <v>78717.600000000006</v>
      </c>
      <c r="E187" s="68">
        <f t="shared" si="4"/>
        <v>0</v>
      </c>
      <c r="F187" s="192"/>
    </row>
    <row r="188" spans="1:6" outlineLevel="2" x14ac:dyDescent="0.3">
      <c r="A188" s="26" t="str">
        <f>'БазНорм (обр)'!A180</f>
        <v>GSM Контакт</v>
      </c>
      <c r="B188" s="52">
        <f>'БазНорм (обр)'!C180</f>
        <v>0</v>
      </c>
      <c r="C188" s="61">
        <f>'БазНорм (обр)'!J180</f>
        <v>1</v>
      </c>
      <c r="D188" s="122">
        <f>'БазНорм (обр)'!K180</f>
        <v>575</v>
      </c>
      <c r="E188" s="68">
        <f t="shared" si="4"/>
        <v>0</v>
      </c>
      <c r="F188" s="192"/>
    </row>
    <row r="189" spans="1:6" outlineLevel="2" x14ac:dyDescent="0.3">
      <c r="A189" s="26" t="str">
        <f>'БазНорм (обр)'!A181</f>
        <v>ТО приборов учета тепла</v>
      </c>
      <c r="B189" s="52">
        <f>'БазНорм (обр)'!C181</f>
        <v>2.1208907741251328E-3</v>
      </c>
      <c r="C189" s="61">
        <f>'БазНорм (обр)'!J181</f>
        <v>1</v>
      </c>
      <c r="D189" s="122">
        <f>'БазНорм (обр)'!K181</f>
        <v>20721.88</v>
      </c>
      <c r="E189" s="68">
        <f t="shared" si="4"/>
        <v>43.948844114528107</v>
      </c>
      <c r="F189" s="192"/>
    </row>
    <row r="190" spans="1:6" ht="26" outlineLevel="2" x14ac:dyDescent="0.3">
      <c r="A190" s="26" t="str">
        <f>'БазНорм (обр)'!A182</f>
        <v>ТО автоматизированного теплового пункта</v>
      </c>
      <c r="B190" s="52">
        <f>'БазНорм (обр)'!C182</f>
        <v>2.1208907741251328E-3</v>
      </c>
      <c r="C190" s="61">
        <f>'БазНорм (обр)'!J182</f>
        <v>1</v>
      </c>
      <c r="D190" s="122">
        <f>'БазНорм (обр)'!K182</f>
        <v>17631.633333333335</v>
      </c>
      <c r="E190" s="68">
        <f t="shared" si="4"/>
        <v>37.39476846942383</v>
      </c>
      <c r="F190" s="192"/>
    </row>
    <row r="191" spans="1:6" outlineLevel="2" x14ac:dyDescent="0.3">
      <c r="A191" s="26" t="str">
        <f>'БазНорм (обр)'!A183</f>
        <v>ТО системы видеонаблюдения</v>
      </c>
      <c r="B191" s="52">
        <f>'БазНорм (обр)'!C183</f>
        <v>1.0604453870625664E-3</v>
      </c>
      <c r="C191" s="61">
        <f>'БазНорм (обр)'!J183</f>
        <v>1</v>
      </c>
      <c r="D191" s="122">
        <f>'БазНорм (обр)'!K183</f>
        <v>21200</v>
      </c>
      <c r="E191" s="68">
        <f t="shared" si="4"/>
        <v>22.481442205726406</v>
      </c>
      <c r="F191" s="192"/>
    </row>
    <row r="192" spans="1:6" outlineLevel="2" x14ac:dyDescent="0.3">
      <c r="A192" s="26" t="str">
        <f>'БазНорм (обр)'!A184</f>
        <v>ТО системы видеонаблюдения</v>
      </c>
      <c r="B192" s="52">
        <f>'БазНорм (обр)'!C184</f>
        <v>0</v>
      </c>
      <c r="C192" s="61">
        <f>'БазНорм (обр)'!J184</f>
        <v>1</v>
      </c>
      <c r="D192" s="122">
        <f>'БазНорм (обр)'!K184</f>
        <v>18000</v>
      </c>
      <c r="E192" s="68">
        <f t="shared" si="4"/>
        <v>0</v>
      </c>
      <c r="F192" s="192"/>
    </row>
    <row r="193" spans="1:6" outlineLevel="2" x14ac:dyDescent="0.3">
      <c r="A193" s="26" t="str">
        <f>'БазНорм (обр)'!A185</f>
        <v>ТО системы видеонаблюдения</v>
      </c>
      <c r="B193" s="52">
        <f>'БазНорм (обр)'!C185</f>
        <v>0</v>
      </c>
      <c r="C193" s="61">
        <f>'БазНорм (обр)'!J185</f>
        <v>1</v>
      </c>
      <c r="D193" s="122">
        <f>'БазНорм (обр)'!K185</f>
        <v>33000</v>
      </c>
      <c r="E193" s="68">
        <f t="shared" si="4"/>
        <v>0</v>
      </c>
      <c r="F193" s="192"/>
    </row>
    <row r="194" spans="1:6" outlineLevel="2" x14ac:dyDescent="0.3">
      <c r="A194" s="26" t="str">
        <f>'БазНорм (обр)'!A186</f>
        <v>Вывоз ТБО</v>
      </c>
      <c r="B194" s="52">
        <f>'БазНорм (обр)'!C186</f>
        <v>0.30965005302226933</v>
      </c>
      <c r="C194" s="61">
        <f>'БазНорм (обр)'!J186</f>
        <v>1</v>
      </c>
      <c r="D194" s="122">
        <f>'БазНорм (обр)'!K186</f>
        <v>651</v>
      </c>
      <c r="E194" s="68">
        <f t="shared" si="4"/>
        <v>201.58218451749732</v>
      </c>
      <c r="F194" s="192"/>
    </row>
    <row r="195" spans="1:6" outlineLevel="2" x14ac:dyDescent="0.3">
      <c r="A195" s="26" t="str">
        <f>'БазНорм (обр)'!A187</f>
        <v>Уборка снега</v>
      </c>
      <c r="B195" s="52">
        <f>'БазНорм (обр)'!C187</f>
        <v>0</v>
      </c>
      <c r="C195" s="61">
        <f>'БазНорм (обр)'!J187</f>
        <v>1</v>
      </c>
      <c r="D195" s="122">
        <f>'БазНорм (обр)'!K187</f>
        <v>1886.67</v>
      </c>
      <c r="E195" s="68">
        <f t="shared" si="4"/>
        <v>0</v>
      </c>
      <c r="F195" s="192"/>
    </row>
    <row r="196" spans="1:6" ht="26" outlineLevel="2" x14ac:dyDescent="0.3">
      <c r="A196" s="26" t="str">
        <f>'БазНорм (обр)'!A188</f>
        <v>Замеры сопротивлений изоляции проводки</v>
      </c>
      <c r="B196" s="52">
        <f>'БазНорм (обр)'!C188</f>
        <v>2.1208907741251328E-3</v>
      </c>
      <c r="C196" s="61">
        <f>'БазНорм (обр)'!J188</f>
        <v>1</v>
      </c>
      <c r="D196" s="122">
        <f>'БазНорм (обр)'!K188</f>
        <v>31336.333333333332</v>
      </c>
      <c r="E196" s="68">
        <f t="shared" si="4"/>
        <v>66.460940261576539</v>
      </c>
      <c r="F196" s="192"/>
    </row>
    <row r="197" spans="1:6" ht="26" outlineLevel="2" x14ac:dyDescent="0.3">
      <c r="A197" s="26" t="str">
        <f>'БазНорм (обр)'!A189</f>
        <v>Техническое обслуживание силового электрооборудования</v>
      </c>
      <c r="B197" s="52">
        <f>'БазНорм (обр)'!C189</f>
        <v>0</v>
      </c>
      <c r="C197" s="61">
        <f>'БазНорм (обр)'!J189</f>
        <v>1</v>
      </c>
      <c r="D197" s="122">
        <f>'БазНорм (обр)'!K189</f>
        <v>11356.666666666666</v>
      </c>
      <c r="E197" s="68">
        <f t="shared" si="4"/>
        <v>0</v>
      </c>
      <c r="F197" s="192"/>
    </row>
    <row r="198" spans="1:6" outlineLevel="2" x14ac:dyDescent="0.3">
      <c r="A198" s="26" t="str">
        <f>'БазНорм (обр)'!A190</f>
        <v>Прочистка канализации</v>
      </c>
      <c r="B198" s="52">
        <f>'БазНорм (обр)'!C190</f>
        <v>4.2417815482502655E-3</v>
      </c>
      <c r="C198" s="61">
        <f>'БазНорм (обр)'!J190</f>
        <v>1</v>
      </c>
      <c r="D198" s="122">
        <f>'БазНорм (обр)'!K190</f>
        <v>10489</v>
      </c>
      <c r="E198" s="68">
        <f t="shared" si="4"/>
        <v>44.492046659597037</v>
      </c>
      <c r="F198" s="192"/>
    </row>
    <row r="199" spans="1:6" outlineLevel="2" x14ac:dyDescent="0.3">
      <c r="A199" s="26" t="str">
        <f>'БазНорм (обр)'!A191</f>
        <v>Проверка качества огнезащиты</v>
      </c>
      <c r="B199" s="52">
        <f>'БазНорм (обр)'!C191</f>
        <v>2.1208907741251328E-3</v>
      </c>
      <c r="C199" s="61">
        <f>'БазНорм (обр)'!J191</f>
        <v>1</v>
      </c>
      <c r="D199" s="122">
        <f>'БазНорм (обр)'!K191</f>
        <v>5450.5466666666662</v>
      </c>
      <c r="E199" s="68">
        <f t="shared" si="4"/>
        <v>11.560014139271827</v>
      </c>
      <c r="F199" s="192"/>
    </row>
    <row r="200" spans="1:6" ht="39" outlineLevel="2" x14ac:dyDescent="0.3">
      <c r="A200" s="26" t="str">
        <f>'БазНорм (обр)'!A192</f>
        <v>Огнезащитная обработка чердачных деревянных конструкций</v>
      </c>
      <c r="B200" s="52">
        <f>'БазНорм (обр)'!C192</f>
        <v>3.9236479321314954</v>
      </c>
      <c r="C200" s="61">
        <f>'БазНорм (обр)'!J192</f>
        <v>1</v>
      </c>
      <c r="D200" s="122">
        <f>'БазНорм (обр)'!K192</f>
        <v>36.333333333333336</v>
      </c>
      <c r="E200" s="68">
        <f t="shared" si="4"/>
        <v>142.55920820077768</v>
      </c>
      <c r="F200" s="192"/>
    </row>
    <row r="201" spans="1:6" outlineLevel="2" x14ac:dyDescent="0.3">
      <c r="A201" s="26" t="str">
        <f>'БазНорм (обр)'!A193</f>
        <v>ТО грузового лифта</v>
      </c>
      <c r="B201" s="52">
        <f>'БазНорм (обр)'!C193</f>
        <v>1.0604453870625664E-3</v>
      </c>
      <c r="C201" s="61">
        <f>'БазНорм (обр)'!J193</f>
        <v>1</v>
      </c>
      <c r="D201" s="122">
        <f>'БазНорм (обр)'!K193</f>
        <v>55640</v>
      </c>
      <c r="E201" s="68">
        <f t="shared" si="4"/>
        <v>59.003181336161191</v>
      </c>
      <c r="F201" s="192"/>
    </row>
    <row r="202" spans="1:6" ht="30" customHeight="1" outlineLevel="1" x14ac:dyDescent="0.3">
      <c r="A202" s="183" t="s">
        <v>15</v>
      </c>
      <c r="B202" s="183"/>
      <c r="C202" s="183"/>
      <c r="D202" s="183"/>
      <c r="E202" s="73">
        <f>SUM(E203:E203)</f>
        <v>66.719688936019793</v>
      </c>
      <c r="F202" s="192"/>
    </row>
    <row r="203" spans="1:6" outlineLevel="2" x14ac:dyDescent="0.3">
      <c r="A203" s="26" t="str">
        <f>'БазНорм (обр)'!A195</f>
        <v>Ремонт МФУ</v>
      </c>
      <c r="B203" s="52">
        <f>'БазНорм (обр)'!C195</f>
        <v>2.6511134676564158E-2</v>
      </c>
      <c r="C203" s="61">
        <f>'БазНорм (обр)'!J195</f>
        <v>1</v>
      </c>
      <c r="D203" s="122">
        <f>'БазНорм (обр)'!K195</f>
        <v>2516.6666666666665</v>
      </c>
      <c r="E203" s="68">
        <f t="shared" si="4"/>
        <v>66.719688936019793</v>
      </c>
      <c r="F203" s="192"/>
    </row>
    <row r="204" spans="1:6" ht="30" customHeight="1" outlineLevel="1" x14ac:dyDescent="0.3">
      <c r="A204" s="183" t="s">
        <v>16</v>
      </c>
      <c r="B204" s="183"/>
      <c r="C204" s="183"/>
      <c r="D204" s="183"/>
      <c r="E204" s="73">
        <f>SUM(E205:E207)</f>
        <v>127.26148462354189</v>
      </c>
      <c r="F204" s="192"/>
    </row>
    <row r="205" spans="1:6" outlineLevel="2" x14ac:dyDescent="0.3">
      <c r="A205" s="26" t="str">
        <f>'БазНорм (обр)'!A197</f>
        <v>Местная связь</v>
      </c>
      <c r="B205" s="52">
        <f>'БазНорм (обр)'!C197</f>
        <v>1.2725344644750797E-2</v>
      </c>
      <c r="C205" s="61">
        <f>'БазНорм (обр)'!J197</f>
        <v>1</v>
      </c>
      <c r="D205" s="122">
        <f>'БазНорм (обр)'!K197</f>
        <v>4109.3499999999995</v>
      </c>
      <c r="E205" s="68">
        <f>B205*D205</f>
        <v>52.29289501590668</v>
      </c>
      <c r="F205" s="192"/>
    </row>
    <row r="206" spans="1:6" outlineLevel="2" x14ac:dyDescent="0.3">
      <c r="A206" s="26" t="str">
        <f>'БазНорм (обр)'!A198</f>
        <v>Связь МН и МГ</v>
      </c>
      <c r="B206" s="52">
        <f>'БазНорм (обр)'!C198</f>
        <v>1.2725344644750797E-2</v>
      </c>
      <c r="C206" s="61">
        <f>'БазНорм (обр)'!J198</f>
        <v>1</v>
      </c>
      <c r="D206" s="122">
        <f>'БазНорм (обр)'!K198</f>
        <v>31.271666666666665</v>
      </c>
      <c r="E206" s="68">
        <f>B206*D206</f>
        <v>0.39794273594909868</v>
      </c>
      <c r="F206" s="192"/>
    </row>
    <row r="207" spans="1:6" outlineLevel="2" x14ac:dyDescent="0.3">
      <c r="A207" s="26" t="str">
        <f>'БазНорм (обр)'!A199</f>
        <v>Интернет</v>
      </c>
      <c r="B207" s="52">
        <f>'БазНорм (обр)'!C199</f>
        <v>1.2725344644750797E-2</v>
      </c>
      <c r="C207" s="61">
        <f>'БазНорм (обр)'!J199</f>
        <v>1</v>
      </c>
      <c r="D207" s="122">
        <f>'БазНорм (обр)'!K199</f>
        <v>5860.0099999999993</v>
      </c>
      <c r="E207" s="68">
        <f>B207*D207</f>
        <v>74.570646871686108</v>
      </c>
      <c r="F207" s="192"/>
    </row>
    <row r="208" spans="1:6" ht="30" customHeight="1" outlineLevel="1" x14ac:dyDescent="0.3">
      <c r="A208" s="183" t="s">
        <v>17</v>
      </c>
      <c r="B208" s="183"/>
      <c r="C208" s="183"/>
      <c r="D208" s="183"/>
      <c r="E208" s="73">
        <v>0</v>
      </c>
      <c r="F208" s="192"/>
    </row>
    <row r="209" spans="1:6" outlineLevel="2" x14ac:dyDescent="0.3">
      <c r="A209" s="57"/>
      <c r="B209" s="57"/>
      <c r="C209" s="57"/>
      <c r="D209" s="57"/>
      <c r="E209" s="57"/>
      <c r="F209" s="192"/>
    </row>
    <row r="210" spans="1:6" outlineLevel="2" x14ac:dyDescent="0.3">
      <c r="A210" s="57"/>
      <c r="B210" s="57"/>
      <c r="C210" s="57"/>
      <c r="D210" s="57"/>
      <c r="E210" s="57"/>
      <c r="F210" s="192"/>
    </row>
    <row r="211" spans="1:6" outlineLevel="2" x14ac:dyDescent="0.3">
      <c r="A211" s="57"/>
      <c r="B211" s="57"/>
      <c r="C211" s="57"/>
      <c r="D211" s="57"/>
      <c r="E211" s="57"/>
      <c r="F211" s="192"/>
    </row>
    <row r="212" spans="1:6" ht="30" customHeight="1" outlineLevel="1" x14ac:dyDescent="0.3">
      <c r="A212" s="183" t="s">
        <v>20</v>
      </c>
      <c r="B212" s="183"/>
      <c r="C212" s="183"/>
      <c r="D212" s="183"/>
      <c r="E212" s="73">
        <v>0</v>
      </c>
      <c r="F212" s="192"/>
    </row>
    <row r="213" spans="1:6" ht="26" outlineLevel="2" x14ac:dyDescent="0.3">
      <c r="A213" s="131" t="str">
        <f>'БазНорм (обр)'!A205</f>
        <v>Административно-управленческий персонал</v>
      </c>
      <c r="B213" s="64">
        <f>'БазНорм (обр)'!C205</f>
        <v>5.3022269353128317E-3</v>
      </c>
      <c r="C213" s="68">
        <f>'БазНорм (обр)'!J205</f>
        <v>1</v>
      </c>
      <c r="D213" s="68">
        <f>'БазНорм (обр)'!K205</f>
        <v>36009.629999999997</v>
      </c>
      <c r="E213" s="68">
        <f>B213/C213*D213</f>
        <v>190.93123011664898</v>
      </c>
      <c r="F213" s="192"/>
    </row>
    <row r="214" spans="1:6" outlineLevel="2" x14ac:dyDescent="0.3">
      <c r="A214" s="57"/>
      <c r="B214" s="57"/>
      <c r="C214" s="57"/>
      <c r="D214" s="57"/>
      <c r="E214" s="57"/>
      <c r="F214" s="192"/>
    </row>
    <row r="215" spans="1:6" outlineLevel="2" x14ac:dyDescent="0.3">
      <c r="A215" s="57"/>
      <c r="B215" s="57"/>
      <c r="C215" s="57"/>
      <c r="D215" s="57"/>
      <c r="E215" s="57"/>
      <c r="F215" s="192"/>
    </row>
    <row r="216" spans="1:6" ht="16.5" customHeight="1" outlineLevel="1" x14ac:dyDescent="0.3">
      <c r="A216" s="183" t="s">
        <v>23</v>
      </c>
      <c r="B216" s="183"/>
      <c r="C216" s="183"/>
      <c r="D216" s="183"/>
      <c r="E216" s="73">
        <f>E217+E218+E219+E220+E221+E222+E223+E224+E225+E226+E227+E228+E229+E230+E231+E232+E233+E234+E235+E236+E237+E238+E239+E240+E259+E263+E293+E297</f>
        <v>286.53563392797093</v>
      </c>
      <c r="F216" s="192"/>
    </row>
    <row r="217" spans="1:6" ht="26" outlineLevel="2" x14ac:dyDescent="0.3">
      <c r="A217" s="26" t="str">
        <f>'БазНорм (обр)'!A209</f>
        <v>Исследование воды после гидропромывки</v>
      </c>
      <c r="B217" s="52">
        <f>'БазНорм (обр)'!C209</f>
        <v>2.1208907741251328E-3</v>
      </c>
      <c r="C217" s="61">
        <f>'БазНорм (обр)'!J209</f>
        <v>1</v>
      </c>
      <c r="D217" s="122">
        <f>'БазНорм (обр)'!K209</f>
        <v>2795.78</v>
      </c>
      <c r="E217" s="125">
        <f>B217*D217</f>
        <v>5.929544008483564</v>
      </c>
      <c r="F217" s="192"/>
    </row>
    <row r="218" spans="1:6" outlineLevel="2" x14ac:dyDescent="0.3">
      <c r="A218" s="26" t="str">
        <f>'БазНорм (обр)'!A210</f>
        <v>Исследование воды</v>
      </c>
      <c r="B218" s="52">
        <f>'БазНорм (обр)'!C210</f>
        <v>2.1208907741251328E-3</v>
      </c>
      <c r="C218" s="61">
        <f>'БазНорм (обр)'!J210</f>
        <v>1</v>
      </c>
      <c r="D218" s="122">
        <f>'БазНорм (обр)'!K210</f>
        <v>2918.92</v>
      </c>
      <c r="E218" s="125">
        <f t="shared" ref="E218:E239" si="5">B218*D218</f>
        <v>6.1907104984093326</v>
      </c>
      <c r="F218" s="192"/>
    </row>
    <row r="219" spans="1:6" ht="104" outlineLevel="2" x14ac:dyDescent="0.3">
      <c r="A219" s="26" t="str">
        <f>'БазНорм (обр)'!A211</f>
        <v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v>
      </c>
      <c r="B219" s="52">
        <f>'БазНорм (обр)'!C211</f>
        <v>0</v>
      </c>
      <c r="C219" s="61">
        <f>'БазНорм (обр)'!J211</f>
        <v>1</v>
      </c>
      <c r="D219" s="122">
        <f>'БазНорм (обр)'!K211</f>
        <v>20639.89</v>
      </c>
      <c r="E219" s="125">
        <f t="shared" si="5"/>
        <v>0</v>
      </c>
      <c r="F219" s="192"/>
    </row>
    <row r="220" spans="1:6" outlineLevel="2" x14ac:dyDescent="0.3">
      <c r="A220" s="26" t="str">
        <f>'БазНорм (обр)'!A212</f>
        <v>Замеры ЭМП</v>
      </c>
      <c r="B220" s="52">
        <f>'БазНорм (обр)'!C212</f>
        <v>0</v>
      </c>
      <c r="C220" s="61">
        <f>'БазНорм (обр)'!J212</f>
        <v>1</v>
      </c>
      <c r="D220" s="122">
        <f>'БазНорм (обр)'!K212</f>
        <v>3080.48</v>
      </c>
      <c r="E220" s="125">
        <f t="shared" si="5"/>
        <v>0</v>
      </c>
      <c r="F220" s="192"/>
    </row>
    <row r="221" spans="1:6" outlineLevel="2" x14ac:dyDescent="0.3">
      <c r="A221" s="26" t="str">
        <f>'БазНорм (обр)'!A213</f>
        <v>Зарядка огнетушителей</v>
      </c>
      <c r="B221" s="52">
        <f>'БазНорм (обр)'!C213</f>
        <v>0</v>
      </c>
      <c r="C221" s="61">
        <f>'БазНорм (обр)'!J213</f>
        <v>1</v>
      </c>
      <c r="D221" s="122">
        <f>'БазНорм (обр)'!K213</f>
        <v>439</v>
      </c>
      <c r="E221" s="125">
        <f t="shared" si="5"/>
        <v>0</v>
      </c>
      <c r="F221" s="192"/>
    </row>
    <row r="222" spans="1:6" ht="26" outlineLevel="2" x14ac:dyDescent="0.3">
      <c r="A222" s="26" t="str">
        <f>'БазНорм (обр)'!A214</f>
        <v>Испытание эл/защитных средств (перчатки)</v>
      </c>
      <c r="B222" s="52">
        <f>'БазНорм (обр)'!C214</f>
        <v>0</v>
      </c>
      <c r="C222" s="61">
        <f>'БазНорм (обр)'!J214</f>
        <v>1</v>
      </c>
      <c r="D222" s="122">
        <f>'БазНорм (обр)'!K214</f>
        <v>268.53333333333336</v>
      </c>
      <c r="E222" s="125">
        <f t="shared" si="5"/>
        <v>0</v>
      </c>
      <c r="F222" s="192"/>
    </row>
    <row r="223" spans="1:6" outlineLevel="2" x14ac:dyDescent="0.3">
      <c r="A223" s="26" t="str">
        <f>'БазНорм (обр)'!A215</f>
        <v>Демеркуризация ламп</v>
      </c>
      <c r="B223" s="52">
        <f>'БазНорм (обр)'!C215</f>
        <v>0</v>
      </c>
      <c r="C223" s="61">
        <f>'БазНорм (обр)'!J215</f>
        <v>1</v>
      </c>
      <c r="D223" s="122">
        <f>'БазНорм (обр)'!K215</f>
        <v>21.433333333333334</v>
      </c>
      <c r="E223" s="125">
        <f t="shared" si="5"/>
        <v>0</v>
      </c>
      <c r="F223" s="192"/>
    </row>
    <row r="224" spans="1:6" outlineLevel="2" x14ac:dyDescent="0.3">
      <c r="A224" s="26" t="str">
        <f>'БазНорм (обр)'!A216</f>
        <v>Испытание пожарных кранов</v>
      </c>
      <c r="B224" s="52">
        <f>'БазНорм (обр)'!C216</f>
        <v>0</v>
      </c>
      <c r="C224" s="61">
        <f>'БазНорм (обр)'!J216</f>
        <v>1</v>
      </c>
      <c r="D224" s="122">
        <f>'БазНорм (обр)'!K216</f>
        <v>910</v>
      </c>
      <c r="E224" s="125">
        <f t="shared" si="5"/>
        <v>0</v>
      </c>
      <c r="F224" s="192"/>
    </row>
    <row r="225" spans="1:6" outlineLevel="2" x14ac:dyDescent="0.3">
      <c r="A225" s="26" t="str">
        <f>'БазНорм (обр)'!A217</f>
        <v>Поверка ростомеры металл.</v>
      </c>
      <c r="B225" s="52">
        <f>'БазНорм (обр)'!C217</f>
        <v>0</v>
      </c>
      <c r="C225" s="61">
        <f>'БазНорм (обр)'!J217</f>
        <v>1</v>
      </c>
      <c r="D225" s="122">
        <f>'БазНорм (обр)'!K217</f>
        <v>164.72666666666666</v>
      </c>
      <c r="E225" s="125">
        <f t="shared" si="5"/>
        <v>0</v>
      </c>
      <c r="F225" s="192"/>
    </row>
    <row r="226" spans="1:6" ht="26" outlineLevel="2" x14ac:dyDescent="0.3">
      <c r="A226" s="26" t="str">
        <f>'БазНорм (обр)'!A218</f>
        <v>Поверка приборов учета тепловой энергии</v>
      </c>
      <c r="B226" s="52">
        <f>'БазНорм (обр)'!C218</f>
        <v>0</v>
      </c>
      <c r="C226" s="61">
        <f>'БазНорм (обр)'!J218</f>
        <v>1</v>
      </c>
      <c r="D226" s="122">
        <f>'БазНорм (обр)'!K218</f>
        <v>5833.34</v>
      </c>
      <c r="E226" s="125">
        <f t="shared" si="5"/>
        <v>0</v>
      </c>
      <c r="F226" s="192"/>
    </row>
    <row r="227" spans="1:6" outlineLevel="2" x14ac:dyDescent="0.3">
      <c r="A227" s="26" t="str">
        <f>'БазНорм (обр)'!A219</f>
        <v>Поверка весы торговые</v>
      </c>
      <c r="B227" s="52">
        <f>'БазНорм (обр)'!C219</f>
        <v>0</v>
      </c>
      <c r="C227" s="61">
        <f>'БазНорм (обр)'!J219</f>
        <v>1</v>
      </c>
      <c r="D227" s="122">
        <f>'БазНорм (обр)'!K219</f>
        <v>805.14</v>
      </c>
      <c r="E227" s="125">
        <f t="shared" si="5"/>
        <v>0</v>
      </c>
      <c r="F227" s="192"/>
    </row>
    <row r="228" spans="1:6" outlineLevel="2" x14ac:dyDescent="0.3">
      <c r="A228" s="26" t="str">
        <f>'БазНорм (обр)'!A220</f>
        <v>Поверка весы медицинские</v>
      </c>
      <c r="B228" s="52">
        <f>'БазНорм (обр)'!C220</f>
        <v>0</v>
      </c>
      <c r="C228" s="61">
        <f>'БазНорм (обр)'!J220</f>
        <v>1</v>
      </c>
      <c r="D228" s="122">
        <f>'БазНорм (обр)'!K220</f>
        <v>754.68999999999994</v>
      </c>
      <c r="E228" s="125">
        <f t="shared" si="5"/>
        <v>0</v>
      </c>
      <c r="F228" s="192"/>
    </row>
    <row r="229" spans="1:6" ht="26" outlineLevel="2" x14ac:dyDescent="0.3">
      <c r="A229" s="26" t="str">
        <f>'БазНорм (обр)'!A221</f>
        <v>Весы настольные циферблатные</v>
      </c>
      <c r="B229" s="52">
        <f>'БазНорм (обр)'!C221</f>
        <v>0</v>
      </c>
      <c r="C229" s="61">
        <f>'БазНорм (обр)'!J221</f>
        <v>1</v>
      </c>
      <c r="D229" s="122">
        <f>'БазНорм (обр)'!K221</f>
        <v>726.59666666666669</v>
      </c>
      <c r="E229" s="125">
        <f t="shared" si="5"/>
        <v>0</v>
      </c>
      <c r="F229" s="192"/>
    </row>
    <row r="230" spans="1:6" ht="26" outlineLevel="2" x14ac:dyDescent="0.3">
      <c r="A230" s="26" t="str">
        <f>'БазНорм (обр)'!A222</f>
        <v>Поверка торговые гири 5 и 6 класса</v>
      </c>
      <c r="B230" s="52">
        <f>'БазНорм (обр)'!C222</f>
        <v>0</v>
      </c>
      <c r="C230" s="61">
        <f>'БазНорм (обр)'!J222</f>
        <v>1</v>
      </c>
      <c r="D230" s="122">
        <f>'БазНорм (обр)'!K222</f>
        <v>213.02</v>
      </c>
      <c r="E230" s="125">
        <f t="shared" si="5"/>
        <v>0</v>
      </c>
      <c r="F230" s="192"/>
    </row>
    <row r="231" spans="1:6" outlineLevel="2" x14ac:dyDescent="0.3">
      <c r="A231" s="26" t="str">
        <f>'БазНорм (обр)'!A223</f>
        <v>Поверка манометры</v>
      </c>
      <c r="B231" s="52">
        <f>'БазНорм (обр)'!C223</f>
        <v>0</v>
      </c>
      <c r="C231" s="61">
        <f>'БазНорм (обр)'!J223</f>
        <v>1</v>
      </c>
      <c r="D231" s="122">
        <f>'БазНорм (обр)'!K223</f>
        <v>224.4</v>
      </c>
      <c r="E231" s="125">
        <f t="shared" si="5"/>
        <v>0</v>
      </c>
      <c r="F231" s="192"/>
    </row>
    <row r="232" spans="1:6" outlineLevel="2" x14ac:dyDescent="0.3">
      <c r="A232" s="26" t="str">
        <f>'БазНорм (обр)'!A224</f>
        <v>ТО медицинской техники</v>
      </c>
      <c r="B232" s="52">
        <f>'БазНорм (обр)'!C224</f>
        <v>0</v>
      </c>
      <c r="C232" s="61">
        <f>'БазНорм (обр)'!J224</f>
        <v>1</v>
      </c>
      <c r="D232" s="122">
        <f>'БазНорм (обр)'!K224</f>
        <v>203.1372549019608</v>
      </c>
      <c r="E232" s="125">
        <f t="shared" si="5"/>
        <v>0</v>
      </c>
      <c r="F232" s="192"/>
    </row>
    <row r="233" spans="1:6" ht="26" outlineLevel="2" x14ac:dyDescent="0.3">
      <c r="A233" s="26" t="str">
        <f>'БазНорм (обр)'!A225</f>
        <v>Поверка Гигрометры психрометрические</v>
      </c>
      <c r="B233" s="52">
        <f>'БазНорм (обр)'!C225</f>
        <v>0</v>
      </c>
      <c r="C233" s="61">
        <f>'БазНорм (обр)'!J225</f>
        <v>1</v>
      </c>
      <c r="D233" s="122">
        <f>'БазНорм (обр)'!K225</f>
        <v>292.6466666666667</v>
      </c>
      <c r="E233" s="125">
        <f t="shared" si="5"/>
        <v>0</v>
      </c>
      <c r="F233" s="192"/>
    </row>
    <row r="234" spans="1:6" outlineLevel="2" x14ac:dyDescent="0.3">
      <c r="A234" s="26" t="str">
        <f>'БазНорм (обр)'!A226</f>
        <v>Поверка тонометры</v>
      </c>
      <c r="B234" s="52">
        <f>'БазНорм (обр)'!C226</f>
        <v>0</v>
      </c>
      <c r="C234" s="61">
        <f>'БазНорм (обр)'!J226</f>
        <v>1</v>
      </c>
      <c r="D234" s="122">
        <f>'БазНорм (обр)'!K226</f>
        <v>452.95666666666665</v>
      </c>
      <c r="E234" s="125">
        <f t="shared" si="5"/>
        <v>0</v>
      </c>
      <c r="F234" s="192"/>
    </row>
    <row r="235" spans="1:6" ht="26" outlineLevel="2" x14ac:dyDescent="0.3">
      <c r="A235" s="26" t="str">
        <f>'БазНорм (обр)'!A227</f>
        <v>Поверка весы электронные напольные</v>
      </c>
      <c r="B235" s="52">
        <f>'БазНорм (обр)'!C227</f>
        <v>0</v>
      </c>
      <c r="C235" s="61">
        <f>'БазНорм (обр)'!J227</f>
        <v>1</v>
      </c>
      <c r="D235" s="122">
        <f>'БазНорм (обр)'!K227</f>
        <v>1856.5366666666669</v>
      </c>
      <c r="E235" s="125">
        <f t="shared" si="5"/>
        <v>0</v>
      </c>
      <c r="F235" s="192"/>
    </row>
    <row r="236" spans="1:6" outlineLevel="2" x14ac:dyDescent="0.3">
      <c r="A236" s="26" t="str">
        <f>'БазНорм (обр)'!A228</f>
        <v>Поверка весы напольные</v>
      </c>
      <c r="B236" s="52">
        <f>'БазНорм (обр)'!C228</f>
        <v>0</v>
      </c>
      <c r="C236" s="61">
        <f>'БазНорм (обр)'!J228</f>
        <v>1</v>
      </c>
      <c r="D236" s="122">
        <f>'БазНорм (обр)'!K228</f>
        <v>869.09666666666669</v>
      </c>
      <c r="E236" s="125">
        <f t="shared" si="5"/>
        <v>0</v>
      </c>
      <c r="F236" s="192"/>
    </row>
    <row r="237" spans="1:6" ht="26" outlineLevel="2" x14ac:dyDescent="0.3">
      <c r="A237" s="26" t="str">
        <f>'БазНорм (обр)'!A229</f>
        <v>Поверка секундомеры механические</v>
      </c>
      <c r="B237" s="52">
        <f>'БазНорм (обр)'!C229</f>
        <v>0</v>
      </c>
      <c r="C237" s="61">
        <f>'БазНорм (обр)'!J229</f>
        <v>1</v>
      </c>
      <c r="D237" s="122">
        <f>'БазНорм (обр)'!K229</f>
        <v>288.40000000000003</v>
      </c>
      <c r="E237" s="125">
        <f t="shared" si="5"/>
        <v>0</v>
      </c>
      <c r="F237" s="192"/>
    </row>
    <row r="238" spans="1:6" ht="26" outlineLevel="2" x14ac:dyDescent="0.3">
      <c r="A238" s="26" t="str">
        <f>'БазНорм (обр)'!A230</f>
        <v>Поверка динамометры кистевые</v>
      </c>
      <c r="B238" s="52">
        <f>'БазНорм (обр)'!C230</f>
        <v>0</v>
      </c>
      <c r="C238" s="61">
        <f>'БазНорм (обр)'!J230</f>
        <v>1</v>
      </c>
      <c r="D238" s="122">
        <f>'БазНорм (обр)'!K230</f>
        <v>548.16</v>
      </c>
      <c r="E238" s="125">
        <f t="shared" si="5"/>
        <v>0</v>
      </c>
      <c r="F238" s="192"/>
    </row>
    <row r="239" spans="1:6" outlineLevel="2" x14ac:dyDescent="0.3">
      <c r="A239" s="26" t="str">
        <f>'БазНорм (обр)'!A231</f>
        <v>Курсы по теплоустановкам</v>
      </c>
      <c r="B239" s="52">
        <f>'БазНорм (обр)'!C231</f>
        <v>4.2417815482502655E-3</v>
      </c>
      <c r="C239" s="61">
        <f>'БазНорм (обр)'!J231</f>
        <v>1</v>
      </c>
      <c r="D239" s="122">
        <f>'БазНорм (обр)'!K231</f>
        <v>4466.666666666667</v>
      </c>
      <c r="E239" s="125">
        <f t="shared" si="5"/>
        <v>18.946624248851187</v>
      </c>
      <c r="F239" s="192"/>
    </row>
    <row r="240" spans="1:6" s="60" customFormat="1" outlineLevel="2" x14ac:dyDescent="0.3">
      <c r="A240" s="33" t="s">
        <v>64</v>
      </c>
      <c r="B240" s="51" t="s">
        <v>3</v>
      </c>
      <c r="C240" s="126" t="s">
        <v>3</v>
      </c>
      <c r="D240" s="127" t="s">
        <v>3</v>
      </c>
      <c r="E240" s="127">
        <f>SUM(E241:E258)</f>
        <v>48.875433015199718</v>
      </c>
      <c r="F240" s="192"/>
    </row>
    <row r="241" spans="1:6" outlineLevel="3" x14ac:dyDescent="0.3">
      <c r="A241" s="26" t="str">
        <f>'БазНорм (обр)'!A233</f>
        <v>Доска разделочная</v>
      </c>
      <c r="B241" s="52">
        <f>'БазНорм (обр)'!C233</f>
        <v>0</v>
      </c>
      <c r="C241" s="61">
        <f>'БазНорм (обр)'!J233</f>
        <v>1</v>
      </c>
      <c r="D241" s="122">
        <f>'БазНорм (обр)'!K233</f>
        <v>378</v>
      </c>
      <c r="E241" s="125">
        <f>B241/C241*D241</f>
        <v>0</v>
      </c>
      <c r="F241" s="192"/>
    </row>
    <row r="242" spans="1:6" outlineLevel="3" x14ac:dyDescent="0.3">
      <c r="A242" s="26" t="str">
        <f>'БазНорм (обр)'!A234</f>
        <v xml:space="preserve">Блюдце </v>
      </c>
      <c r="B242" s="52">
        <f>'БазНорм (обр)'!C234</f>
        <v>0</v>
      </c>
      <c r="C242" s="61">
        <f>'БазНорм (обр)'!J234</f>
        <v>1</v>
      </c>
      <c r="D242" s="122">
        <f>'БазНорм (обр)'!K234</f>
        <v>80</v>
      </c>
      <c r="E242" s="125">
        <f>B242/C242*D242</f>
        <v>0</v>
      </c>
      <c r="F242" s="192"/>
    </row>
    <row r="243" spans="1:6" outlineLevel="3" x14ac:dyDescent="0.3">
      <c r="A243" s="26" t="str">
        <f>'БазНорм (обр)'!A235</f>
        <v>Тарелка маленькая</v>
      </c>
      <c r="B243" s="52">
        <f>'БазНорм (обр)'!C235</f>
        <v>0</v>
      </c>
      <c r="C243" s="61">
        <f>'БазНорм (обр)'!J235</f>
        <v>1</v>
      </c>
      <c r="D243" s="122">
        <f>'БазНорм (обр)'!K235</f>
        <v>100</v>
      </c>
      <c r="E243" s="125">
        <f t="shared" ref="E243:E262" si="6">B243/C243*D243</f>
        <v>0</v>
      </c>
      <c r="F243" s="192"/>
    </row>
    <row r="244" spans="1:6" outlineLevel="3" x14ac:dyDescent="0.3">
      <c r="A244" s="26" t="str">
        <f>'БазНорм (обр)'!A236</f>
        <v>Тарелка мелкая</v>
      </c>
      <c r="B244" s="52">
        <f>'БазНорм (обр)'!C236</f>
        <v>0.53022269353128315</v>
      </c>
      <c r="C244" s="61">
        <f>'БазНорм (обр)'!J236</f>
        <v>1</v>
      </c>
      <c r="D244" s="122">
        <f>'БазНорм (обр)'!K236</f>
        <v>27.416666666666668</v>
      </c>
      <c r="E244" s="125">
        <f t="shared" si="6"/>
        <v>14.536938847649347</v>
      </c>
      <c r="F244" s="192"/>
    </row>
    <row r="245" spans="1:6" outlineLevel="3" x14ac:dyDescent="0.3">
      <c r="A245" s="26" t="str">
        <f>'БазНорм (обр)'!A237</f>
        <v>Тарелка глубокая</v>
      </c>
      <c r="B245" s="52">
        <f>'БазНорм (обр)'!C237</f>
        <v>0.33934252386002123</v>
      </c>
      <c r="C245" s="61">
        <f>'БазНорм (обр)'!J237</f>
        <v>1</v>
      </c>
      <c r="D245" s="122">
        <f>'БазНорм (обр)'!K237</f>
        <v>34.39</v>
      </c>
      <c r="E245" s="125">
        <f t="shared" si="6"/>
        <v>11.66998939554613</v>
      </c>
      <c r="F245" s="192"/>
    </row>
    <row r="246" spans="1:6" outlineLevel="3" x14ac:dyDescent="0.3">
      <c r="A246" s="26" t="str">
        <f>'БазНорм (обр)'!A238</f>
        <v>Ложка столовая</v>
      </c>
      <c r="B246" s="52">
        <f>'БазНорм (обр)'!C238</f>
        <v>0.21633085896076351</v>
      </c>
      <c r="C246" s="61">
        <f>'БазНорм (обр)'!J238</f>
        <v>1</v>
      </c>
      <c r="D246" s="122">
        <f>'БазНорм (обр)'!K238</f>
        <v>14.466666666666667</v>
      </c>
      <c r="E246" s="125">
        <f t="shared" si="6"/>
        <v>3.1295864262990456</v>
      </c>
      <c r="F246" s="192"/>
    </row>
    <row r="247" spans="1:6" outlineLevel="3" x14ac:dyDescent="0.3">
      <c r="A247" s="26" t="str">
        <f>'БазНорм (обр)'!A239</f>
        <v>Вилка столовая</v>
      </c>
      <c r="B247" s="52">
        <f>'БазНорм (обр)'!C239</f>
        <v>0.21633085896076351</v>
      </c>
      <c r="C247" s="61">
        <f>'БазНорм (обр)'!J239</f>
        <v>1</v>
      </c>
      <c r="D247" s="122">
        <f>'БазНорм (обр)'!K239</f>
        <v>14.466666666666667</v>
      </c>
      <c r="E247" s="125">
        <f t="shared" si="6"/>
        <v>3.1295864262990456</v>
      </c>
      <c r="F247" s="192"/>
    </row>
    <row r="248" spans="1:6" outlineLevel="3" x14ac:dyDescent="0.3">
      <c r="A248" s="26" t="str">
        <f>'БазНорм (обр)'!A240</f>
        <v>Таз 12 л.</v>
      </c>
      <c r="B248" s="52">
        <f>'БазНорм (обр)'!C240</f>
        <v>0</v>
      </c>
      <c r="C248" s="61">
        <f>'БазНорм (обр)'!J240</f>
        <v>1</v>
      </c>
      <c r="D248" s="122">
        <f>'БазНорм (обр)'!K240</f>
        <v>1158</v>
      </c>
      <c r="E248" s="125">
        <f t="shared" si="6"/>
        <v>0</v>
      </c>
      <c r="F248" s="192"/>
    </row>
    <row r="249" spans="1:6" outlineLevel="3" x14ac:dyDescent="0.3">
      <c r="A249" s="26" t="str">
        <f>'БазНорм (обр)'!A241</f>
        <v>Таз 5 л</v>
      </c>
      <c r="B249" s="52">
        <f>'БазНорм (обр)'!C241</f>
        <v>0</v>
      </c>
      <c r="C249" s="61">
        <f>'БазНорм (обр)'!J241</f>
        <v>1</v>
      </c>
      <c r="D249" s="122">
        <f>'БазНорм (обр)'!K241</f>
        <v>90.1</v>
      </c>
      <c r="E249" s="125">
        <f t="shared" si="6"/>
        <v>0</v>
      </c>
      <c r="F249" s="192"/>
    </row>
    <row r="250" spans="1:6" outlineLevel="3" x14ac:dyDescent="0.3">
      <c r="A250" s="26" t="str">
        <f>'БазНорм (обр)'!A242</f>
        <v>Противень</v>
      </c>
      <c r="B250" s="52">
        <f>'БазНорм (обр)'!C242</f>
        <v>0</v>
      </c>
      <c r="C250" s="61">
        <f>'БазНорм (обр)'!J242</f>
        <v>1</v>
      </c>
      <c r="D250" s="122">
        <f>'БазНорм (обр)'!K242</f>
        <v>676</v>
      </c>
      <c r="E250" s="125">
        <f t="shared" si="6"/>
        <v>0</v>
      </c>
      <c r="F250" s="192"/>
    </row>
    <row r="251" spans="1:6" outlineLevel="3" x14ac:dyDescent="0.3">
      <c r="A251" s="26" t="str">
        <f>'БазНорм (обр)'!A243</f>
        <v>Лоток для мяса</v>
      </c>
      <c r="B251" s="52">
        <f>'БазНорм (обр)'!C243</f>
        <v>0</v>
      </c>
      <c r="C251" s="61">
        <f>'БазНорм (обр)'!J243</f>
        <v>1</v>
      </c>
      <c r="D251" s="122">
        <f>'БазНорм (обр)'!K243</f>
        <v>1885.5</v>
      </c>
      <c r="E251" s="125">
        <f t="shared" si="6"/>
        <v>0</v>
      </c>
      <c r="F251" s="192"/>
    </row>
    <row r="252" spans="1:6" outlineLevel="3" x14ac:dyDescent="0.3">
      <c r="A252" s="26" t="str">
        <f>'БазНорм (обр)'!A244</f>
        <v>Лоток глубокий</v>
      </c>
      <c r="B252" s="52">
        <f>'БазНорм (обр)'!C244</f>
        <v>0</v>
      </c>
      <c r="C252" s="61">
        <f>'БазНорм (обр)'!J244</f>
        <v>1</v>
      </c>
      <c r="D252" s="122">
        <f>'БазНорм (обр)'!K244</f>
        <v>862</v>
      </c>
      <c r="E252" s="125">
        <f t="shared" si="6"/>
        <v>0</v>
      </c>
      <c r="F252" s="192"/>
    </row>
    <row r="253" spans="1:6" outlineLevel="3" x14ac:dyDescent="0.3">
      <c r="A253" s="26" t="str">
        <f>'БазНорм (обр)'!A245</f>
        <v>Кастрюля 15 л.</v>
      </c>
      <c r="B253" s="52">
        <f>'БазНорм (обр)'!C245</f>
        <v>0</v>
      </c>
      <c r="C253" s="61">
        <f>'БазНорм (обр)'!J245</f>
        <v>1</v>
      </c>
      <c r="D253" s="122">
        <f>'БазНорм (обр)'!K245</f>
        <v>2631</v>
      </c>
      <c r="E253" s="125">
        <f t="shared" si="6"/>
        <v>0</v>
      </c>
      <c r="F253" s="192"/>
    </row>
    <row r="254" spans="1:6" outlineLevel="3" x14ac:dyDescent="0.3">
      <c r="A254" s="26" t="str">
        <f>'БазНорм (обр)'!A246</f>
        <v>Кастрюля 20 л.</v>
      </c>
      <c r="B254" s="52">
        <f>'БазНорм (обр)'!C246</f>
        <v>0</v>
      </c>
      <c r="C254" s="61">
        <f>'БазНорм (обр)'!J246</f>
        <v>1</v>
      </c>
      <c r="D254" s="122">
        <f>'БазНорм (обр)'!K246</f>
        <v>1430.1</v>
      </c>
      <c r="E254" s="125">
        <f t="shared" si="6"/>
        <v>0</v>
      </c>
      <c r="F254" s="192"/>
    </row>
    <row r="255" spans="1:6" outlineLevel="3" x14ac:dyDescent="0.3">
      <c r="A255" s="26" t="str">
        <f>'БазНорм (обр)'!A247</f>
        <v>Корзина для стаканов и чашек</v>
      </c>
      <c r="B255" s="52">
        <f>'БазНорм (обр)'!C247</f>
        <v>0</v>
      </c>
      <c r="C255" s="61">
        <f>'БазНорм (обр)'!J247</f>
        <v>1</v>
      </c>
      <c r="D255" s="122">
        <f>'БазНорм (обр)'!K247</f>
        <v>2178</v>
      </c>
      <c r="E255" s="125">
        <f t="shared" si="6"/>
        <v>0</v>
      </c>
      <c r="F255" s="192"/>
    </row>
    <row r="256" spans="1:6" outlineLevel="3" x14ac:dyDescent="0.3">
      <c r="A256" s="26" t="str">
        <f>'БазНорм (обр)'!A248</f>
        <v>Стакан граненый</v>
      </c>
      <c r="B256" s="52">
        <f>'БазНорм (обр)'!C248</f>
        <v>0.22905620360551432</v>
      </c>
      <c r="C256" s="61">
        <f>'БазНорм (обр)'!J248</f>
        <v>1</v>
      </c>
      <c r="D256" s="122">
        <f>'БазНорм (обр)'!K248</f>
        <v>18</v>
      </c>
      <c r="E256" s="125">
        <f t="shared" si="6"/>
        <v>4.1230116648992574</v>
      </c>
      <c r="F256" s="192"/>
    </row>
    <row r="257" spans="1:6" outlineLevel="3" x14ac:dyDescent="0.3">
      <c r="A257" s="26" t="str">
        <f>'БазНорм (обр)'!A249</f>
        <v>Сито</v>
      </c>
      <c r="B257" s="52">
        <f>'БазНорм (обр)'!C249</f>
        <v>0</v>
      </c>
      <c r="C257" s="61">
        <f>'БазНорм (обр)'!J249</f>
        <v>1</v>
      </c>
      <c r="D257" s="122">
        <f>'БазНорм (обр)'!K249</f>
        <v>1642</v>
      </c>
      <c r="E257" s="125">
        <f t="shared" si="6"/>
        <v>0</v>
      </c>
      <c r="F257" s="192"/>
    </row>
    <row r="258" spans="1:6" outlineLevel="3" x14ac:dyDescent="0.3">
      <c r="A258" s="26" t="str">
        <f>'БазНорм (обр)'!A250</f>
        <v>Нож повара</v>
      </c>
      <c r="B258" s="52">
        <f>'БазНорм (обр)'!C250</f>
        <v>6.3626723223753979E-3</v>
      </c>
      <c r="C258" s="61">
        <f>'БазНорм (обр)'!J250</f>
        <v>1</v>
      </c>
      <c r="D258" s="122">
        <f>'БазНорм (обр)'!K250</f>
        <v>1931</v>
      </c>
      <c r="E258" s="125">
        <f t="shared" si="6"/>
        <v>12.286320254506894</v>
      </c>
      <c r="F258" s="192"/>
    </row>
    <row r="259" spans="1:6" s="60" customFormat="1" outlineLevel="2" x14ac:dyDescent="0.3">
      <c r="A259" s="33" t="s">
        <v>480</v>
      </c>
      <c r="B259" s="51" t="s">
        <v>3</v>
      </c>
      <c r="C259" s="126" t="s">
        <v>3</v>
      </c>
      <c r="D259" s="127" t="s">
        <v>3</v>
      </c>
      <c r="E259" s="127">
        <f>SUM(E260:E262)</f>
        <v>0</v>
      </c>
      <c r="F259" s="192"/>
    </row>
    <row r="260" spans="1:6" outlineLevel="3" x14ac:dyDescent="0.3">
      <c r="A260" s="26" t="str">
        <f>'БазНорм (обр)'!A252</f>
        <v>Посудомоечная машина</v>
      </c>
      <c r="B260" s="52">
        <f>'БазНорм (обр)'!C252</f>
        <v>0</v>
      </c>
      <c r="C260" s="61">
        <f>'БазНорм (обр)'!J252</f>
        <v>5</v>
      </c>
      <c r="D260" s="122">
        <f>'БазНорм (обр)'!K252</f>
        <v>130726.66666666667</v>
      </c>
      <c r="E260" s="125">
        <f t="shared" si="6"/>
        <v>0</v>
      </c>
      <c r="F260" s="192"/>
    </row>
    <row r="261" spans="1:6" ht="26" outlineLevel="3" x14ac:dyDescent="0.3">
      <c r="A261" s="26" t="str">
        <f>'БазНорм (обр)'!A253</f>
        <v>Холодильная камера 2х дверная Полюс-R 1400"</v>
      </c>
      <c r="B261" s="52">
        <f>'БазНорм (обр)'!C253</f>
        <v>0</v>
      </c>
      <c r="C261" s="61">
        <f>'БазНорм (обр)'!J253</f>
        <v>5</v>
      </c>
      <c r="D261" s="122">
        <f>'БазНорм (обр)'!K253</f>
        <v>104000</v>
      </c>
      <c r="E261" s="125">
        <f t="shared" si="6"/>
        <v>0</v>
      </c>
      <c r="F261" s="192"/>
    </row>
    <row r="262" spans="1:6" ht="26" outlineLevel="3" x14ac:dyDescent="0.3">
      <c r="A262" s="26" t="str">
        <f>'БазНорм (обр)'!A254</f>
        <v>Холодильная камера 1 дверная, "Полюс-R700"</v>
      </c>
      <c r="B262" s="52">
        <f>'БазНорм (обр)'!C254</f>
        <v>0</v>
      </c>
      <c r="C262" s="61">
        <f>'БазНорм (обр)'!J254</f>
        <v>5</v>
      </c>
      <c r="D262" s="122">
        <f>'БазНорм (обр)'!K254</f>
        <v>64500</v>
      </c>
      <c r="E262" s="125">
        <f t="shared" si="6"/>
        <v>0</v>
      </c>
      <c r="F262" s="192"/>
    </row>
    <row r="263" spans="1:6" s="60" customFormat="1" ht="26" outlineLevel="2" x14ac:dyDescent="0.3">
      <c r="A263" s="33" t="s">
        <v>68</v>
      </c>
      <c r="B263" s="51" t="s">
        <v>3</v>
      </c>
      <c r="C263" s="126" t="s">
        <v>3</v>
      </c>
      <c r="D263" s="127" t="s">
        <v>3</v>
      </c>
      <c r="E263" s="127">
        <f>SUM(E264:E292)</f>
        <v>206.5933221570271</v>
      </c>
      <c r="F263" s="192"/>
    </row>
    <row r="264" spans="1:6" outlineLevel="3" x14ac:dyDescent="0.3">
      <c r="A264" s="26" t="str">
        <f>'БазНорм (обр)'!A256</f>
        <v>Мыло хозяйственное</v>
      </c>
      <c r="B264" s="52">
        <f>'БазНорм (обр)'!C256</f>
        <v>0.41911148365465217</v>
      </c>
      <c r="C264" s="61">
        <f>'БазНорм (обр)'!J256</f>
        <v>1</v>
      </c>
      <c r="D264" s="122">
        <f>'БазНорм (обр)'!K256</f>
        <v>17.466666666666665</v>
      </c>
      <c r="E264" s="125">
        <f t="shared" ref="E264:E292" si="7">B264*D264</f>
        <v>7.3204805811679243</v>
      </c>
      <c r="F264" s="192"/>
    </row>
    <row r="265" spans="1:6" outlineLevel="3" x14ac:dyDescent="0.3">
      <c r="A265" s="26" t="str">
        <f>'БазНорм (обр)'!A257</f>
        <v>Мыло детское</v>
      </c>
      <c r="B265" s="52">
        <f>'БазНорм (обр)'!C257</f>
        <v>0.41911148365465217</v>
      </c>
      <c r="C265" s="61">
        <f>'БазНорм (обр)'!J257</f>
        <v>1</v>
      </c>
      <c r="D265" s="122">
        <f>'БазНорм (обр)'!K257</f>
        <v>12.933333333333332</v>
      </c>
      <c r="E265" s="125">
        <f t="shared" si="7"/>
        <v>5.4205085219335007</v>
      </c>
      <c r="F265" s="192"/>
    </row>
    <row r="266" spans="1:6" outlineLevel="3" x14ac:dyDescent="0.3">
      <c r="A266" s="26" t="str">
        <f>'БазНорм (обр)'!A258</f>
        <v>Порошок стиральный 0,4 кг.</v>
      </c>
      <c r="B266" s="52">
        <f>'БазНорм (обр)'!C258</f>
        <v>0.15088013411567477</v>
      </c>
      <c r="C266" s="61">
        <f>'БазНорм (обр)'!J258</f>
        <v>1</v>
      </c>
      <c r="D266" s="122">
        <f>'БазНорм (обр)'!K258</f>
        <v>36.5</v>
      </c>
      <c r="E266" s="125">
        <f t="shared" si="7"/>
        <v>5.5071248952221294</v>
      </c>
      <c r="F266" s="192"/>
    </row>
    <row r="267" spans="1:6" outlineLevel="3" x14ac:dyDescent="0.3">
      <c r="A267" s="26" t="str">
        <f>'БазНорм (обр)'!A259</f>
        <v>Порошок стиральный 1,8 кг.</v>
      </c>
      <c r="B267" s="52">
        <f>'БазНорм (обр)'!C259</f>
        <v>0</v>
      </c>
      <c r="C267" s="61">
        <f>'БазНорм (обр)'!J259</f>
        <v>1</v>
      </c>
      <c r="D267" s="122">
        <f>'БазНорм (обр)'!K259</f>
        <v>143.66666666666666</v>
      </c>
      <c r="E267" s="125">
        <f t="shared" si="7"/>
        <v>0</v>
      </c>
      <c r="F267" s="192"/>
    </row>
    <row r="268" spans="1:6" outlineLevel="3" x14ac:dyDescent="0.3">
      <c r="A268" s="26" t="str">
        <f>'БазНорм (обр)'!A260</f>
        <v>Сода кальценированная 0,4 кг</v>
      </c>
      <c r="B268" s="52">
        <f>'БазНорм (обр)'!C260</f>
        <v>0.25146689019279128</v>
      </c>
      <c r="C268" s="61">
        <f>'БазНорм (обр)'!J260</f>
        <v>1</v>
      </c>
      <c r="D268" s="122">
        <f>'БазНорм (обр)'!K260</f>
        <v>19.166666666666668</v>
      </c>
      <c r="E268" s="125">
        <f t="shared" si="7"/>
        <v>4.8197820620284997</v>
      </c>
      <c r="F268" s="192"/>
    </row>
    <row r="269" spans="1:6" outlineLevel="3" x14ac:dyDescent="0.3">
      <c r="A269" s="26" t="str">
        <f>'БазНорм (обр)'!A261</f>
        <v>Паста чистящая</v>
      </c>
      <c r="B269" s="52">
        <f>'БазНорм (обр)'!C261</f>
        <v>0.16764459346186086</v>
      </c>
      <c r="C269" s="61">
        <f>'БазНорм (обр)'!J261</f>
        <v>1</v>
      </c>
      <c r="D269" s="122">
        <f>'БазНорм (обр)'!K261</f>
        <v>20.099999999999998</v>
      </c>
      <c r="E269" s="125">
        <f t="shared" si="7"/>
        <v>3.3696563285834031</v>
      </c>
      <c r="F269" s="192"/>
    </row>
    <row r="270" spans="1:6" ht="26" outlineLevel="3" x14ac:dyDescent="0.3">
      <c r="A270" s="26" t="str">
        <f>'БазНорм (обр)'!A262</f>
        <v>Средство для мытья плит 0,75 л.</v>
      </c>
      <c r="B270" s="52">
        <f>'БазНорм (обр)'!C262</f>
        <v>0</v>
      </c>
      <c r="C270" s="61">
        <f>'БазНорм (обр)'!J262</f>
        <v>1</v>
      </c>
      <c r="D270" s="122">
        <f>'БазНорм (обр)'!K262</f>
        <v>39.166666666666664</v>
      </c>
      <c r="E270" s="125">
        <f t="shared" si="7"/>
        <v>0</v>
      </c>
      <c r="F270" s="192"/>
    </row>
    <row r="271" spans="1:6" outlineLevel="3" x14ac:dyDescent="0.3">
      <c r="A271" s="26" t="str">
        <f>'БазНорм (обр)'!A263</f>
        <v xml:space="preserve">Средсто для мытья посуды </v>
      </c>
      <c r="B271" s="52">
        <f>'БазНорм (обр)'!C263</f>
        <v>0</v>
      </c>
      <c r="C271" s="61">
        <f>'БазНорм (обр)'!J263</f>
        <v>1</v>
      </c>
      <c r="D271" s="122">
        <f>'БазНорм (обр)'!K263</f>
        <v>101.66666666666667</v>
      </c>
      <c r="E271" s="125">
        <f t="shared" si="7"/>
        <v>0</v>
      </c>
      <c r="F271" s="192"/>
    </row>
    <row r="272" spans="1:6" ht="26" outlineLevel="3" x14ac:dyDescent="0.3">
      <c r="A272" s="26" t="str">
        <f>'БазНорм (обр)'!A264</f>
        <v>Чистящий порошок Пемолюкс 0,45 кг</v>
      </c>
      <c r="B272" s="52">
        <f>'БазНорм (обр)'!C264</f>
        <v>0.16764459346186086</v>
      </c>
      <c r="C272" s="61">
        <f>'БазНорм (обр)'!J264</f>
        <v>1</v>
      </c>
      <c r="D272" s="122">
        <f>'БазНорм (обр)'!K264</f>
        <v>32.666666666666664</v>
      </c>
      <c r="E272" s="125">
        <f t="shared" si="7"/>
        <v>5.4763900530874547</v>
      </c>
      <c r="F272" s="192"/>
    </row>
    <row r="273" spans="1:6" ht="26" outlineLevel="3" x14ac:dyDescent="0.3">
      <c r="A273" s="26" t="str">
        <f>'БазНорм (обр)'!A265</f>
        <v>Моющее средство для посудомоечной машины 2,5 кг.</v>
      </c>
      <c r="B273" s="52">
        <f>'БазНорм (обр)'!C265</f>
        <v>0</v>
      </c>
      <c r="C273" s="61">
        <f>'БазНорм (обр)'!J265</f>
        <v>1</v>
      </c>
      <c r="D273" s="122">
        <f>'БазНорм (обр)'!K265</f>
        <v>415</v>
      </c>
      <c r="E273" s="125">
        <f t="shared" si="7"/>
        <v>0</v>
      </c>
      <c r="F273" s="192"/>
    </row>
    <row r="274" spans="1:6" ht="26" outlineLevel="3" x14ac:dyDescent="0.3">
      <c r="A274" s="26" t="str">
        <f>'БазНорм (обр)'!A266</f>
        <v>Чистящий псредство Доместос 1 л.</v>
      </c>
      <c r="B274" s="52">
        <f>'БазНорм (обр)'!C266</f>
        <v>0</v>
      </c>
      <c r="C274" s="61">
        <f>'БазНорм (обр)'!J266</f>
        <v>1</v>
      </c>
      <c r="D274" s="122">
        <f>'БазНорм (обр)'!K266</f>
        <v>110.33333333333333</v>
      </c>
      <c r="E274" s="125">
        <f t="shared" si="7"/>
        <v>0</v>
      </c>
      <c r="F274" s="192"/>
    </row>
    <row r="275" spans="1:6" outlineLevel="3" x14ac:dyDescent="0.3">
      <c r="A275" s="26" t="str">
        <f>'БазНорм (обр)'!A267</f>
        <v>Чистящее средство 0,6 л.</v>
      </c>
      <c r="B275" s="52">
        <f>'БазНорм (обр)'!C267</f>
        <v>0</v>
      </c>
      <c r="C275" s="61">
        <f>'БазНорм (обр)'!J267</f>
        <v>1</v>
      </c>
      <c r="D275" s="122">
        <f>'БазНорм (обр)'!K267</f>
        <v>58.333333333333336</v>
      </c>
      <c r="E275" s="125">
        <f t="shared" si="7"/>
        <v>0</v>
      </c>
      <c r="F275" s="192"/>
    </row>
    <row r="276" spans="1:6" ht="26" outlineLevel="3" x14ac:dyDescent="0.3">
      <c r="A276" s="26" t="str">
        <f>'БазНорм (обр)'!A268</f>
        <v>Средство для мытья стекол 0,5 л.</v>
      </c>
      <c r="B276" s="52">
        <f>'БазНорм (обр)'!C268</f>
        <v>0</v>
      </c>
      <c r="C276" s="61">
        <f>'БазНорм (обр)'!J268</f>
        <v>1</v>
      </c>
      <c r="D276" s="122">
        <f>'БазНорм (обр)'!K268</f>
        <v>105.33333333333333</v>
      </c>
      <c r="E276" s="125">
        <f t="shared" si="7"/>
        <v>0</v>
      </c>
      <c r="F276" s="192"/>
    </row>
    <row r="277" spans="1:6" ht="26" outlineLevel="3" x14ac:dyDescent="0.3">
      <c r="A277" s="26" t="str">
        <f>'БазНорм (обр)'!A269</f>
        <v>Кондиционер для белья Ленор 1 л.</v>
      </c>
      <c r="B277" s="52">
        <f>'БазНорм (обр)'!C269</f>
        <v>0</v>
      </c>
      <c r="C277" s="61">
        <f>'БазНорм (обр)'!J269</f>
        <v>1</v>
      </c>
      <c r="D277" s="122">
        <f>'БазНорм (обр)'!K269</f>
        <v>120.66666666666667</v>
      </c>
      <c r="E277" s="125">
        <f t="shared" si="7"/>
        <v>0</v>
      </c>
      <c r="F277" s="192"/>
    </row>
    <row r="278" spans="1:6" outlineLevel="3" x14ac:dyDescent="0.3">
      <c r="A278" s="26" t="str">
        <f>'БазНорм (обр)'!A270</f>
        <v>Отбеливатель 1 л.</v>
      </c>
      <c r="B278" s="52">
        <f>'БазНорм (обр)'!C270</f>
        <v>0</v>
      </c>
      <c r="C278" s="61">
        <f>'БазНорм (обр)'!J270</f>
        <v>1</v>
      </c>
      <c r="D278" s="122">
        <f>'БазНорм (обр)'!K270</f>
        <v>61.933333333333337</v>
      </c>
      <c r="E278" s="125">
        <f t="shared" si="7"/>
        <v>0</v>
      </c>
      <c r="F278" s="192"/>
    </row>
    <row r="279" spans="1:6" outlineLevel="3" x14ac:dyDescent="0.3">
      <c r="A279" s="26" t="str">
        <f>'БазНорм (обр)'!A271</f>
        <v>Чистящее средсво для ванн 1 л.</v>
      </c>
      <c r="B279" s="52">
        <f>'БазНорм (обр)'!C271</f>
        <v>0</v>
      </c>
      <c r="C279" s="61">
        <f>'БазНорм (обр)'!J271</f>
        <v>1</v>
      </c>
      <c r="D279" s="122">
        <f>'БазНорм (обр)'!K271</f>
        <v>136.46666666666667</v>
      </c>
      <c r="E279" s="125">
        <f t="shared" si="7"/>
        <v>0</v>
      </c>
      <c r="F279" s="192"/>
    </row>
    <row r="280" spans="1:6" outlineLevel="3" x14ac:dyDescent="0.3">
      <c r="A280" s="26" t="str">
        <f>'БазНорм (обр)'!A272</f>
        <v>Жидкое мыло детское</v>
      </c>
      <c r="B280" s="52">
        <f>'БазНорм (обр)'!C272</f>
        <v>6.286672254819782E-2</v>
      </c>
      <c r="C280" s="61">
        <f>'БазНорм (обр)'!J272</f>
        <v>1</v>
      </c>
      <c r="D280" s="122">
        <f>'БазНорм (обр)'!K272</f>
        <v>56.233333333333327</v>
      </c>
      <c r="E280" s="125">
        <f t="shared" si="7"/>
        <v>3.5352053646269903</v>
      </c>
      <c r="F280" s="192"/>
    </row>
    <row r="281" spans="1:6" outlineLevel="3" x14ac:dyDescent="0.3">
      <c r="A281" s="26" t="str">
        <f>'БазНорм (обр)'!A273</f>
        <v>Жидкое мыло детское 5 л.</v>
      </c>
      <c r="B281" s="52">
        <f>'БазНорм (обр)'!C273</f>
        <v>0</v>
      </c>
      <c r="C281" s="61">
        <f>'БазНорм (обр)'!J273</f>
        <v>1</v>
      </c>
      <c r="D281" s="122">
        <f>'БазНорм (обр)'!K273</f>
        <v>331.66666666666669</v>
      </c>
      <c r="E281" s="125">
        <f t="shared" si="7"/>
        <v>0</v>
      </c>
      <c r="F281" s="192"/>
    </row>
    <row r="282" spans="1:6" outlineLevel="3" x14ac:dyDescent="0.3">
      <c r="A282" s="26" t="str">
        <f>'БазНорм (обр)'!A274</f>
        <v>Освежитель воздуха</v>
      </c>
      <c r="B282" s="52">
        <f>'БазНорм (обр)'!C274</f>
        <v>0</v>
      </c>
      <c r="C282" s="61">
        <f>'БазНорм (обр)'!J274</f>
        <v>1</v>
      </c>
      <c r="D282" s="122">
        <f>'БазНорм (обр)'!K274</f>
        <v>52.333333333333336</v>
      </c>
      <c r="E282" s="125">
        <f t="shared" si="7"/>
        <v>0</v>
      </c>
      <c r="F282" s="192"/>
    </row>
    <row r="283" spans="1:6" outlineLevel="3" x14ac:dyDescent="0.3">
      <c r="A283" s="26" t="str">
        <f>'БазНорм (обр)'!A275</f>
        <v>Ди-хлор 300 шт.</v>
      </c>
      <c r="B283" s="52">
        <f>'БазНорм (обр)'!C275</f>
        <v>3.7720033528918694E-2</v>
      </c>
      <c r="C283" s="61">
        <f>'БазНорм (обр)'!J275</f>
        <v>1</v>
      </c>
      <c r="D283" s="122">
        <f>'БазНорм (обр)'!K275</f>
        <v>533.33333333333337</v>
      </c>
      <c r="E283" s="125">
        <f t="shared" si="7"/>
        <v>20.117351215423305</v>
      </c>
      <c r="F283" s="192"/>
    </row>
    <row r="284" spans="1:6" outlineLevel="3" x14ac:dyDescent="0.3">
      <c r="A284" s="26" t="str">
        <f>'БазНорм (обр)'!A276</f>
        <v>Хлорамин</v>
      </c>
      <c r="B284" s="52">
        <f>'БазНорм (обр)'!C276</f>
        <v>0</v>
      </c>
      <c r="C284" s="61">
        <f>'БазНорм (обр)'!J276</f>
        <v>1</v>
      </c>
      <c r="D284" s="122">
        <f>'БазНорм (обр)'!K276</f>
        <v>165.66666666666666</v>
      </c>
      <c r="E284" s="125">
        <f t="shared" si="7"/>
        <v>0</v>
      </c>
      <c r="F284" s="192"/>
    </row>
    <row r="285" spans="1:6" outlineLevel="3" x14ac:dyDescent="0.3">
      <c r="A285" s="26" t="str">
        <f>'БазНорм (обр)'!A277</f>
        <v>Средство для мытья окон</v>
      </c>
      <c r="B285" s="52">
        <f>'БазНорм (обр)'!C277</f>
        <v>3.143336127409891E-2</v>
      </c>
      <c r="C285" s="61">
        <f>'БазНорм (обр)'!J277</f>
        <v>1</v>
      </c>
      <c r="D285" s="122">
        <f>'БазНорм (обр)'!K277</f>
        <v>56</v>
      </c>
      <c r="E285" s="125">
        <f t="shared" si="7"/>
        <v>1.760268231349539</v>
      </c>
      <c r="F285" s="192"/>
    </row>
    <row r="286" spans="1:6" outlineLevel="3" x14ac:dyDescent="0.3">
      <c r="A286" s="26" t="str">
        <f>'БазНорм (обр)'!A278</f>
        <v>Оптимакс 1 л.</v>
      </c>
      <c r="B286" s="52">
        <f>'БазНорм (обр)'!C278</f>
        <v>6.286672254819782E-2</v>
      </c>
      <c r="C286" s="61">
        <f>'БазНорм (обр)'!J278</f>
        <v>1</v>
      </c>
      <c r="D286" s="122">
        <f>'БазНорм (обр)'!K278</f>
        <v>333.33333333333331</v>
      </c>
      <c r="E286" s="125">
        <f t="shared" si="7"/>
        <v>20.955574182732605</v>
      </c>
      <c r="F286" s="192"/>
    </row>
    <row r="287" spans="1:6" outlineLevel="3" x14ac:dyDescent="0.3">
      <c r="A287" s="26" t="str">
        <f>'БазНорм (обр)'!A279</f>
        <v>Жавель солид</v>
      </c>
      <c r="B287" s="52">
        <f>'БазНорм (обр)'!C279</f>
        <v>0</v>
      </c>
      <c r="C287" s="61">
        <f>'БазНорм (обр)'!J279</f>
        <v>1</v>
      </c>
      <c r="D287" s="122">
        <f>'БазНорм (обр)'!K279</f>
        <v>760</v>
      </c>
      <c r="E287" s="125">
        <f t="shared" si="7"/>
        <v>0</v>
      </c>
      <c r="F287" s="192"/>
    </row>
    <row r="288" spans="1:6" outlineLevel="3" x14ac:dyDescent="0.3">
      <c r="A288" s="26" t="str">
        <f>'БазНорм (обр)'!A280</f>
        <v>Химический индикатор 50 шт.</v>
      </c>
      <c r="B288" s="52">
        <f>'БазНорм (обр)'!C280</f>
        <v>0</v>
      </c>
      <c r="C288" s="61">
        <f>'БазНорм (обр)'!J280</f>
        <v>1</v>
      </c>
      <c r="D288" s="122">
        <f>'БазНорм (обр)'!K280</f>
        <v>610</v>
      </c>
      <c r="E288" s="125">
        <f t="shared" si="7"/>
        <v>0</v>
      </c>
      <c r="F288" s="192"/>
    </row>
    <row r="289" spans="1:6" outlineLevel="3" x14ac:dyDescent="0.3">
      <c r="A289" s="26" t="str">
        <f>'БазНорм (обр)'!A281</f>
        <v>Средство САНФОР 750 мл</v>
      </c>
      <c r="B289" s="52">
        <f>'БазНорм (обр)'!C281</f>
        <v>6.286672254819782E-2</v>
      </c>
      <c r="C289" s="61">
        <f>'БазНорм (обр)'!J281</f>
        <v>1</v>
      </c>
      <c r="D289" s="122">
        <f>'БазНорм (обр)'!K281</f>
        <v>131.66666666666666</v>
      </c>
      <c r="E289" s="125">
        <f t="shared" si="7"/>
        <v>8.2774518021793799</v>
      </c>
      <c r="F289" s="192"/>
    </row>
    <row r="290" spans="1:6" ht="26" outlineLevel="3" x14ac:dyDescent="0.3">
      <c r="A290" s="26" t="str">
        <f>'БазНорм (обр)'!A282</f>
        <v>Средство для чистки туалетов (САНОКС)</v>
      </c>
      <c r="B290" s="52">
        <f>'БазНорм (обр)'!C282</f>
        <v>0</v>
      </c>
      <c r="C290" s="61">
        <f>'БазНорм (обр)'!J282</f>
        <v>1</v>
      </c>
      <c r="D290" s="122">
        <f>'БазНорм (обр)'!K282</f>
        <v>64.84</v>
      </c>
      <c r="E290" s="125">
        <f t="shared" si="7"/>
        <v>0</v>
      </c>
      <c r="F290" s="192"/>
    </row>
    <row r="291" spans="1:6" ht="26" outlineLevel="3" x14ac:dyDescent="0.3">
      <c r="A291" s="26" t="str">
        <f>'БазНорм (обр)'!A283</f>
        <v>Средство дизенфицирующее Дихлор(300 таблеток)</v>
      </c>
      <c r="B291" s="52">
        <f>'БазНорм (обр)'!C283</f>
        <v>3.143336127409891E-2</v>
      </c>
      <c r="C291" s="61">
        <f>'БазНорм (обр)'!J283</f>
        <v>1</v>
      </c>
      <c r="D291" s="122">
        <f>'БазНорм (обр)'!K283</f>
        <v>792</v>
      </c>
      <c r="E291" s="125">
        <f t="shared" si="7"/>
        <v>24.895222129086338</v>
      </c>
      <c r="F291" s="192"/>
    </row>
    <row r="292" spans="1:6" outlineLevel="3" x14ac:dyDescent="0.3">
      <c r="A292" s="26" t="str">
        <f>'БазНорм (обр)'!A284</f>
        <v>Средство для мытья пола 5 л</v>
      </c>
      <c r="B292" s="52">
        <f>'БазНорм (обр)'!C284</f>
        <v>6.286672254819782E-2</v>
      </c>
      <c r="C292" s="61">
        <f>'БазНорм (обр)'!J284</f>
        <v>1</v>
      </c>
      <c r="D292" s="122">
        <f>'БазНорм (обр)'!K284</f>
        <v>1513.3333333333333</v>
      </c>
      <c r="E292" s="125">
        <f t="shared" si="7"/>
        <v>95.138306789606034</v>
      </c>
      <c r="F292" s="192"/>
    </row>
    <row r="293" spans="1:6" s="60" customFormat="1" outlineLevel="2" x14ac:dyDescent="0.3">
      <c r="A293" s="33" t="s">
        <v>31</v>
      </c>
      <c r="B293" s="51" t="s">
        <v>3</v>
      </c>
      <c r="C293" s="126" t="s">
        <v>3</v>
      </c>
      <c r="D293" s="127" t="s">
        <v>3</v>
      </c>
      <c r="E293" s="127">
        <f>SUM(E294:E296)</f>
        <v>0</v>
      </c>
      <c r="F293" s="192"/>
    </row>
    <row r="294" spans="1:6" ht="26" outlineLevel="3" x14ac:dyDescent="0.3">
      <c r="A294" s="26" t="str">
        <f>'БазНорм (обр)'!A286</f>
        <v>Спец одежда. Костюм мужской</v>
      </c>
      <c r="B294" s="52">
        <f>'БазНорм (обр)'!C286</f>
        <v>0</v>
      </c>
      <c r="C294" s="61">
        <f>'БазНорм (обр)'!J286</f>
        <v>1</v>
      </c>
      <c r="D294" s="122">
        <f>'БазНорм (обр)'!K286</f>
        <v>3978.3333333333335</v>
      </c>
      <c r="E294" s="125">
        <f>B294/C294*D294</f>
        <v>0</v>
      </c>
      <c r="F294" s="192"/>
    </row>
    <row r="295" spans="1:6" outlineLevel="3" x14ac:dyDescent="0.3">
      <c r="A295" s="26" t="str">
        <f>'БазНорм (обр)'!A287</f>
        <v>Спец одежда. Халат женскй</v>
      </c>
      <c r="B295" s="52">
        <f>'БазНорм (обр)'!C287</f>
        <v>0</v>
      </c>
      <c r="C295" s="61">
        <f>'БазНорм (обр)'!J287</f>
        <v>1</v>
      </c>
      <c r="D295" s="122">
        <f>'БазНорм (обр)'!K287</f>
        <v>870</v>
      </c>
      <c r="E295" s="125">
        <f>B295/C295*D295</f>
        <v>0</v>
      </c>
      <c r="F295" s="192"/>
    </row>
    <row r="296" spans="1:6" outlineLevel="3" x14ac:dyDescent="0.3">
      <c r="A296" s="26" t="str">
        <f>'БазНорм (обр)'!A288</f>
        <v>Халат капроновый рабочий</v>
      </c>
      <c r="B296" s="52">
        <f>'БазНорм (обр)'!C288</f>
        <v>0</v>
      </c>
      <c r="C296" s="61">
        <f>'БазНорм (обр)'!J288</f>
        <v>1</v>
      </c>
      <c r="D296" s="122">
        <f>'БазНорм (обр)'!K288</f>
        <v>791.33333333333337</v>
      </c>
      <c r="E296" s="125">
        <f>B296/C296*D296</f>
        <v>0</v>
      </c>
      <c r="F296" s="192"/>
    </row>
    <row r="297" spans="1:6" ht="52" outlineLevel="2" x14ac:dyDescent="0.3">
      <c r="A297" s="33" t="s">
        <v>479</v>
      </c>
      <c r="B297" s="51" t="s">
        <v>3</v>
      </c>
      <c r="C297" s="126" t="s">
        <v>3</v>
      </c>
      <c r="D297" s="127" t="s">
        <v>3</v>
      </c>
      <c r="E297" s="127">
        <f>SUM(E298:E341)</f>
        <v>0</v>
      </c>
      <c r="F297" s="192"/>
    </row>
    <row r="298" spans="1:6" ht="26" outlineLevel="3" x14ac:dyDescent="0.3">
      <c r="A298" s="26" t="str">
        <f>'БазНорм (обр)'!A290</f>
        <v>Ножовка по металлу 300мм(5 см,полотен)</v>
      </c>
      <c r="B298" s="52">
        <f>'БазНорм (обр)'!C290</f>
        <v>0</v>
      </c>
      <c r="C298" s="61">
        <f>'БазНорм (обр)'!J290</f>
        <v>1</v>
      </c>
      <c r="D298" s="122">
        <f>'БазНорм (обр)'!K290</f>
        <v>283.33333333333331</v>
      </c>
      <c r="E298" s="125">
        <f t="shared" ref="E298:E307" si="8">B298/C298*D298</f>
        <v>0</v>
      </c>
      <c r="F298" s="192"/>
    </row>
    <row r="299" spans="1:6" outlineLevel="3" x14ac:dyDescent="0.3">
      <c r="A299" s="26" t="str">
        <f>'БазНорм (обр)'!A291</f>
        <v>Ножовка по дереву 350мм</v>
      </c>
      <c r="B299" s="52">
        <f>'БазНорм (обр)'!C291</f>
        <v>0</v>
      </c>
      <c r="C299" s="61">
        <f>'БазНорм (обр)'!J291</f>
        <v>1</v>
      </c>
      <c r="D299" s="122">
        <f>'БазНорм (обр)'!K291</f>
        <v>483.34</v>
      </c>
      <c r="E299" s="125">
        <f t="shared" si="8"/>
        <v>0</v>
      </c>
      <c r="F299" s="192"/>
    </row>
    <row r="300" spans="1:6" outlineLevel="3" x14ac:dyDescent="0.3">
      <c r="A300" s="26" t="str">
        <f>'БазНорм (обр)'!A292</f>
        <v>Стамеска  16мм</v>
      </c>
      <c r="B300" s="52">
        <f>'БазНорм (обр)'!C292</f>
        <v>0</v>
      </c>
      <c r="C300" s="61">
        <f>'БазНорм (обр)'!J292</f>
        <v>1</v>
      </c>
      <c r="D300" s="122">
        <f>'БазНорм (обр)'!K292</f>
        <v>233.33333333333334</v>
      </c>
      <c r="E300" s="125">
        <f t="shared" si="8"/>
        <v>0</v>
      </c>
      <c r="F300" s="192"/>
    </row>
    <row r="301" spans="1:6" outlineLevel="3" x14ac:dyDescent="0.3">
      <c r="A301" s="26" t="str">
        <f>'БазНорм (обр)'!A293</f>
        <v>Молоток</v>
      </c>
      <c r="B301" s="52">
        <f>'БазНорм (обр)'!C293</f>
        <v>0</v>
      </c>
      <c r="C301" s="61">
        <f>'БазНорм (обр)'!J293</f>
        <v>1</v>
      </c>
      <c r="D301" s="122">
        <f>'БазНорм (обр)'!K293</f>
        <v>230</v>
      </c>
      <c r="E301" s="125">
        <f t="shared" si="8"/>
        <v>0</v>
      </c>
      <c r="F301" s="192"/>
    </row>
    <row r="302" spans="1:6" outlineLevel="3" x14ac:dyDescent="0.3">
      <c r="A302" s="26" t="str">
        <f>'БазНорм (обр)'!A294</f>
        <v>Набор напильников</v>
      </c>
      <c r="B302" s="52">
        <f>'БазНорм (обр)'!C294</f>
        <v>0</v>
      </c>
      <c r="C302" s="61">
        <f>'БазНорм (обр)'!J294</f>
        <v>1</v>
      </c>
      <c r="D302" s="122">
        <f>'БазНорм (обр)'!K294</f>
        <v>1846.6666666666667</v>
      </c>
      <c r="E302" s="125">
        <f t="shared" si="8"/>
        <v>0</v>
      </c>
      <c r="F302" s="192"/>
    </row>
    <row r="303" spans="1:6" outlineLevel="3" x14ac:dyDescent="0.3">
      <c r="A303" s="26" t="str">
        <f>'БазНорм (обр)'!A295</f>
        <v>Ведро пластик 10л</v>
      </c>
      <c r="B303" s="52">
        <f>'БазНорм (обр)'!C295</f>
        <v>0</v>
      </c>
      <c r="C303" s="61">
        <f>'БазНорм (обр)'!J295</f>
        <v>1</v>
      </c>
      <c r="D303" s="122">
        <f>'БазНорм (обр)'!K295</f>
        <v>153.66666666666666</v>
      </c>
      <c r="E303" s="125">
        <f t="shared" si="8"/>
        <v>0</v>
      </c>
      <c r="F303" s="192"/>
    </row>
    <row r="304" spans="1:6" outlineLevel="3" x14ac:dyDescent="0.3">
      <c r="A304" s="26" t="str">
        <f>'БазНорм (обр)'!A296</f>
        <v>Ведро оцинкованное 15л</v>
      </c>
      <c r="B304" s="52">
        <f>'БазНорм (обр)'!C296</f>
        <v>0</v>
      </c>
      <c r="C304" s="61">
        <f>'БазНорм (обр)'!J296</f>
        <v>1</v>
      </c>
      <c r="D304" s="122">
        <f>'БазНорм (обр)'!K296</f>
        <v>232</v>
      </c>
      <c r="E304" s="125">
        <f t="shared" si="8"/>
        <v>0</v>
      </c>
      <c r="F304" s="192"/>
    </row>
    <row r="305" spans="1:6" outlineLevel="3" x14ac:dyDescent="0.3">
      <c r="A305" s="26" t="str">
        <f>'БазНорм (обр)'!A297</f>
        <v>Ерш унитазный</v>
      </c>
      <c r="B305" s="52">
        <f>'БазНорм (обр)'!C297</f>
        <v>0</v>
      </c>
      <c r="C305" s="61">
        <f>'БазНорм (обр)'!J297</f>
        <v>1</v>
      </c>
      <c r="D305" s="122">
        <f>'БазНорм (обр)'!K297</f>
        <v>57.666666666666664</v>
      </c>
      <c r="E305" s="125">
        <f t="shared" si="8"/>
        <v>0</v>
      </c>
      <c r="F305" s="192"/>
    </row>
    <row r="306" spans="1:6" outlineLevel="3" x14ac:dyDescent="0.3">
      <c r="A306" s="26" t="str">
        <f>'БазНорм (обр)'!A298</f>
        <v xml:space="preserve">Замок врезной </v>
      </c>
      <c r="B306" s="52">
        <f>'БазНорм (обр)'!C298</f>
        <v>0</v>
      </c>
      <c r="C306" s="61">
        <f>'БазНорм (обр)'!J298</f>
        <v>1</v>
      </c>
      <c r="D306" s="122">
        <f>'БазНорм (обр)'!K298</f>
        <v>239.26666666666665</v>
      </c>
      <c r="E306" s="125">
        <f t="shared" si="8"/>
        <v>0</v>
      </c>
      <c r="F306" s="192"/>
    </row>
    <row r="307" spans="1:6" outlineLevel="3" x14ac:dyDescent="0.3">
      <c r="A307" s="26" t="str">
        <f>'БазНорм (обр)'!A299</f>
        <v>Замок навесной</v>
      </c>
      <c r="B307" s="52">
        <f>'БазНорм (обр)'!C299</f>
        <v>0</v>
      </c>
      <c r="C307" s="61">
        <f>'БазНорм (обр)'!J299</f>
        <v>1</v>
      </c>
      <c r="D307" s="122">
        <f>'БазНорм (обр)'!K299</f>
        <v>455</v>
      </c>
      <c r="E307" s="125">
        <f t="shared" si="8"/>
        <v>0</v>
      </c>
      <c r="F307" s="192"/>
    </row>
    <row r="308" spans="1:6" outlineLevel="3" x14ac:dyDescent="0.3">
      <c r="A308" s="26" t="str">
        <f>'БазНорм (обр)'!A300</f>
        <v>Изолента</v>
      </c>
      <c r="B308" s="52">
        <f>'БазНорм (обр)'!C300</f>
        <v>0</v>
      </c>
      <c r="C308" s="61">
        <f>'БазНорм (обр)'!J300</f>
        <v>1</v>
      </c>
      <c r="D308" s="122">
        <f>'БазНорм (обр)'!K300</f>
        <v>49.333333333333336</v>
      </c>
      <c r="E308" s="125">
        <f>B308*D308</f>
        <v>0</v>
      </c>
      <c r="F308" s="192"/>
    </row>
    <row r="309" spans="1:6" outlineLevel="3" x14ac:dyDescent="0.3">
      <c r="A309" s="26" t="str">
        <f>'БазНорм (обр)'!A301</f>
        <v>Лопата снеговая с черенком</v>
      </c>
      <c r="B309" s="52">
        <f>'БазНорм (обр)'!C301</f>
        <v>0</v>
      </c>
      <c r="C309" s="61">
        <f>'БазНорм (обр)'!J301</f>
        <v>1</v>
      </c>
      <c r="D309" s="122">
        <f>'БазНорм (обр)'!K301</f>
        <v>504.33333333333331</v>
      </c>
      <c r="E309" s="125">
        <f>B309/C309*D309</f>
        <v>0</v>
      </c>
      <c r="F309" s="192"/>
    </row>
    <row r="310" spans="1:6" outlineLevel="3" x14ac:dyDescent="0.3">
      <c r="A310" s="26" t="str">
        <f>'БазНорм (обр)'!A302</f>
        <v>Лопата совковая с черенком</v>
      </c>
      <c r="B310" s="52">
        <f>'БазНорм (обр)'!C302</f>
        <v>0</v>
      </c>
      <c r="C310" s="61">
        <f>'БазНорм (обр)'!J302</f>
        <v>1</v>
      </c>
      <c r="D310" s="122">
        <f>'БазНорм (обр)'!K302</f>
        <v>212.66666666666666</v>
      </c>
      <c r="E310" s="125">
        <f>B310/C310*D310</f>
        <v>0</v>
      </c>
      <c r="F310" s="192"/>
    </row>
    <row r="311" spans="1:6" outlineLevel="3" x14ac:dyDescent="0.3">
      <c r="A311" s="26" t="str">
        <f>'БазНорм (обр)'!A303</f>
        <v>Лопата штыковая с черенком</v>
      </c>
      <c r="B311" s="52">
        <f>'БазНорм (обр)'!C303</f>
        <v>0</v>
      </c>
      <c r="C311" s="61">
        <f>'БазНорм (обр)'!J303</f>
        <v>1</v>
      </c>
      <c r="D311" s="122">
        <f>'БазНорм (обр)'!K303</f>
        <v>532.33333333333337</v>
      </c>
      <c r="E311" s="125">
        <f>B311/C311*D311</f>
        <v>0</v>
      </c>
      <c r="F311" s="192"/>
    </row>
    <row r="312" spans="1:6" outlineLevel="3" x14ac:dyDescent="0.3">
      <c r="A312" s="26" t="str">
        <f>'БазНорм (обр)'!A304</f>
        <v>Мешок п/п зеленый</v>
      </c>
      <c r="B312" s="52">
        <f>'БазНорм (обр)'!C304</f>
        <v>0</v>
      </c>
      <c r="C312" s="61">
        <f>'БазНорм (обр)'!J304</f>
        <v>1</v>
      </c>
      <c r="D312" s="122">
        <f>'БазНорм (обр)'!K304</f>
        <v>28.710000000000004</v>
      </c>
      <c r="E312" s="125">
        <f>B312*D312</f>
        <v>0</v>
      </c>
      <c r="F312" s="192"/>
    </row>
    <row r="313" spans="1:6" outlineLevel="3" x14ac:dyDescent="0.3">
      <c r="A313" s="26" t="str">
        <f>'БазНорм (обр)'!A305</f>
        <v>Насадка на швабру</v>
      </c>
      <c r="B313" s="52">
        <f>'БазНорм (обр)'!C305</f>
        <v>0</v>
      </c>
      <c r="C313" s="61">
        <f>'БазНорм (обр)'!J305</f>
        <v>1</v>
      </c>
      <c r="D313" s="122">
        <f>'БазНорм (обр)'!K305</f>
        <v>159.5</v>
      </c>
      <c r="E313" s="125">
        <f>B313*D313</f>
        <v>0</v>
      </c>
      <c r="F313" s="192"/>
    </row>
    <row r="314" spans="1:6" outlineLevel="3" x14ac:dyDescent="0.3">
      <c r="A314" s="26" t="str">
        <f>'БазНорм (обр)'!A306</f>
        <v>Швабра для пола</v>
      </c>
      <c r="B314" s="52">
        <f>'БазНорм (обр)'!C306</f>
        <v>0</v>
      </c>
      <c r="C314" s="61">
        <f>'БазНорм (обр)'!J306</f>
        <v>1</v>
      </c>
      <c r="D314" s="122">
        <f>'БазНорм (обр)'!K306</f>
        <v>307.39999999999998</v>
      </c>
      <c r="E314" s="125">
        <f>B314/C314*D314</f>
        <v>0</v>
      </c>
      <c r="F314" s="192"/>
    </row>
    <row r="315" spans="1:6" outlineLevel="3" x14ac:dyDescent="0.3">
      <c r="A315" s="26" t="str">
        <f>'БазНорм (обр)'!A307</f>
        <v>Веник пластик</v>
      </c>
      <c r="B315" s="52">
        <f>'БазНорм (обр)'!C307</f>
        <v>0</v>
      </c>
      <c r="C315" s="61">
        <f>'БазНорм (обр)'!J307</f>
        <v>1</v>
      </c>
      <c r="D315" s="122">
        <f>'БазНорм (обр)'!K307</f>
        <v>177.43333333333331</v>
      </c>
      <c r="E315" s="125">
        <f>B315/C315*D315</f>
        <v>0</v>
      </c>
      <c r="F315" s="192"/>
    </row>
    <row r="316" spans="1:6" ht="26" outlineLevel="3" x14ac:dyDescent="0.3">
      <c r="A316" s="26" t="str">
        <f>'БазНорм (обр)'!A308</f>
        <v>Пакеты для мусора 120 л черные</v>
      </c>
      <c r="B316" s="52">
        <f>'БазНорм (обр)'!C308</f>
        <v>0</v>
      </c>
      <c r="C316" s="61">
        <f>'БазНорм (обр)'!J308</f>
        <v>1</v>
      </c>
      <c r="D316" s="122">
        <f>'БазНорм (обр)'!K308</f>
        <v>18</v>
      </c>
      <c r="E316" s="125">
        <f t="shared" ref="E316:E323" si="9">B316*D316</f>
        <v>0</v>
      </c>
      <c r="F316" s="192"/>
    </row>
    <row r="317" spans="1:6" outlineLevel="3" x14ac:dyDescent="0.3">
      <c r="A317" s="26" t="str">
        <f>'БазНорм (обр)'!A309</f>
        <v>Пакеты для мусора 30л.*50 шт.</v>
      </c>
      <c r="B317" s="52">
        <f>'БазНорм (обр)'!C309</f>
        <v>0</v>
      </c>
      <c r="C317" s="61">
        <f>'БазНорм (обр)'!J309</f>
        <v>1</v>
      </c>
      <c r="D317" s="122">
        <f>'БазНорм (обр)'!K309</f>
        <v>63.6</v>
      </c>
      <c r="E317" s="125">
        <f t="shared" si="9"/>
        <v>0</v>
      </c>
      <c r="F317" s="192"/>
    </row>
    <row r="318" spans="1:6" ht="26" outlineLevel="3" x14ac:dyDescent="0.3">
      <c r="A318" s="26" t="str">
        <f>'БазНорм (обр)'!A310</f>
        <v>Пакеты для мусора 120 л. *10 шт.</v>
      </c>
      <c r="B318" s="52">
        <f>'БазНорм (обр)'!C310</f>
        <v>0</v>
      </c>
      <c r="C318" s="61">
        <f>'БазНорм (обр)'!J310</f>
        <v>1</v>
      </c>
      <c r="D318" s="122">
        <f>'БазНорм (обр)'!K310</f>
        <v>85.066666666666663</v>
      </c>
      <c r="E318" s="125">
        <f t="shared" si="9"/>
        <v>0</v>
      </c>
      <c r="F318" s="192"/>
    </row>
    <row r="319" spans="1:6" outlineLevel="3" x14ac:dyDescent="0.3">
      <c r="A319" s="26" t="str">
        <f>'БазНорм (обр)'!A311</f>
        <v>Перчатки латексные</v>
      </c>
      <c r="B319" s="52">
        <f>'БазНорм (обр)'!C311</f>
        <v>0</v>
      </c>
      <c r="C319" s="61">
        <f>'БазНорм (обр)'!J311</f>
        <v>1</v>
      </c>
      <c r="D319" s="122">
        <f>'БазНорм (обр)'!K311</f>
        <v>60.666666666666664</v>
      </c>
      <c r="E319" s="125">
        <f t="shared" si="9"/>
        <v>0</v>
      </c>
      <c r="F319" s="192"/>
    </row>
    <row r="320" spans="1:6" outlineLevel="3" x14ac:dyDescent="0.3">
      <c r="A320" s="26" t="str">
        <f>'БазНорм (обр)'!A312</f>
        <v>Перчатки резиновые НЭП</v>
      </c>
      <c r="B320" s="52">
        <f>'БазНорм (обр)'!C312</f>
        <v>0</v>
      </c>
      <c r="C320" s="61">
        <f>'БазНорм (обр)'!J312</f>
        <v>1</v>
      </c>
      <c r="D320" s="122">
        <f>'БазНорм (обр)'!K312</f>
        <v>63.6</v>
      </c>
      <c r="E320" s="125">
        <f t="shared" si="9"/>
        <v>0</v>
      </c>
      <c r="F320" s="192"/>
    </row>
    <row r="321" spans="1:6" outlineLevel="3" x14ac:dyDescent="0.3">
      <c r="A321" s="26" t="str">
        <f>'БазНорм (обр)'!A313</f>
        <v>Перчатки ХБ ПВХ</v>
      </c>
      <c r="B321" s="52">
        <f>'БазНорм (обр)'!C313</f>
        <v>0</v>
      </c>
      <c r="C321" s="61">
        <f>'БазНорм (обр)'!J313</f>
        <v>1</v>
      </c>
      <c r="D321" s="122">
        <f>'БазНорм (обр)'!K313</f>
        <v>30.599999999999998</v>
      </c>
      <c r="E321" s="125">
        <f t="shared" si="9"/>
        <v>0</v>
      </c>
      <c r="F321" s="192"/>
    </row>
    <row r="322" spans="1:6" outlineLevel="3" x14ac:dyDescent="0.3">
      <c r="A322" s="26" t="str">
        <f>'БазНорм (обр)'!A314</f>
        <v>Полотно вафельное</v>
      </c>
      <c r="B322" s="52">
        <f>'БазНорм (обр)'!C314</f>
        <v>0</v>
      </c>
      <c r="C322" s="61">
        <f>'БазНорм (обр)'!J314</f>
        <v>1</v>
      </c>
      <c r="D322" s="122">
        <f>'БазНорм (обр)'!K314</f>
        <v>110.66666666666667</v>
      </c>
      <c r="E322" s="125">
        <f t="shared" si="9"/>
        <v>0</v>
      </c>
      <c r="F322" s="192"/>
    </row>
    <row r="323" spans="1:6" outlineLevel="3" x14ac:dyDescent="0.3">
      <c r="A323" s="26" t="str">
        <f>'БазНорм (обр)'!A315</f>
        <v>Полотенечная ткань</v>
      </c>
      <c r="B323" s="52">
        <f>'БазНорм (обр)'!C315</f>
        <v>0</v>
      </c>
      <c r="C323" s="61">
        <f>'БазНорм (обр)'!J315</f>
        <v>1</v>
      </c>
      <c r="D323" s="122">
        <f>'БазНорм (обр)'!K315</f>
        <v>74.2</v>
      </c>
      <c r="E323" s="125">
        <f t="shared" si="9"/>
        <v>0</v>
      </c>
      <c r="F323" s="192"/>
    </row>
    <row r="324" spans="1:6" outlineLevel="3" x14ac:dyDescent="0.3">
      <c r="A324" s="26" t="str">
        <f>'БазНорм (обр)'!A316</f>
        <v>Полотно для мытья пола</v>
      </c>
      <c r="B324" s="52">
        <f>'БазНорм (обр)'!C316</f>
        <v>0</v>
      </c>
      <c r="C324" s="61">
        <f>'БазНорм (обр)'!J316</f>
        <v>1</v>
      </c>
      <c r="D324" s="122">
        <f>'БазНорм (обр)'!K316</f>
        <v>126.33333333333333</v>
      </c>
      <c r="E324" s="125">
        <f t="shared" ref="E324:E334" si="10">B324/C324*D324</f>
        <v>0</v>
      </c>
      <c r="F324" s="192"/>
    </row>
    <row r="325" spans="1:6" outlineLevel="3" x14ac:dyDescent="0.3">
      <c r="A325" s="26" t="str">
        <f>'БазНорм (обр)'!A317</f>
        <v>Швабра отжим. губ с ведром</v>
      </c>
      <c r="B325" s="52">
        <f>'БазНорм (обр)'!C317</f>
        <v>0</v>
      </c>
      <c r="C325" s="61">
        <f>'БазНорм (обр)'!J317</f>
        <v>1</v>
      </c>
      <c r="D325" s="122">
        <f>'БазНорм (обр)'!K317</f>
        <v>850.66666666666663</v>
      </c>
      <c r="E325" s="125">
        <f t="shared" si="10"/>
        <v>0</v>
      </c>
      <c r="F325" s="192"/>
    </row>
    <row r="326" spans="1:6" outlineLevel="3" x14ac:dyDescent="0.3">
      <c r="A326" s="26" t="str">
        <f>'БазНорм (обр)'!A318</f>
        <v>Перфоратор аккумуляторный</v>
      </c>
      <c r="B326" s="52">
        <f>'БазНорм (обр)'!C318</f>
        <v>0</v>
      </c>
      <c r="C326" s="61">
        <f>'БазНорм (обр)'!J318</f>
        <v>5</v>
      </c>
      <c r="D326" s="122">
        <f>'БазНорм (обр)'!K318</f>
        <v>10852</v>
      </c>
      <c r="E326" s="125">
        <f t="shared" si="10"/>
        <v>0</v>
      </c>
      <c r="F326" s="192"/>
    </row>
    <row r="327" spans="1:6" outlineLevel="3" x14ac:dyDescent="0.3">
      <c r="A327" s="26" t="str">
        <f>'БазНорм (обр)'!A319</f>
        <v>Бензиновый триммер</v>
      </c>
      <c r="B327" s="52">
        <f>'БазНорм (обр)'!C319</f>
        <v>0</v>
      </c>
      <c r="C327" s="61">
        <f>'БазНорм (обр)'!J319</f>
        <v>5</v>
      </c>
      <c r="D327" s="122">
        <f>'БазНорм (обр)'!K319</f>
        <v>7200</v>
      </c>
      <c r="E327" s="125">
        <f t="shared" si="10"/>
        <v>0</v>
      </c>
      <c r="F327" s="192"/>
    </row>
    <row r="328" spans="1:6" outlineLevel="3" x14ac:dyDescent="0.3">
      <c r="A328" s="26" t="str">
        <f>'БазНорм (обр)'!A320</f>
        <v xml:space="preserve">Рубанок HAMMER </v>
      </c>
      <c r="B328" s="52">
        <f>'БазНорм (обр)'!C320</f>
        <v>0</v>
      </c>
      <c r="C328" s="61">
        <f>'БазНорм (обр)'!J320</f>
        <v>5</v>
      </c>
      <c r="D328" s="122">
        <f>'БазНорм (обр)'!K320</f>
        <v>12600</v>
      </c>
      <c r="E328" s="125">
        <f t="shared" si="10"/>
        <v>0</v>
      </c>
      <c r="F328" s="192"/>
    </row>
    <row r="329" spans="1:6" outlineLevel="3" x14ac:dyDescent="0.3">
      <c r="A329" s="26" t="str">
        <f>'БазНорм (обр)'!A321</f>
        <v>Пила циркулярная HAMMER</v>
      </c>
      <c r="B329" s="52">
        <f>'БазНорм (обр)'!C321</f>
        <v>0</v>
      </c>
      <c r="C329" s="61">
        <f>'БазНорм (обр)'!J321</f>
        <v>5</v>
      </c>
      <c r="D329" s="122">
        <f>'БазНорм (обр)'!K321</f>
        <v>9483.3333333333339</v>
      </c>
      <c r="E329" s="125">
        <f t="shared" si="10"/>
        <v>0</v>
      </c>
      <c r="F329" s="192"/>
    </row>
    <row r="330" spans="1:6" outlineLevel="3" x14ac:dyDescent="0.3">
      <c r="A330" s="26" t="str">
        <f>'БазНорм (обр)'!A322</f>
        <v>Точило HAMMER</v>
      </c>
      <c r="B330" s="52">
        <f>'БазНорм (обр)'!C322</f>
        <v>0</v>
      </c>
      <c r="C330" s="61">
        <f>'БазНорм (обр)'!J322</f>
        <v>5</v>
      </c>
      <c r="D330" s="122">
        <f>'БазНорм (обр)'!K322</f>
        <v>6900</v>
      </c>
      <c r="E330" s="125">
        <f t="shared" si="10"/>
        <v>0</v>
      </c>
      <c r="F330" s="192"/>
    </row>
    <row r="331" spans="1:6" ht="26" outlineLevel="3" x14ac:dyDescent="0.3">
      <c r="A331" s="26" t="str">
        <f>'БазНорм (обр)'!A323</f>
        <v>Набор сверл по металлу от 1 до 10(19шт)</v>
      </c>
      <c r="B331" s="52">
        <f>'БазНорм (обр)'!C323</f>
        <v>0</v>
      </c>
      <c r="C331" s="61">
        <f>'БазНорм (обр)'!J323</f>
        <v>1</v>
      </c>
      <c r="D331" s="122">
        <f>'БазНорм (обр)'!K323</f>
        <v>843.33333333333337</v>
      </c>
      <c r="E331" s="125">
        <f t="shared" si="10"/>
        <v>0</v>
      </c>
      <c r="F331" s="192"/>
    </row>
    <row r="332" spans="1:6" ht="26" outlineLevel="3" x14ac:dyDescent="0.3">
      <c r="A332" s="26" t="str">
        <f>'БазНорм (обр)'!A324</f>
        <v>Тряпкодержатель с салфеткой для пола усиленный</v>
      </c>
      <c r="B332" s="52">
        <f>'БазНорм (обр)'!C324</f>
        <v>0</v>
      </c>
      <c r="C332" s="61">
        <f>'БазНорм (обр)'!J324</f>
        <v>1</v>
      </c>
      <c r="D332" s="122">
        <f>'БазНорм (обр)'!K324</f>
        <v>689.67</v>
      </c>
      <c r="E332" s="125">
        <f t="shared" si="10"/>
        <v>0</v>
      </c>
      <c r="F332" s="192"/>
    </row>
    <row r="333" spans="1:6" outlineLevel="3" x14ac:dyDescent="0.3">
      <c r="A333" s="26" t="str">
        <f>'БазНорм (обр)'!A325</f>
        <v>Замки навесные маленькие</v>
      </c>
      <c r="B333" s="52">
        <f>'БазНорм (обр)'!C325</f>
        <v>0</v>
      </c>
      <c r="C333" s="61">
        <f>'БазНорм (обр)'!J325</f>
        <v>1</v>
      </c>
      <c r="D333" s="122">
        <f>'БазНорм (обр)'!K325</f>
        <v>242.66666666666666</v>
      </c>
      <c r="E333" s="125">
        <f t="shared" si="10"/>
        <v>0</v>
      </c>
      <c r="F333" s="192"/>
    </row>
    <row r="334" spans="1:6" outlineLevel="3" x14ac:dyDescent="0.3">
      <c r="A334" s="26" t="str">
        <f>'БазНорм (обр)'!A326</f>
        <v>Замки навесные большие</v>
      </c>
      <c r="B334" s="52">
        <f>'БазНорм (обр)'!C326</f>
        <v>0</v>
      </c>
      <c r="C334" s="61">
        <f>'БазНорм (обр)'!J326</f>
        <v>1</v>
      </c>
      <c r="D334" s="122">
        <f>'БазНорм (обр)'!K326</f>
        <v>483.66666666666669</v>
      </c>
      <c r="E334" s="125">
        <f t="shared" si="10"/>
        <v>0</v>
      </c>
      <c r="F334" s="192"/>
    </row>
    <row r="335" spans="1:6" outlineLevel="3" x14ac:dyDescent="0.3">
      <c r="A335" s="26" t="str">
        <f>'БазНорм (обр)'!A327</f>
        <v>Знаки вспомогательные</v>
      </c>
      <c r="B335" s="52">
        <f>'БазНорм (обр)'!C327</f>
        <v>0</v>
      </c>
      <c r="C335" s="61">
        <f>'БазНорм (обр)'!J327</f>
        <v>1</v>
      </c>
      <c r="D335" s="122">
        <f>'БазНорм (обр)'!K327</f>
        <v>42.300000000000004</v>
      </c>
      <c r="E335" s="125">
        <f t="shared" ref="E335:E341" si="11">B335*D335</f>
        <v>0</v>
      </c>
      <c r="F335" s="192"/>
    </row>
    <row r="336" spans="1:6" outlineLevel="3" x14ac:dyDescent="0.3">
      <c r="A336" s="26" t="str">
        <f>'БазНорм (обр)'!A328</f>
        <v>Знаки эвакуационные</v>
      </c>
      <c r="B336" s="52">
        <f>'БазНорм (обр)'!C328</f>
        <v>0</v>
      </c>
      <c r="C336" s="61">
        <f>'БазНорм (обр)'!J328</f>
        <v>1</v>
      </c>
      <c r="D336" s="122">
        <f>'БазНорм (обр)'!K328</f>
        <v>101.33333333333333</v>
      </c>
      <c r="E336" s="125">
        <f t="shared" si="11"/>
        <v>0</v>
      </c>
      <c r="F336" s="192"/>
    </row>
    <row r="337" spans="1:6" outlineLevel="3" x14ac:dyDescent="0.3">
      <c r="A337" s="26" t="str">
        <f>'БазНорм (обр)'!A329</f>
        <v>Бумага туалетная</v>
      </c>
      <c r="B337" s="52">
        <f>'БазНорм (обр)'!C329</f>
        <v>0</v>
      </c>
      <c r="C337" s="61">
        <f>'БазНорм (обр)'!J329</f>
        <v>1</v>
      </c>
      <c r="D337" s="122">
        <f>'БазНорм (обр)'!K329</f>
        <v>8.73</v>
      </c>
      <c r="E337" s="125">
        <f t="shared" si="11"/>
        <v>0</v>
      </c>
      <c r="F337" s="192"/>
    </row>
    <row r="338" spans="1:6" outlineLevel="3" x14ac:dyDescent="0.3">
      <c r="A338" s="26" t="str">
        <f>'БазНорм (обр)'!A330</f>
        <v>Бумажные полотенца 2 шт.</v>
      </c>
      <c r="B338" s="52">
        <f>'БазНорм (обр)'!C330</f>
        <v>0</v>
      </c>
      <c r="C338" s="61">
        <f>'БазНорм (обр)'!J330</f>
        <v>1</v>
      </c>
      <c r="D338" s="122">
        <f>'БазНорм (обр)'!K330</f>
        <v>50.82</v>
      </c>
      <c r="E338" s="125">
        <f t="shared" si="11"/>
        <v>0</v>
      </c>
      <c r="F338" s="192"/>
    </row>
    <row r="339" spans="1:6" outlineLevel="3" x14ac:dyDescent="0.3">
      <c r="A339" s="26" t="str">
        <f>'БазНорм (обр)'!A331</f>
        <v>Салфетки</v>
      </c>
      <c r="B339" s="52">
        <f>'БазНорм (обр)'!C331</f>
        <v>0</v>
      </c>
      <c r="C339" s="61">
        <f>'БазНорм (обр)'!J331</f>
        <v>1</v>
      </c>
      <c r="D339" s="122">
        <f>'БазНорм (обр)'!K331</f>
        <v>20.37</v>
      </c>
      <c r="E339" s="125">
        <f t="shared" si="11"/>
        <v>0</v>
      </c>
      <c r="F339" s="192"/>
    </row>
    <row r="340" spans="1:6" outlineLevel="3" x14ac:dyDescent="0.3">
      <c r="A340" s="26" t="str">
        <f>'БазНорм (обр)'!A332</f>
        <v>Салфетки из микрофибры</v>
      </c>
      <c r="B340" s="52">
        <f>'БазНорм (обр)'!C332</f>
        <v>0</v>
      </c>
      <c r="C340" s="61">
        <f>'БазНорм (обр)'!J332</f>
        <v>1</v>
      </c>
      <c r="D340" s="122">
        <f>'БазНорм (обр)'!K332</f>
        <v>92.34</v>
      </c>
      <c r="E340" s="125">
        <f t="shared" si="11"/>
        <v>0</v>
      </c>
      <c r="F340" s="192"/>
    </row>
    <row r="341" spans="1:6" outlineLevel="3" x14ac:dyDescent="0.3">
      <c r="A341" s="26" t="str">
        <f>'БазНорм (обр)'!A333</f>
        <v>Платочки бумажные</v>
      </c>
      <c r="B341" s="52">
        <f>'БазНорм (обр)'!C333</f>
        <v>0</v>
      </c>
      <c r="C341" s="61">
        <f>'БазНорм (обр)'!J333</f>
        <v>1</v>
      </c>
      <c r="D341" s="122">
        <f>'БазНорм (обр)'!K333</f>
        <v>5.3</v>
      </c>
      <c r="E341" s="125">
        <f t="shared" si="11"/>
        <v>0</v>
      </c>
      <c r="F341" s="193"/>
    </row>
    <row r="342" spans="1:6" x14ac:dyDescent="0.3">
      <c r="A342" s="194" t="s">
        <v>101</v>
      </c>
      <c r="B342" s="194"/>
      <c r="C342" s="194"/>
      <c r="D342" s="194"/>
      <c r="E342" s="73">
        <f>E11+E162</f>
        <v>9939.2645635508125</v>
      </c>
      <c r="F342" s="57"/>
    </row>
  </sheetData>
  <mergeCells count="18">
    <mergeCell ref="A342:D342"/>
    <mergeCell ref="A163:D163"/>
    <mergeCell ref="A172:D172"/>
    <mergeCell ref="A202:D202"/>
    <mergeCell ref="A204:D204"/>
    <mergeCell ref="A208:D208"/>
    <mergeCell ref="A216:D216"/>
    <mergeCell ref="A212:D212"/>
    <mergeCell ref="A4:F4"/>
    <mergeCell ref="A5:F5"/>
    <mergeCell ref="A9:F9"/>
    <mergeCell ref="A10:F10"/>
    <mergeCell ref="A11:D11"/>
    <mergeCell ref="F11:F341"/>
    <mergeCell ref="A12:D12"/>
    <mergeCell ref="A15:D15"/>
    <mergeCell ref="A87:D87"/>
    <mergeCell ref="A162:D162"/>
  </mergeCells>
  <phoneticPr fontId="20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  <rowBreaks count="5" manualBreakCount="5">
    <brk id="25" max="5" man="1"/>
    <brk id="218" max="5" man="1"/>
    <brk id="244" max="5" man="1"/>
    <brk id="276" max="5" man="1"/>
    <brk id="309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352"/>
  <sheetViews>
    <sheetView view="pageBreakPreview" zoomScale="85" zoomScaleNormal="100" zoomScaleSheetLayoutView="85" workbookViewId="0">
      <selection activeCell="D2" sqref="D2"/>
    </sheetView>
  </sheetViews>
  <sheetFormatPr defaultColWidth="8.81640625" defaultRowHeight="13" outlineLevelRow="3" x14ac:dyDescent="0.3"/>
  <cols>
    <col min="1" max="1" width="30.7265625" style="53" customWidth="1"/>
    <col min="2" max="2" width="28.81640625" style="53" customWidth="1"/>
    <col min="3" max="4" width="30.7265625" style="53" customWidth="1"/>
    <col min="5" max="16384" width="8.81640625" style="53"/>
  </cols>
  <sheetData>
    <row r="1" spans="1:4" ht="14.5" customHeight="1" x14ac:dyDescent="0.3">
      <c r="D1" s="157" t="s">
        <v>119</v>
      </c>
    </row>
    <row r="2" spans="1:4" ht="47.5" customHeight="1" x14ac:dyDescent="0.3">
      <c r="D2" s="158" t="s">
        <v>557</v>
      </c>
    </row>
    <row r="4" spans="1:4" x14ac:dyDescent="0.3">
      <c r="A4" s="182" t="s">
        <v>69</v>
      </c>
      <c r="B4" s="182"/>
      <c r="C4" s="182"/>
      <c r="D4" s="182"/>
    </row>
    <row r="5" spans="1:4" x14ac:dyDescent="0.3">
      <c r="A5" s="182" t="s">
        <v>70</v>
      </c>
      <c r="B5" s="182"/>
      <c r="C5" s="182"/>
      <c r="D5" s="182"/>
    </row>
    <row r="6" spans="1:4" x14ac:dyDescent="0.3">
      <c r="A6" s="182" t="s">
        <v>71</v>
      </c>
      <c r="B6" s="182"/>
      <c r="C6" s="182"/>
      <c r="D6" s="182"/>
    </row>
    <row r="7" spans="1:4" x14ac:dyDescent="0.3">
      <c r="A7" s="182" t="s">
        <v>72</v>
      </c>
      <c r="B7" s="182"/>
      <c r="C7" s="182"/>
      <c r="D7" s="182"/>
    </row>
    <row r="8" spans="1:4" x14ac:dyDescent="0.3">
      <c r="A8" s="8"/>
    </row>
    <row r="9" spans="1:4" ht="16.5" customHeight="1" x14ac:dyDescent="0.3">
      <c r="A9" s="56" t="s">
        <v>73</v>
      </c>
      <c r="B9" s="56" t="s">
        <v>74</v>
      </c>
      <c r="C9" s="56" t="s">
        <v>75</v>
      </c>
      <c r="D9" s="56" t="s">
        <v>76</v>
      </c>
    </row>
    <row r="10" spans="1:4" x14ac:dyDescent="0.3">
      <c r="A10" s="56">
        <v>1</v>
      </c>
      <c r="B10" s="56">
        <v>2</v>
      </c>
      <c r="C10" s="56">
        <v>3</v>
      </c>
      <c r="D10" s="56">
        <v>4</v>
      </c>
    </row>
    <row r="11" spans="1:4" x14ac:dyDescent="0.3">
      <c r="A11" s="184" t="s">
        <v>77</v>
      </c>
      <c r="B11" s="184"/>
      <c r="C11" s="184"/>
      <c r="D11" s="184"/>
    </row>
    <row r="12" spans="1:4" x14ac:dyDescent="0.3">
      <c r="A12" s="185" t="s">
        <v>486</v>
      </c>
      <c r="B12" s="185"/>
      <c r="C12" s="185"/>
      <c r="D12" s="185"/>
    </row>
    <row r="13" spans="1:4" x14ac:dyDescent="0.3">
      <c r="A13" s="184" t="s">
        <v>78</v>
      </c>
      <c r="B13" s="184"/>
      <c r="C13" s="184"/>
      <c r="D13" s="184"/>
    </row>
    <row r="14" spans="1:4" ht="40.5" customHeight="1" x14ac:dyDescent="0.3">
      <c r="A14" s="195" t="s">
        <v>541</v>
      </c>
      <c r="B14" s="186"/>
      <c r="C14" s="186"/>
      <c r="D14" s="186"/>
    </row>
    <row r="15" spans="1:4" x14ac:dyDescent="0.3">
      <c r="A15" s="183" t="s">
        <v>79</v>
      </c>
      <c r="B15" s="183"/>
      <c r="C15" s="183"/>
      <c r="D15" s="183"/>
    </row>
    <row r="16" spans="1:4" ht="12.75" customHeight="1" outlineLevel="1" x14ac:dyDescent="0.3">
      <c r="A16" s="183" t="s">
        <v>80</v>
      </c>
      <c r="B16" s="183"/>
      <c r="C16" s="183"/>
      <c r="D16" s="183"/>
    </row>
    <row r="17" spans="1:4" ht="12.75" customHeight="1" outlineLevel="2" x14ac:dyDescent="0.3">
      <c r="A17" s="57" t="s">
        <v>510</v>
      </c>
      <c r="B17" s="57" t="s">
        <v>513</v>
      </c>
      <c r="C17" s="64">
        <f>57.33/943</f>
        <v>6.0795334040296925E-2</v>
      </c>
      <c r="D17" s="57"/>
    </row>
    <row r="18" spans="1:4" ht="12.75" customHeight="1" outlineLevel="2" x14ac:dyDescent="0.3">
      <c r="A18" s="57"/>
      <c r="B18" s="57"/>
      <c r="C18" s="57"/>
      <c r="D18" s="57"/>
    </row>
    <row r="19" spans="1:4" ht="12.75" customHeight="1" outlineLevel="1" x14ac:dyDescent="0.3">
      <c r="A19" s="183" t="s">
        <v>81</v>
      </c>
      <c r="B19" s="183"/>
      <c r="C19" s="183"/>
      <c r="D19" s="183"/>
    </row>
    <row r="20" spans="1:4" s="60" customFormat="1" ht="12.75" customHeight="1" outlineLevel="2" x14ac:dyDescent="0.3">
      <c r="A20" s="33" t="s">
        <v>56</v>
      </c>
      <c r="B20" s="34" t="s">
        <v>3</v>
      </c>
      <c r="C20" s="34" t="s">
        <v>3</v>
      </c>
      <c r="D20" s="180" t="s">
        <v>135</v>
      </c>
    </row>
    <row r="21" spans="1:4" ht="25.5" customHeight="1" outlineLevel="3" x14ac:dyDescent="0.3">
      <c r="A21" s="26" t="str">
        <f>'БазНорм (обр)'!A9</f>
        <v xml:space="preserve">Журнал: Воспитание школьников и духовно-нравственное воспитание </v>
      </c>
      <c r="B21" s="27" t="str">
        <f>'БазНорм (обр)'!B9</f>
        <v>комп.</v>
      </c>
      <c r="C21" s="52">
        <f>'БазНорм (обр)'!C9</f>
        <v>2.4006721882126993E-3</v>
      </c>
      <c r="D21" s="181"/>
    </row>
    <row r="22" spans="1:4" ht="25.5" customHeight="1" outlineLevel="3" x14ac:dyDescent="0.3">
      <c r="A22" s="26" t="str">
        <f>'БазНорм (обр)'!A10</f>
        <v>Инновационные проекты и программы в оьразовании</v>
      </c>
      <c r="B22" s="27" t="str">
        <f>'БазНорм (обр)'!B10</f>
        <v>комп.</v>
      </c>
      <c r="C22" s="52">
        <f>'БазНорм (обр)'!C10</f>
        <v>2.4006721882126993E-3</v>
      </c>
      <c r="D22" s="181"/>
    </row>
    <row r="23" spans="1:4" ht="25.5" customHeight="1" outlineLevel="3" x14ac:dyDescent="0.3">
      <c r="A23" s="26" t="str">
        <f>'БазНорм (обр)'!A11</f>
        <v>Журнал: Льготный комплект "Эксперт"</v>
      </c>
      <c r="B23" s="27" t="str">
        <f>'БазНорм (обр)'!B11</f>
        <v>комп.</v>
      </c>
      <c r="C23" s="52">
        <f>'БазНорм (обр)'!C11</f>
        <v>2.4006721882126993E-3</v>
      </c>
      <c r="D23" s="181"/>
    </row>
    <row r="24" spans="1:4" ht="12.75" customHeight="1" outlineLevel="3" x14ac:dyDescent="0.3">
      <c r="A24" s="26" t="str">
        <f>'БазНорм (обр)'!A12</f>
        <v>Журнал: Профильная школа</v>
      </c>
      <c r="B24" s="27" t="str">
        <f>'БазНорм (обр)'!B12</f>
        <v>комп.</v>
      </c>
      <c r="C24" s="52">
        <f>'БазНорм (обр)'!C12</f>
        <v>2.4006721882126993E-3</v>
      </c>
      <c r="D24" s="181"/>
    </row>
    <row r="25" spans="1:4" ht="25.5" customHeight="1" outlineLevel="3" x14ac:dyDescent="0.3">
      <c r="A25" s="26" t="str">
        <f>'БазНорм (обр)'!A13</f>
        <v xml:space="preserve">Журнал: Путешествие на зеленый свет </v>
      </c>
      <c r="B25" s="27" t="str">
        <f>'БазНорм (обр)'!B13</f>
        <v>комп.</v>
      </c>
      <c r="C25" s="52">
        <f>'БазНорм (обр)'!C13</f>
        <v>1.2003360941063496E-3</v>
      </c>
      <c r="D25" s="181"/>
    </row>
    <row r="26" spans="1:4" ht="51" customHeight="1" outlineLevel="3" x14ac:dyDescent="0.3">
      <c r="A26" s="26" t="str">
        <f>'БазНорм (обр)'!A14</f>
        <v>Журнал: Школа управления образовательным учреждением. опыт. практика. лучшие рещения (+CD)</v>
      </c>
      <c r="B26" s="27" t="str">
        <f>'БазНорм (обр)'!B14</f>
        <v>комп.</v>
      </c>
      <c r="C26" s="52">
        <f>'БазНорм (обр)'!C14</f>
        <v>2.4006721882126993E-3</v>
      </c>
      <c r="D26" s="181"/>
    </row>
    <row r="27" spans="1:4" ht="12.75" customHeight="1" outlineLevel="3" x14ac:dyDescent="0.3">
      <c r="A27" s="26" t="str">
        <f>'БазНорм (обр)'!A15</f>
        <v>Журнал: Вестник образования</v>
      </c>
      <c r="B27" s="27" t="str">
        <f>'БазНорм (обр)'!B15</f>
        <v>комп.</v>
      </c>
      <c r="C27" s="52">
        <f>'БазНорм (обр)'!C15</f>
        <v>1.2003360941063496E-3</v>
      </c>
      <c r="D27" s="181"/>
    </row>
    <row r="28" spans="1:4" ht="12.75" customHeight="1" outlineLevel="3" x14ac:dyDescent="0.3">
      <c r="A28" s="26" t="str">
        <f>'БазНорм (обр)'!A16</f>
        <v>Учительская газета</v>
      </c>
      <c r="B28" s="27" t="str">
        <f>'БазНорм (обр)'!B16</f>
        <v>комп.</v>
      </c>
      <c r="C28" s="52">
        <f>'БазНорм (обр)'!C16</f>
        <v>1.2003360941063496E-3</v>
      </c>
      <c r="D28" s="181"/>
    </row>
    <row r="29" spans="1:4" ht="25.5" customHeight="1" outlineLevel="3" x14ac:dyDescent="0.3">
      <c r="A29" s="26" t="str">
        <f>'БазНорм (обр)'!A17</f>
        <v>Журнал: Управление современной школой. завуч.</v>
      </c>
      <c r="B29" s="27" t="str">
        <f>'БазНорм (обр)'!B17</f>
        <v>комп.</v>
      </c>
      <c r="C29" s="52">
        <f>'БазНорм (обр)'!C17</f>
        <v>1.2003360941063496E-3</v>
      </c>
      <c r="D29" s="181"/>
    </row>
    <row r="30" spans="1:4" ht="38.25" customHeight="1" outlineLevel="3" x14ac:dyDescent="0.3">
      <c r="A30" s="26" t="str">
        <f>'БазНорм (обр)'!A18</f>
        <v>Журнал: Управление образовательным учреждением в вопросах и ответах</v>
      </c>
      <c r="B30" s="27" t="str">
        <f>'БазНорм (обр)'!B18</f>
        <v>комп.</v>
      </c>
      <c r="C30" s="52">
        <f>'БазНорм (обр)'!C18</f>
        <v>1.2003360941063496E-3</v>
      </c>
      <c r="D30" s="181"/>
    </row>
    <row r="31" spans="1:4" ht="12.75" customHeight="1" outlineLevel="3" x14ac:dyDescent="0.3">
      <c r="A31" s="26" t="str">
        <f>'БазНорм (обр)'!A19</f>
        <v>Журнал: Лучик</v>
      </c>
      <c r="B31" s="27" t="str">
        <f>'БазНорм (обр)'!B19</f>
        <v>комп.</v>
      </c>
      <c r="C31" s="52">
        <f>'БазНорм (обр)'!C19</f>
        <v>1.2003360941063496E-3</v>
      </c>
      <c r="D31" s="181"/>
    </row>
    <row r="32" spans="1:4" ht="12.75" customHeight="1" outlineLevel="3" x14ac:dyDescent="0.3">
      <c r="A32" s="26" t="str">
        <f>'БазНорм (обр)'!A20</f>
        <v>Журнал: Дефектология</v>
      </c>
      <c r="B32" s="27" t="str">
        <f>'БазНорм (обр)'!B20</f>
        <v>комп.</v>
      </c>
      <c r="C32" s="52">
        <f>'БазНорм (обр)'!C20</f>
        <v>0</v>
      </c>
      <c r="D32" s="181"/>
    </row>
    <row r="33" spans="1:4" ht="12.75" customHeight="1" outlineLevel="3" x14ac:dyDescent="0.3">
      <c r="A33" s="26" t="str">
        <f>'БазНорм (обр)'!A21</f>
        <v>Журнал: Лена рукоделия</v>
      </c>
      <c r="B33" s="27" t="str">
        <f>'БазНорм (обр)'!B21</f>
        <v>комп.</v>
      </c>
      <c r="C33" s="52">
        <f>'БазНорм (обр)'!C21</f>
        <v>0</v>
      </c>
      <c r="D33" s="181"/>
    </row>
    <row r="34" spans="1:4" ht="25.5" customHeight="1" outlineLevel="3" x14ac:dyDescent="0.3">
      <c r="A34" s="26" t="str">
        <f>'БазНорм (обр)'!A22</f>
        <v>Нормативные документы образовательного учреждения</v>
      </c>
      <c r="B34" s="27" t="str">
        <f>'БазНорм (обр)'!B22</f>
        <v>комп.</v>
      </c>
      <c r="C34" s="52">
        <f>'БазНорм (обр)'!C22</f>
        <v>1.2003360941063496E-3</v>
      </c>
      <c r="D34" s="181"/>
    </row>
    <row r="35" spans="1:4" ht="12.75" customHeight="1" outlineLevel="3" x14ac:dyDescent="0.3">
      <c r="A35" s="26" t="str">
        <f>'БазНорм (обр)'!A23</f>
        <v>Журнал: Практика работы в школе</v>
      </c>
      <c r="B35" s="27" t="str">
        <f>'БазНорм (обр)'!B23</f>
        <v>комп.</v>
      </c>
      <c r="C35" s="52">
        <f>'БазНорм (обр)'!C23</f>
        <v>0</v>
      </c>
      <c r="D35" s="181"/>
    </row>
    <row r="36" spans="1:4" ht="25.5" customHeight="1" outlineLevel="3" x14ac:dyDescent="0.3">
      <c r="A36" s="26" t="str">
        <f>'БазНорм (обр)'!A24</f>
        <v>Журнал: Профессиональная библиотека</v>
      </c>
      <c r="B36" s="27" t="str">
        <f>'БазНорм (обр)'!B24</f>
        <v>комп.</v>
      </c>
      <c r="C36" s="52">
        <f>'БазНорм (обр)'!C24</f>
        <v>0</v>
      </c>
      <c r="D36" s="181"/>
    </row>
    <row r="37" spans="1:4" ht="12.75" customHeight="1" outlineLevel="3" x14ac:dyDescent="0.3">
      <c r="A37" s="26" t="str">
        <f>'БазНорм (обр)'!A25</f>
        <v>Справочник руководителя</v>
      </c>
      <c r="B37" s="27" t="str">
        <f>'БазНорм (обр)'!B25</f>
        <v>комп.</v>
      </c>
      <c r="C37" s="52">
        <f>'БазНорм (обр)'!C25</f>
        <v>1.2003360941063496E-3</v>
      </c>
      <c r="D37" s="181"/>
    </row>
    <row r="38" spans="1:4" ht="25.5" customHeight="1" outlineLevel="3" x14ac:dyDescent="0.3">
      <c r="A38" s="26" t="str">
        <f>'БазНорм (обр)'!A26</f>
        <v>Юридический журнал директора школы</v>
      </c>
      <c r="B38" s="27" t="str">
        <f>'БазНорм (обр)'!B26</f>
        <v>комп.</v>
      </c>
      <c r="C38" s="52">
        <f>'БазНорм (обр)'!C26</f>
        <v>1.2003360941063496E-3</v>
      </c>
      <c r="D38" s="181"/>
    </row>
    <row r="39" spans="1:4" ht="12.75" customHeight="1" outlineLevel="3" x14ac:dyDescent="0.3">
      <c r="A39" s="26" t="str">
        <f>'БазНорм (обр)'!A27</f>
        <v xml:space="preserve">Детская энциклопедия </v>
      </c>
      <c r="B39" s="27" t="str">
        <f>'БазНорм (обр)'!B27</f>
        <v>комп.</v>
      </c>
      <c r="C39" s="52">
        <f>'БазНорм (обр)'!C27</f>
        <v>0</v>
      </c>
      <c r="D39" s="181"/>
    </row>
    <row r="40" spans="1:4" ht="12.75" customHeight="1" outlineLevel="3" x14ac:dyDescent="0.3">
      <c r="A40" s="26" t="str">
        <f>'БазНорм (обр)'!A28</f>
        <v>Журнал: Добрая дорога детства</v>
      </c>
      <c r="B40" s="27" t="str">
        <f>'БазНорм (обр)'!B28</f>
        <v>комп.</v>
      </c>
      <c r="C40" s="52">
        <f>'БазНорм (обр)'!C28</f>
        <v>0</v>
      </c>
      <c r="D40" s="181"/>
    </row>
    <row r="41" spans="1:4" ht="25.5" customHeight="1" outlineLevel="3" x14ac:dyDescent="0.3">
      <c r="A41" s="26" t="str">
        <f>'БазНорм (обр)'!A29</f>
        <v>Справочник классного руководителя</v>
      </c>
      <c r="B41" s="27" t="str">
        <f>'БазНорм (обр)'!B29</f>
        <v>комп.</v>
      </c>
      <c r="C41" s="52">
        <f>'БазНорм (обр)'!C29</f>
        <v>0</v>
      </c>
      <c r="D41" s="181"/>
    </row>
    <row r="42" spans="1:4" ht="25.5" customHeight="1" outlineLevel="3" x14ac:dyDescent="0.3">
      <c r="A42" s="26" t="str">
        <f>'БазНорм (обр)'!A30</f>
        <v>Справочник заместителя директора школы</v>
      </c>
      <c r="B42" s="27" t="str">
        <f>'БазНорм (обр)'!B30</f>
        <v>комп.</v>
      </c>
      <c r="C42" s="52">
        <f>'БазНорм (обр)'!C30</f>
        <v>1.2003360941063496E-3</v>
      </c>
      <c r="D42" s="181"/>
    </row>
    <row r="43" spans="1:4" ht="12.75" customHeight="1" outlineLevel="3" x14ac:dyDescent="0.3">
      <c r="A43" s="26" t="str">
        <f>'БазНорм (обр)'!A31</f>
        <v>Журнал: Школьный психолог</v>
      </c>
      <c r="B43" s="27" t="str">
        <f>'БазНорм (обр)'!B31</f>
        <v>комп.</v>
      </c>
      <c r="C43" s="52">
        <f>'БазНорм (обр)'!C31</f>
        <v>0</v>
      </c>
      <c r="D43" s="181"/>
    </row>
    <row r="44" spans="1:4" ht="12.75" customHeight="1" outlineLevel="3" x14ac:dyDescent="0.3">
      <c r="A44" s="26" t="str">
        <f>'БазНорм (обр)'!A32</f>
        <v>Журнал: Последний звонок</v>
      </c>
      <c r="B44" s="27" t="str">
        <f>'БазНорм (обр)'!B32</f>
        <v>комп.</v>
      </c>
      <c r="C44" s="52">
        <f>'БазНорм (обр)'!C32</f>
        <v>0</v>
      </c>
      <c r="D44" s="181"/>
    </row>
    <row r="45" spans="1:4" ht="12.75" customHeight="1" outlineLevel="3" x14ac:dyDescent="0.3">
      <c r="A45" s="26" t="str">
        <f>'БазНорм (обр)'!A33</f>
        <v>Журнал: Шишкин лес</v>
      </c>
      <c r="B45" s="27" t="str">
        <f>'БазНорм (обр)'!B33</f>
        <v>комп.</v>
      </c>
      <c r="C45" s="52">
        <f>'БазНорм (обр)'!C33</f>
        <v>0</v>
      </c>
      <c r="D45" s="181"/>
    </row>
    <row r="46" spans="1:4" ht="12.75" customHeight="1" outlineLevel="3" x14ac:dyDescent="0.3">
      <c r="A46" s="26" t="str">
        <f>'БазНорм (обр)'!A34</f>
        <v>Журнал: ГЕОленок</v>
      </c>
      <c r="B46" s="27" t="str">
        <f>'БазНорм (обр)'!B34</f>
        <v>комп.</v>
      </c>
      <c r="C46" s="52">
        <f>'БазНорм (обр)'!C34</f>
        <v>0</v>
      </c>
      <c r="D46" s="181"/>
    </row>
    <row r="47" spans="1:4" ht="12.75" customHeight="1" outlineLevel="3" x14ac:dyDescent="0.3">
      <c r="A47" s="26" t="str">
        <f>'БазНорм (обр)'!A35</f>
        <v>Журнал: Добрята</v>
      </c>
      <c r="B47" s="27" t="str">
        <f>'БазНорм (обр)'!B35</f>
        <v>комп.</v>
      </c>
      <c r="C47" s="52">
        <f>'БазНорм (обр)'!C35</f>
        <v>0</v>
      </c>
      <c r="D47" s="181"/>
    </row>
    <row r="48" spans="1:4" ht="12.75" customHeight="1" outlineLevel="3" x14ac:dyDescent="0.3">
      <c r="A48" s="26" t="str">
        <f>'БазНорм (обр)'!A36</f>
        <v>Журнал: Бумеранг</v>
      </c>
      <c r="B48" s="27" t="str">
        <f>'БазНорм (обр)'!B36</f>
        <v>комп.</v>
      </c>
      <c r="C48" s="52">
        <f>'БазНорм (обр)'!C36</f>
        <v>0</v>
      </c>
      <c r="D48" s="181"/>
    </row>
    <row r="49" spans="1:4" ht="12.75" customHeight="1" outlineLevel="3" x14ac:dyDescent="0.3">
      <c r="A49" s="26" t="str">
        <f>'БазНорм (обр)'!A37</f>
        <v>Журнал :Веселые животные</v>
      </c>
      <c r="B49" s="27" t="str">
        <f>'БазНорм (обр)'!B37</f>
        <v>комп.</v>
      </c>
      <c r="C49" s="52">
        <f>'БазНорм (обр)'!C37</f>
        <v>0</v>
      </c>
      <c r="D49" s="181"/>
    </row>
    <row r="50" spans="1:4" ht="12.75" customHeight="1" outlineLevel="3" x14ac:dyDescent="0.3">
      <c r="A50" s="26" t="str">
        <f>'БазНорм (обр)'!A38</f>
        <v>Журнал: Весёлый затейник</v>
      </c>
      <c r="B50" s="27" t="str">
        <f>'БазНорм (обр)'!B38</f>
        <v>комп.</v>
      </c>
      <c r="C50" s="52">
        <f>'БазНорм (обр)'!C38</f>
        <v>0</v>
      </c>
      <c r="D50" s="181"/>
    </row>
    <row r="51" spans="1:4" ht="12.75" customHeight="1" outlineLevel="3" x14ac:dyDescent="0.3">
      <c r="A51" s="26" t="str">
        <f>'БазНорм (обр)'!A39</f>
        <v>Журнал: Все звёзды</v>
      </c>
      <c r="B51" s="27" t="str">
        <f>'БазНорм (обр)'!B39</f>
        <v>комп.</v>
      </c>
      <c r="C51" s="52">
        <f>'БазНорм (обр)'!C39</f>
        <v>0</v>
      </c>
      <c r="D51" s="181"/>
    </row>
    <row r="52" spans="1:4" ht="25.5" customHeight="1" outlineLevel="3" x14ac:dyDescent="0.3">
      <c r="A52" s="26" t="str">
        <f>'БазНорм (обр)'!A40</f>
        <v>Журнал: Девчонки-мальчишки. Школа ремесел</v>
      </c>
      <c r="B52" s="27" t="str">
        <f>'БазНорм (обр)'!B40</f>
        <v>комп.</v>
      </c>
      <c r="C52" s="52">
        <f>'БазНорм (обр)'!C40</f>
        <v>0</v>
      </c>
      <c r="D52" s="181"/>
    </row>
    <row r="53" spans="1:4" ht="25.5" customHeight="1" outlineLevel="3" x14ac:dyDescent="0.3">
      <c r="A53" s="26" t="str">
        <f>'БазНорм (обр)'!A41</f>
        <v>Журнал: Управление современной школой</v>
      </c>
      <c r="B53" s="27" t="str">
        <f>'БазНорм (обр)'!B41</f>
        <v>комп.</v>
      </c>
      <c r="C53" s="52">
        <f>'БазНорм (обр)'!C41</f>
        <v>0</v>
      </c>
      <c r="D53" s="181"/>
    </row>
    <row r="54" spans="1:4" ht="12.75" customHeight="1" outlineLevel="3" x14ac:dyDescent="0.3">
      <c r="A54" s="26" t="str">
        <f>'БазНорм (обр)'!A42</f>
        <v>Журнал : Клёпа</v>
      </c>
      <c r="B54" s="27" t="str">
        <f>'БазНорм (обр)'!B42</f>
        <v>комп.</v>
      </c>
      <c r="C54" s="52">
        <f>'БазНорм (обр)'!C42</f>
        <v>0</v>
      </c>
      <c r="D54" s="181"/>
    </row>
    <row r="55" spans="1:4" ht="12.75" customHeight="1" outlineLevel="3" x14ac:dyDescent="0.3">
      <c r="A55" s="26" t="str">
        <f>'БазНорм (обр)'!A43</f>
        <v>Журнал: Компьютер MOUSE</v>
      </c>
      <c r="B55" s="27" t="str">
        <f>'БазНорм (обр)'!B43</f>
        <v>комп.</v>
      </c>
      <c r="C55" s="52">
        <f>'БазНорм (обр)'!C43</f>
        <v>0</v>
      </c>
      <c r="D55" s="181"/>
    </row>
    <row r="56" spans="1:4" ht="12.75" customHeight="1" outlineLevel="3" x14ac:dyDescent="0.3">
      <c r="A56" s="26" t="str">
        <f>'БазНорм (обр)'!A44</f>
        <v>Журнал: Спасайкин</v>
      </c>
      <c r="B56" s="27" t="str">
        <f>'БазНорм (обр)'!B44</f>
        <v>комп.</v>
      </c>
      <c r="C56" s="52">
        <f>'БазНорм (обр)'!C44</f>
        <v>1.2003360941063496E-3</v>
      </c>
      <c r="D56" s="181"/>
    </row>
    <row r="57" spans="1:4" ht="12.75" customHeight="1" outlineLevel="3" x14ac:dyDescent="0.3">
      <c r="A57" s="26" t="str">
        <f>'БазНорм (обр)'!A45</f>
        <v>Журнал: Мир техники для детей</v>
      </c>
      <c r="B57" s="27" t="str">
        <f>'БазНорм (обр)'!B45</f>
        <v>комп.</v>
      </c>
      <c r="C57" s="52">
        <f>'БазНорм (обр)'!C45</f>
        <v>0</v>
      </c>
      <c r="D57" s="181"/>
    </row>
    <row r="58" spans="1:4" ht="12.75" customHeight="1" outlineLevel="3" x14ac:dyDescent="0.3">
      <c r="A58" s="26" t="str">
        <f>'БазНорм (обр)'!A46</f>
        <v>Журнал: Читайка</v>
      </c>
      <c r="B58" s="27" t="str">
        <f>'БазНорм (обр)'!B46</f>
        <v>комп.</v>
      </c>
      <c r="C58" s="52">
        <f>'БазНорм (обр)'!C46</f>
        <v>0</v>
      </c>
      <c r="D58" s="181"/>
    </row>
    <row r="59" spans="1:4" ht="25.5" customHeight="1" outlineLevel="3" x14ac:dyDescent="0.3">
      <c r="A59" s="26" t="str">
        <f>'БазНорм (обр)'!A47</f>
        <v>Журнал: Чудеса и приключения-детям-ЧИП</v>
      </c>
      <c r="B59" s="27" t="str">
        <f>'БазНорм (обр)'!B47</f>
        <v>комп.</v>
      </c>
      <c r="C59" s="52">
        <f>'БазНорм (обр)'!C47</f>
        <v>0</v>
      </c>
      <c r="D59" s="181"/>
    </row>
    <row r="60" spans="1:4" ht="12.75" customHeight="1" outlineLevel="3" x14ac:dyDescent="0.3">
      <c r="A60" s="26" t="str">
        <f>'БазНорм (обр)'!A48</f>
        <v>Журнал: Юный краевед</v>
      </c>
      <c r="B60" s="27" t="str">
        <f>'БазНорм (обр)'!B48</f>
        <v>комп.</v>
      </c>
      <c r="C60" s="52">
        <f>'БазНорм (обр)'!C48</f>
        <v>0</v>
      </c>
      <c r="D60" s="181"/>
    </row>
    <row r="61" spans="1:4" ht="12.75" customHeight="1" outlineLevel="3" x14ac:dyDescent="0.3">
      <c r="A61" s="26" t="str">
        <f>'БазНорм (обр)'!A49</f>
        <v>Журнал: Игровая библиотека</v>
      </c>
      <c r="B61" s="27" t="str">
        <f>'БазНорм (обр)'!B49</f>
        <v>комп.</v>
      </c>
      <c r="C61" s="52">
        <f>'БазНорм (обр)'!C49</f>
        <v>0</v>
      </c>
      <c r="D61" s="181"/>
    </row>
    <row r="62" spans="1:4" ht="12.75" customHeight="1" outlineLevel="3" x14ac:dyDescent="0.3">
      <c r="A62" s="26" t="str">
        <f>'БазНорм (обр)'!A50</f>
        <v>Журнал: Школа и производство</v>
      </c>
      <c r="B62" s="27" t="str">
        <f>'БазНорм (обр)'!B50</f>
        <v>комп.</v>
      </c>
      <c r="C62" s="52">
        <f>'БазНорм (обр)'!C50</f>
        <v>0</v>
      </c>
      <c r="D62" s="181"/>
    </row>
    <row r="63" spans="1:4" ht="12.75" customHeight="1" outlineLevel="3" x14ac:dyDescent="0.3">
      <c r="A63" s="26" t="str">
        <f>'БазНорм (обр)'!A51</f>
        <v>Журнал: Веселый урок</v>
      </c>
      <c r="B63" s="27" t="str">
        <f>'БазНорм (обр)'!B51</f>
        <v>комп.</v>
      </c>
      <c r="C63" s="52">
        <f>'БазНорм (обр)'!C51</f>
        <v>0</v>
      </c>
      <c r="D63" s="181"/>
    </row>
    <row r="64" spans="1:4" ht="12.75" customHeight="1" outlineLevel="3" x14ac:dyDescent="0.3">
      <c r="A64" s="26" t="str">
        <f>'БазНорм (обр)'!A52</f>
        <v>Журнал: ОБЖ</v>
      </c>
      <c r="B64" s="27" t="str">
        <f>'БазНорм (обр)'!B52</f>
        <v>комп.</v>
      </c>
      <c r="C64" s="52">
        <f>'БазНорм (обр)'!C52</f>
        <v>0</v>
      </c>
      <c r="D64" s="181"/>
    </row>
    <row r="65" spans="1:4" ht="12.75" customHeight="1" outlineLevel="3" x14ac:dyDescent="0.3">
      <c r="A65" s="26" t="str">
        <f>'БазНорм (обр)'!A53</f>
        <v>Журнал: Мурзилка</v>
      </c>
      <c r="B65" s="27" t="str">
        <f>'БазНорм (обр)'!B53</f>
        <v>комп.</v>
      </c>
      <c r="C65" s="52">
        <f>'БазНорм (обр)'!C53</f>
        <v>0</v>
      </c>
      <c r="D65" s="181"/>
    </row>
    <row r="66" spans="1:4" ht="12.75" customHeight="1" outlineLevel="3" x14ac:dyDescent="0.3">
      <c r="A66" s="26" t="str">
        <f>'БазНорм (обр)'!A54</f>
        <v>Журнал: Юный эрудит</v>
      </c>
      <c r="B66" s="27" t="str">
        <f>'БазНорм (обр)'!B54</f>
        <v>комп.</v>
      </c>
      <c r="C66" s="52">
        <f>'БазНорм (обр)'!C54</f>
        <v>0</v>
      </c>
      <c r="D66" s="181"/>
    </row>
    <row r="67" spans="1:4" ht="12.75" customHeight="1" outlineLevel="3" x14ac:dyDescent="0.3">
      <c r="A67" s="26" t="str">
        <f>'БазНорм (обр)'!A55</f>
        <v>Журнал: Педсовет</v>
      </c>
      <c r="B67" s="27" t="str">
        <f>'БазНорм (обр)'!B55</f>
        <v>комп.</v>
      </c>
      <c r="C67" s="52">
        <f>'БазНорм (обр)'!C55</f>
        <v>0</v>
      </c>
      <c r="D67" s="181"/>
    </row>
    <row r="68" spans="1:4" ht="12.75" customHeight="1" outlineLevel="3" x14ac:dyDescent="0.3">
      <c r="A68" s="26" t="str">
        <f>'БазНорм (обр)'!A56</f>
        <v>Журнал: Методист</v>
      </c>
      <c r="B68" s="27" t="str">
        <f>'БазНорм (обр)'!B56</f>
        <v>комп.</v>
      </c>
      <c r="C68" s="52">
        <f>'БазНорм (обр)'!C56</f>
        <v>0</v>
      </c>
      <c r="D68" s="181"/>
    </row>
    <row r="69" spans="1:4" ht="12.75" customHeight="1" outlineLevel="3" x14ac:dyDescent="0.3">
      <c r="A69" s="26" t="str">
        <f>'БазНорм (обр)'!A57</f>
        <v>Журнал: Огонек</v>
      </c>
      <c r="B69" s="27" t="str">
        <f>'БазНорм (обр)'!B57</f>
        <v>комп.</v>
      </c>
      <c r="C69" s="52">
        <f>'БазНорм (обр)'!C57</f>
        <v>0</v>
      </c>
      <c r="D69" s="181"/>
    </row>
    <row r="70" spans="1:4" ht="12.75" customHeight="1" outlineLevel="3" x14ac:dyDescent="0.3">
      <c r="A70" s="26" t="str">
        <f>'БазНорм (обр)'!A58</f>
        <v>Журнал: Отчего и почему</v>
      </c>
      <c r="B70" s="27" t="str">
        <f>'БазНорм (обр)'!B58</f>
        <v>комп.</v>
      </c>
      <c r="C70" s="52">
        <f>'БазНорм (обр)'!C58</f>
        <v>0</v>
      </c>
      <c r="D70" s="181"/>
    </row>
    <row r="71" spans="1:4" s="60" customFormat="1" ht="12.75" customHeight="1" outlineLevel="2" x14ac:dyDescent="0.3">
      <c r="A71" s="33" t="s">
        <v>478</v>
      </c>
      <c r="B71" s="34" t="s">
        <v>3</v>
      </c>
      <c r="C71" s="51" t="s">
        <v>3</v>
      </c>
      <c r="D71" s="181"/>
    </row>
    <row r="72" spans="1:4" ht="12.75" customHeight="1" outlineLevel="3" x14ac:dyDescent="0.3">
      <c r="A72" s="26" t="str">
        <f>'БазНорм (обр)'!A60</f>
        <v>Шкаф для документов</v>
      </c>
      <c r="B72" s="27" t="str">
        <f>'БазНорм (обр)'!B60</f>
        <v>шт.</v>
      </c>
      <c r="C72" s="52">
        <f>'БазНорм (обр)'!C60</f>
        <v>0</v>
      </c>
      <c r="D72" s="181"/>
    </row>
    <row r="73" spans="1:4" ht="12.75" customHeight="1" outlineLevel="3" x14ac:dyDescent="0.3">
      <c r="A73" s="26" t="str">
        <f>'БазНорм (обр)'!A61</f>
        <v>Шкаф книжный</v>
      </c>
      <c r="B73" s="27" t="str">
        <f>'БазНорм (обр)'!B61</f>
        <v>шт.</v>
      </c>
      <c r="C73" s="52">
        <f>'БазНорм (обр)'!C61</f>
        <v>0</v>
      </c>
      <c r="D73" s="181"/>
    </row>
    <row r="74" spans="1:4" ht="12.75" customHeight="1" outlineLevel="3" x14ac:dyDescent="0.3">
      <c r="A74" s="26" t="str">
        <f>'БазНорм (обр)'!A62</f>
        <v>Шкаф под ключи</v>
      </c>
      <c r="B74" s="27" t="str">
        <f>'БазНорм (обр)'!B62</f>
        <v>шт.</v>
      </c>
      <c r="C74" s="52">
        <f>'БазНорм (обр)'!C62</f>
        <v>0</v>
      </c>
      <c r="D74" s="181"/>
    </row>
    <row r="75" spans="1:4" ht="12.75" customHeight="1" outlineLevel="3" x14ac:dyDescent="0.3">
      <c r="A75" s="26" t="str">
        <f>'БазНорм (обр)'!A63</f>
        <v>Шкаф для одежды</v>
      </c>
      <c r="B75" s="27" t="str">
        <f>'БазНорм (обр)'!B63</f>
        <v>шт.</v>
      </c>
      <c r="C75" s="52">
        <f>'БазНорм (обр)'!C63</f>
        <v>0</v>
      </c>
      <c r="D75" s="181"/>
    </row>
    <row r="76" spans="1:4" ht="12.75" customHeight="1" outlineLevel="3" x14ac:dyDescent="0.3">
      <c r="A76" s="26" t="str">
        <f>'БазНорм (обр)'!A64</f>
        <v>Стеллаж для библиотеки</v>
      </c>
      <c r="B76" s="27" t="str">
        <f>'БазНорм (обр)'!B64</f>
        <v>шт.</v>
      </c>
      <c r="C76" s="52">
        <f>'БазНорм (обр)'!C64</f>
        <v>0</v>
      </c>
      <c r="D76" s="181"/>
    </row>
    <row r="77" spans="1:4" ht="12.75" customHeight="1" outlineLevel="3" x14ac:dyDescent="0.3">
      <c r="A77" s="26" t="str">
        <f>'БазНорм (обр)'!A65</f>
        <v>Стеллаж библиотечный 2х сторон</v>
      </c>
      <c r="B77" s="27" t="str">
        <f>'БазНорм (обр)'!B65</f>
        <v>шт.</v>
      </c>
      <c r="C77" s="52">
        <f>'БазНорм (обр)'!C65</f>
        <v>0</v>
      </c>
      <c r="D77" s="181"/>
    </row>
    <row r="78" spans="1:4" ht="25.5" customHeight="1" outlineLevel="3" x14ac:dyDescent="0.3">
      <c r="A78" s="26" t="str">
        <f>'БазНорм (обр)'!A66</f>
        <v>Стеллаж библиотечный односторонний</v>
      </c>
      <c r="B78" s="27" t="str">
        <f>'БазНорм (обр)'!B66</f>
        <v>шт.</v>
      </c>
      <c r="C78" s="52">
        <f>'БазНорм (обр)'!C66</f>
        <v>0</v>
      </c>
      <c r="D78" s="181"/>
    </row>
    <row r="79" spans="1:4" ht="12.75" customHeight="1" outlineLevel="3" x14ac:dyDescent="0.3">
      <c r="A79" s="26" t="str">
        <f>'БазНорм (обр)'!A67</f>
        <v>Полка для раз. досок</v>
      </c>
      <c r="B79" s="27" t="str">
        <f>'БазНорм (обр)'!B67</f>
        <v>шт.</v>
      </c>
      <c r="C79" s="52">
        <f>'БазНорм (обр)'!C67</f>
        <v>0</v>
      </c>
      <c r="D79" s="181"/>
    </row>
    <row r="80" spans="1:4" ht="12.75" customHeight="1" outlineLevel="3" x14ac:dyDescent="0.3">
      <c r="A80" s="26" t="str">
        <f>'БазНорм (обр)'!A68</f>
        <v>Доска аудиторная</v>
      </c>
      <c r="B80" s="27" t="str">
        <f>'БазНорм (обр)'!B68</f>
        <v>шт.</v>
      </c>
      <c r="C80" s="52">
        <f>'БазНорм (обр)'!C68</f>
        <v>0</v>
      </c>
      <c r="D80" s="181"/>
    </row>
    <row r="81" spans="1:4" ht="12.75" customHeight="1" outlineLevel="3" x14ac:dyDescent="0.3">
      <c r="A81" s="26" t="str">
        <f>'БазНорм (обр)'!A69</f>
        <v>Доска пробковая</v>
      </c>
      <c r="B81" s="27" t="str">
        <f>'БазНорм (обр)'!B69</f>
        <v>шт.</v>
      </c>
      <c r="C81" s="52">
        <f>'БазНорм (обр)'!C69</f>
        <v>0</v>
      </c>
      <c r="D81" s="181"/>
    </row>
    <row r="82" spans="1:4" ht="12.75" customHeight="1" outlineLevel="3" x14ac:dyDescent="0.3">
      <c r="A82" s="26" t="str">
        <f>'БазНорм (обр)'!A70</f>
        <v>Стол эргономичный</v>
      </c>
      <c r="B82" s="27" t="str">
        <f>'БазНорм (обр)'!B70</f>
        <v>шт.</v>
      </c>
      <c r="C82" s="52">
        <f>'БазНорм (обр)'!C70</f>
        <v>0</v>
      </c>
      <c r="D82" s="181"/>
    </row>
    <row r="83" spans="1:4" ht="12.75" customHeight="1" outlineLevel="3" x14ac:dyDescent="0.3">
      <c r="A83" s="26" t="str">
        <f>'БазНорм (обр)'!A71</f>
        <v>Стол ученический</v>
      </c>
      <c r="B83" s="27" t="str">
        <f>'БазНорм (обр)'!B71</f>
        <v>шт.</v>
      </c>
      <c r="C83" s="52">
        <f>'БазНорм (обр)'!C71</f>
        <v>0</v>
      </c>
      <c r="D83" s="181"/>
    </row>
    <row r="84" spans="1:4" ht="12.75" customHeight="1" outlineLevel="3" x14ac:dyDescent="0.3">
      <c r="A84" s="26" t="str">
        <f>'БазНорм (обр)'!A72</f>
        <v>Стул офисный</v>
      </c>
      <c r="B84" s="27" t="str">
        <f>'БазНорм (обр)'!B72</f>
        <v>шт.</v>
      </c>
      <c r="C84" s="52">
        <f>'БазНорм (обр)'!C72</f>
        <v>0</v>
      </c>
      <c r="D84" s="181"/>
    </row>
    <row r="85" spans="1:4" ht="12.75" customHeight="1" outlineLevel="3" x14ac:dyDescent="0.3">
      <c r="A85" s="26" t="str">
        <f>'БазНорм (обр)'!A73</f>
        <v>Стул ученический</v>
      </c>
      <c r="B85" s="27" t="str">
        <f>'БазНорм (обр)'!B73</f>
        <v>шт.</v>
      </c>
      <c r="C85" s="52">
        <f>'БазНорм (обр)'!C73</f>
        <v>0</v>
      </c>
      <c r="D85" s="181"/>
    </row>
    <row r="86" spans="1:4" ht="12.75" customHeight="1" outlineLevel="3" x14ac:dyDescent="0.3">
      <c r="A86" s="26" t="str">
        <f>'БазНорм (обр)'!A74</f>
        <v>Тумба подкатная</v>
      </c>
      <c r="B86" s="27" t="str">
        <f>'БазНорм (обр)'!B74</f>
        <v>шт.</v>
      </c>
      <c r="C86" s="52">
        <f>'БазНорм (обр)'!C74</f>
        <v>0</v>
      </c>
      <c r="D86" s="181"/>
    </row>
    <row r="87" spans="1:4" ht="12.75" customHeight="1" outlineLevel="3" x14ac:dyDescent="0.3">
      <c r="A87" s="26" t="str">
        <f>'БазНорм (обр)'!A75</f>
        <v>Скамейка 3- местная</v>
      </c>
      <c r="B87" s="27" t="str">
        <f>'БазНорм (обр)'!B75</f>
        <v>шт.</v>
      </c>
      <c r="C87" s="52">
        <f>'БазНорм (обр)'!C75</f>
        <v>0</v>
      </c>
      <c r="D87" s="181"/>
    </row>
    <row r="88" spans="1:4" ht="25.5" customHeight="1" outlineLevel="3" x14ac:dyDescent="0.3">
      <c r="A88" s="26" t="str">
        <f>'БазНорм (обр)'!A76</f>
        <v>Скамья для раздевалок одностопрнняя</v>
      </c>
      <c r="B88" s="27" t="str">
        <f>'БазНорм (обр)'!B76</f>
        <v>шт.</v>
      </c>
      <c r="C88" s="52">
        <f>'БазНорм (обр)'!C76</f>
        <v>0</v>
      </c>
      <c r="D88" s="181"/>
    </row>
    <row r="89" spans="1:4" ht="12.75" customHeight="1" outlineLevel="2" x14ac:dyDescent="0.3">
      <c r="A89" s="26" t="str">
        <f>'БазНорм (обр)'!A77</f>
        <v>Грамоты</v>
      </c>
      <c r="B89" s="27" t="str">
        <f>'БазНорм (обр)'!B77</f>
        <v>шт.</v>
      </c>
      <c r="C89" s="52">
        <f>'БазНорм (обр)'!C77</f>
        <v>1.3323730644580483</v>
      </c>
      <c r="D89" s="181"/>
    </row>
    <row r="90" spans="1:4" ht="38.25" customHeight="1" outlineLevel="2" x14ac:dyDescent="0.3">
      <c r="A90" s="26" t="str">
        <f>'БазНорм (обр)'!A78</f>
        <v>Медали "За особые успехи в учении", аттестаты, приложения к аттестату</v>
      </c>
      <c r="B90" s="27" t="str">
        <f>'БазНорм (обр)'!B78</f>
        <v>шт.</v>
      </c>
      <c r="C90" s="52">
        <f>'БазНорм (обр)'!C78</f>
        <v>0.23646621053895089</v>
      </c>
      <c r="D90" s="181"/>
    </row>
    <row r="91" spans="1:4" ht="12.75" customHeight="1" outlineLevel="1" x14ac:dyDescent="0.3">
      <c r="A91" s="183" t="s">
        <v>82</v>
      </c>
      <c r="B91" s="183"/>
      <c r="C91" s="183"/>
      <c r="D91" s="183"/>
    </row>
    <row r="92" spans="1:4" s="60" customFormat="1" ht="12.75" customHeight="1" outlineLevel="2" x14ac:dyDescent="0.3">
      <c r="A92" s="33" t="s">
        <v>475</v>
      </c>
      <c r="B92" s="34" t="s">
        <v>3</v>
      </c>
      <c r="C92" s="59" t="s">
        <v>3</v>
      </c>
      <c r="D92" s="180" t="s">
        <v>135</v>
      </c>
    </row>
    <row r="93" spans="1:4" ht="12.75" customHeight="1" outlineLevel="3" x14ac:dyDescent="0.3">
      <c r="A93" s="26" t="str">
        <f>'БазНорм (обр)'!A81</f>
        <v>Вода питьевая</v>
      </c>
      <c r="B93" s="27" t="str">
        <f>'БазНорм (обр)'!B81</f>
        <v>л.</v>
      </c>
      <c r="C93" s="52">
        <f>'БазНорм (обр)'!C81</f>
        <v>10.568766513697677</v>
      </c>
      <c r="D93" s="181"/>
    </row>
    <row r="94" spans="1:4" ht="25.5" customHeight="1" outlineLevel="3" x14ac:dyDescent="0.3">
      <c r="A94" s="26" t="str">
        <f>'БазНорм (обр)'!A82</f>
        <v>Одноразовые стаканы</v>
      </c>
      <c r="B94" s="27" t="str">
        <f>'БазНорм (обр)'!B82</f>
        <v>шт.</v>
      </c>
      <c r="C94" s="52">
        <f>'БазНорм (обр)'!C82</f>
        <v>52.843832568488388</v>
      </c>
      <c r="D94" s="181"/>
    </row>
    <row r="95" spans="1:4" s="60" customFormat="1" ht="25.5" customHeight="1" outlineLevel="2" x14ac:dyDescent="0.3">
      <c r="A95" s="33" t="s">
        <v>474</v>
      </c>
      <c r="B95" s="34" t="s">
        <v>3</v>
      </c>
      <c r="C95" s="59" t="s">
        <v>3</v>
      </c>
      <c r="D95" s="181"/>
    </row>
    <row r="96" spans="1:4" ht="12.75" customHeight="1" outlineLevel="3" x14ac:dyDescent="0.3">
      <c r="A96" s="26" t="str">
        <f>'БазНорм (обр)'!A84</f>
        <v>Антивирус</v>
      </c>
      <c r="B96" s="27" t="str">
        <f>'БазНорм (обр)'!B84</f>
        <v>усл. ед.</v>
      </c>
      <c r="C96" s="52">
        <f>'БазНорм (обр)'!C84</f>
        <v>0.13906271728549574</v>
      </c>
      <c r="D96" s="181"/>
    </row>
    <row r="97" spans="1:4" ht="12.75" customHeight="1" outlineLevel="3" x14ac:dyDescent="0.3">
      <c r="A97" s="26" t="str">
        <f>'БазНорм (обр)'!A85</f>
        <v>WebFiltre UserGate</v>
      </c>
      <c r="B97" s="27" t="str">
        <f>'БазНорм (обр)'!B85</f>
        <v>усл. ед.</v>
      </c>
      <c r="C97" s="52">
        <f>'БазНорм (обр)'!C85</f>
        <v>0.13906271728549574</v>
      </c>
      <c r="D97" s="181"/>
    </row>
    <row r="98" spans="1:4" ht="25.5" customHeight="1" outlineLevel="3" x14ac:dyDescent="0.3">
      <c r="A98" s="26" t="str">
        <f>'БазНорм (обр)'!A86</f>
        <v>Сопровождение ПО Vipnet Client</v>
      </c>
      <c r="B98" s="27" t="str">
        <f>'БазНорм (обр)'!B86</f>
        <v>усл. ед.</v>
      </c>
      <c r="C98" s="52">
        <f>'БазНорм (обр)'!C86</f>
        <v>1.3906271728549575E-3</v>
      </c>
      <c r="D98" s="181"/>
    </row>
    <row r="99" spans="1:4" s="60" customFormat="1" ht="25.5" customHeight="1" outlineLevel="2" x14ac:dyDescent="0.3">
      <c r="A99" s="33" t="s">
        <v>65</v>
      </c>
      <c r="B99" s="34" t="s">
        <v>3</v>
      </c>
      <c r="C99" s="59" t="s">
        <v>3</v>
      </c>
      <c r="D99" s="181"/>
    </row>
    <row r="100" spans="1:4" ht="25.5" customHeight="1" outlineLevel="3" x14ac:dyDescent="0.3">
      <c r="A100" s="26" t="str">
        <f>'БазНорм (обр)'!A88</f>
        <v>Медицинский осмотр</v>
      </c>
      <c r="B100" s="27" t="str">
        <f>'БазНорм (обр)'!B88</f>
        <v>чел.</v>
      </c>
      <c r="C100" s="52">
        <f>'БазНорм (обр)'!C88</f>
        <v>3.0593797802809065E-2</v>
      </c>
      <c r="D100" s="181"/>
    </row>
    <row r="101" spans="1:4" ht="12.75" customHeight="1" outlineLevel="3" x14ac:dyDescent="0.3">
      <c r="A101" s="26" t="str">
        <f>'БазНорм (обр)'!A89</f>
        <v>Гигиеническая аттестация</v>
      </c>
      <c r="B101" s="27" t="str">
        <f>'БазНорм (обр)'!B89</f>
        <v>чел.</v>
      </c>
      <c r="C101" s="52">
        <f>'БазНорм (обр)'!C89</f>
        <v>0.1015157836184119</v>
      </c>
      <c r="D101" s="181"/>
    </row>
    <row r="102" spans="1:4" ht="12.75" customHeight="1" outlineLevel="3" x14ac:dyDescent="0.3">
      <c r="A102" s="26" t="str">
        <f>'БазНорм (обр)'!A90</f>
        <v>Оценка условий труда</v>
      </c>
      <c r="B102" s="27" t="str">
        <f>'БазНорм (обр)'!B90</f>
        <v>усл. ед.</v>
      </c>
      <c r="C102" s="52">
        <f>'БазНорм (обр)'!C90</f>
        <v>7.7412513255567333E-2</v>
      </c>
      <c r="D102" s="181"/>
    </row>
    <row r="103" spans="1:4" ht="12.75" customHeight="1" outlineLevel="3" x14ac:dyDescent="0.3">
      <c r="A103" s="26" t="str">
        <f>'БазНорм (обр)'!A91</f>
        <v>Аттестация рабочих мест</v>
      </c>
      <c r="B103" s="27" t="str">
        <f>'БазНорм (обр)'!B91</f>
        <v>усл. ед.</v>
      </c>
      <c r="C103" s="52">
        <f>'БазНорм (обр)'!C91</f>
        <v>7.4231177094379638E-2</v>
      </c>
      <c r="D103" s="181"/>
    </row>
    <row r="104" spans="1:4" ht="12.75" customHeight="1" outlineLevel="3" x14ac:dyDescent="0.3">
      <c r="A104" s="26" t="str">
        <f>'БазНорм (обр)'!A92</f>
        <v>Заправка картриджей</v>
      </c>
      <c r="B104" s="27" t="str">
        <f>'БазНорм (обр)'!B92</f>
        <v>усл. ед.</v>
      </c>
      <c r="C104" s="52">
        <f>'БазНорм (обр)'!C92</f>
        <v>0.20859407592824364</v>
      </c>
      <c r="D104" s="181"/>
    </row>
    <row r="105" spans="1:4" ht="12.75" customHeight="1" outlineLevel="3" x14ac:dyDescent="0.3">
      <c r="A105" s="26" t="str">
        <f>'БазНорм (обр)'!A93</f>
        <v>Приобритение картриджей</v>
      </c>
      <c r="B105" s="27" t="str">
        <f>'БазНорм (обр)'!B93</f>
        <v>шт.</v>
      </c>
      <c r="C105" s="52">
        <f>'БазНорм (обр)'!C93</f>
        <v>2.7812543457099152E-2</v>
      </c>
      <c r="D105" s="181"/>
    </row>
    <row r="106" spans="1:4" ht="12.75" customHeight="1" outlineLevel="3" x14ac:dyDescent="0.3">
      <c r="A106" s="26" t="str">
        <f>'БазНорм (обр)'!A94</f>
        <v>Хостинг сайта</v>
      </c>
      <c r="B106" s="27">
        <f>'БазНорм (обр)'!B94</f>
        <v>0</v>
      </c>
      <c r="C106" s="52">
        <f>'БазНорм (обр)'!C94</f>
        <v>1.3906271728549575E-3</v>
      </c>
      <c r="D106" s="181"/>
    </row>
    <row r="107" spans="1:4" s="60" customFormat="1" ht="12.75" customHeight="1" outlineLevel="3" x14ac:dyDescent="0.3">
      <c r="A107" s="33" t="s">
        <v>66</v>
      </c>
      <c r="B107" s="34" t="s">
        <v>3</v>
      </c>
      <c r="C107" s="51" t="s">
        <v>3</v>
      </c>
      <c r="D107" s="181"/>
    </row>
    <row r="108" spans="1:4" ht="12.75" customHeight="1" outlineLevel="3" x14ac:dyDescent="0.3">
      <c r="A108" s="26" t="str">
        <f>'БазНорм (обр)'!A96</f>
        <v>Бумага А4</v>
      </c>
      <c r="B108" s="27" t="str">
        <f>'БазНорм (обр)'!B96</f>
        <v>пач.</v>
      </c>
      <c r="C108" s="52">
        <f>'БазНорм (обр)'!C96</f>
        <v>0.29692470837751855</v>
      </c>
      <c r="D108" s="181"/>
    </row>
    <row r="109" spans="1:4" ht="12.75" customHeight="1" outlineLevel="3" x14ac:dyDescent="0.3">
      <c r="A109" s="26" t="str">
        <f>'БазНорм (обр)'!A97</f>
        <v>Блок для записей</v>
      </c>
      <c r="B109" s="27" t="str">
        <f>'БазНорм (обр)'!B97</f>
        <v>шт.</v>
      </c>
      <c r="C109" s="52">
        <f>'БазНорм (обр)'!C97</f>
        <v>6.0016804705317485E-2</v>
      </c>
      <c r="D109" s="181"/>
    </row>
    <row r="110" spans="1:4" ht="12.75" customHeight="1" outlineLevel="3" x14ac:dyDescent="0.3">
      <c r="A110" s="26" t="str">
        <f>'БазНорм (обр)'!A98</f>
        <v>Блок липкий</v>
      </c>
      <c r="B110" s="27" t="str">
        <f>'БазНорм (обр)'!B98</f>
        <v>шт.</v>
      </c>
      <c r="C110" s="52">
        <f>'БазНорм (обр)'!C98</f>
        <v>6.0016804705317485E-2</v>
      </c>
      <c r="D110" s="181"/>
    </row>
    <row r="111" spans="1:4" ht="12.75" customHeight="1" outlineLevel="3" x14ac:dyDescent="0.3">
      <c r="A111" s="26" t="str">
        <f>'БазНорм (обр)'!A99</f>
        <v>Мел школьный</v>
      </c>
      <c r="B111" s="27" t="str">
        <f>'БазНорм (обр)'!B99</f>
        <v>упак.</v>
      </c>
      <c r="C111" s="52">
        <f>'БазНорм (обр)'!C99</f>
        <v>2.4006721882126995E-2</v>
      </c>
      <c r="D111" s="181"/>
    </row>
    <row r="112" spans="1:4" ht="12.75" customHeight="1" outlineLevel="3" x14ac:dyDescent="0.3">
      <c r="A112" s="26" t="str">
        <f>'БазНорм (обр)'!A100</f>
        <v>Ластик (резинка)</v>
      </c>
      <c r="B112" s="27" t="str">
        <f>'БазНорм (обр)'!B100</f>
        <v>шт.</v>
      </c>
      <c r="C112" s="52">
        <f>'БазНорм (обр)'!C100</f>
        <v>3.0008402352658742E-2</v>
      </c>
      <c r="D112" s="181"/>
    </row>
    <row r="113" spans="1:4" ht="12.75" customHeight="1" outlineLevel="3" x14ac:dyDescent="0.3">
      <c r="A113" s="26" t="str">
        <f>'БазНорм (обр)'!A101</f>
        <v>Карандаш ч/гр</v>
      </c>
      <c r="B113" s="27" t="str">
        <f>'БазНорм (обр)'!B101</f>
        <v>шт.</v>
      </c>
      <c r="C113" s="52">
        <f>'БазНорм (обр)'!C101</f>
        <v>8.402352658744448E-3</v>
      </c>
      <c r="D113" s="181"/>
    </row>
    <row r="114" spans="1:4" ht="12.75" customHeight="1" outlineLevel="3" x14ac:dyDescent="0.3">
      <c r="A114" s="26" t="str">
        <f>'БазНорм (обр)'!A102</f>
        <v>Ручка гелевая черная</v>
      </c>
      <c r="B114" s="27" t="str">
        <f>'БазНорм (обр)'!B102</f>
        <v>шт.</v>
      </c>
      <c r="C114" s="52">
        <f>'БазНорм (обр)'!C102</f>
        <v>0.14404033129276198</v>
      </c>
      <c r="D114" s="181"/>
    </row>
    <row r="115" spans="1:4" ht="12.75" customHeight="1" outlineLevel="3" x14ac:dyDescent="0.3">
      <c r="A115" s="26" t="str">
        <f>'БазНорм (обр)'!A103</f>
        <v>Ручка шариковая</v>
      </c>
      <c r="B115" s="27" t="str">
        <f>'БазНорм (обр)'!B103</f>
        <v>шт.</v>
      </c>
      <c r="C115" s="52">
        <f>'БазНорм (обр)'!C103</f>
        <v>6.0016804705317485E-2</v>
      </c>
      <c r="D115" s="181"/>
    </row>
    <row r="116" spans="1:4" ht="12.75" customHeight="1" outlineLevel="3" x14ac:dyDescent="0.3">
      <c r="A116" s="26" t="str">
        <f>'БазНорм (обр)'!A104</f>
        <v>Текстовый маркер</v>
      </c>
      <c r="B116" s="27" t="str">
        <f>'БазНорм (обр)'!B104</f>
        <v>шт.</v>
      </c>
      <c r="C116" s="52">
        <f>'БазНорм (обр)'!C104</f>
        <v>5.4015124234785737E-2</v>
      </c>
      <c r="D116" s="181"/>
    </row>
    <row r="117" spans="1:4" ht="12.75" customHeight="1" outlineLevel="3" x14ac:dyDescent="0.3">
      <c r="A117" s="26" t="str">
        <f>'БазНорм (обр)'!A105</f>
        <v>Маркеры для доски</v>
      </c>
      <c r="B117" s="27" t="str">
        <f>'БазНорм (обр)'!B105</f>
        <v>шт.</v>
      </c>
      <c r="C117" s="52">
        <f>'БазНорм (обр)'!C105</f>
        <v>0.27812543457099148</v>
      </c>
      <c r="D117" s="181"/>
    </row>
    <row r="118" spans="1:4" ht="12.75" customHeight="1" outlineLevel="3" x14ac:dyDescent="0.3">
      <c r="A118" s="26" t="str">
        <f>'БазНорм (обр)'!A106</f>
        <v xml:space="preserve">Корректор </v>
      </c>
      <c r="B118" s="27" t="str">
        <f>'БазНорм (обр)'!B106</f>
        <v>шт.</v>
      </c>
      <c r="C118" s="52">
        <f>'БазНорм (обр)'!C106</f>
        <v>2.225003476567932E-2</v>
      </c>
      <c r="D118" s="181"/>
    </row>
    <row r="119" spans="1:4" ht="12.75" customHeight="1" outlineLevel="3" x14ac:dyDescent="0.3">
      <c r="A119" s="26" t="str">
        <f>'БазНорм (обр)'!A107</f>
        <v>Кнопки</v>
      </c>
      <c r="B119" s="27" t="str">
        <f>'БазНорм (обр)'!B107</f>
        <v>упак.</v>
      </c>
      <c r="C119" s="52">
        <f>'БазНорм (обр)'!C107</f>
        <v>1.3906271728549576E-2</v>
      </c>
      <c r="D119" s="181"/>
    </row>
    <row r="120" spans="1:4" ht="12.75" customHeight="1" outlineLevel="3" x14ac:dyDescent="0.3">
      <c r="A120" s="26" t="str">
        <f>'БазНорм (обр)'!A108</f>
        <v>Разделители листов, картонные</v>
      </c>
      <c r="B120" s="27" t="str">
        <f>'БазНорм (обр)'!B108</f>
        <v>упак.</v>
      </c>
      <c r="C120" s="52">
        <f>'БазНорм (обр)'!C108</f>
        <v>6.0016804705317485E-2</v>
      </c>
      <c r="D120" s="181"/>
    </row>
    <row r="121" spans="1:4" ht="12.75" customHeight="1" outlineLevel="3" x14ac:dyDescent="0.3">
      <c r="A121" s="26" t="str">
        <f>'БазНорм (обр)'!A109</f>
        <v>Скоросшиватель пластик 150мкм</v>
      </c>
      <c r="B121" s="27" t="str">
        <f>'БазНорм (обр)'!B109</f>
        <v>шт.</v>
      </c>
      <c r="C121" s="52">
        <f>'БазНорм (обр)'!C109</f>
        <v>0.13906271728549574</v>
      </c>
      <c r="D121" s="181"/>
    </row>
    <row r="122" spans="1:4" ht="12.75" customHeight="1" outlineLevel="3" x14ac:dyDescent="0.3">
      <c r="A122" s="26" t="str">
        <f>'БазНорм (обр)'!A110</f>
        <v>Файл А4 прозрачный</v>
      </c>
      <c r="B122" s="27" t="str">
        <f>'БазНорм (обр)'!B110</f>
        <v>шт.</v>
      </c>
      <c r="C122" s="52">
        <f>'БазНорм (обр)'!C110</f>
        <v>3.5624476110645431</v>
      </c>
      <c r="D122" s="181"/>
    </row>
    <row r="123" spans="1:4" ht="12.75" customHeight="1" outlineLevel="3" x14ac:dyDescent="0.3">
      <c r="A123" s="26" t="str">
        <f>'БазНорм (обр)'!A111</f>
        <v xml:space="preserve">Папки файлы </v>
      </c>
      <c r="B123" s="27" t="str">
        <f>'БазНорм (обр)'!B111</f>
        <v>упак.</v>
      </c>
      <c r="C123" s="52">
        <f>'БазНорм (обр)'!C111</f>
        <v>3.6010082823190494E-2</v>
      </c>
      <c r="D123" s="181"/>
    </row>
    <row r="124" spans="1:4" ht="12.75" customHeight="1" outlineLevel="3" x14ac:dyDescent="0.3">
      <c r="A124" s="26" t="str">
        <f>'БазНорм (обр)'!A112</f>
        <v xml:space="preserve">Клей-карандаш </v>
      </c>
      <c r="B124" s="27" t="str">
        <f>'БазНорм (обр)'!B112</f>
        <v>шт.</v>
      </c>
      <c r="C124" s="52">
        <f>'БазНорм (обр)'!C112</f>
        <v>2.7812543457099152E-2</v>
      </c>
      <c r="D124" s="181"/>
    </row>
    <row r="125" spans="1:4" ht="12.75" customHeight="1" outlineLevel="3" x14ac:dyDescent="0.3">
      <c r="A125" s="26" t="str">
        <f>'БазНорм (обр)'!A113</f>
        <v>Клей ПВА</v>
      </c>
      <c r="B125" s="27" t="str">
        <f>'БазНорм (обр)'!B113</f>
        <v>шт.</v>
      </c>
      <c r="C125" s="52">
        <f>'БазНорм (обр)'!C113</f>
        <v>1.3906271728549576E-2</v>
      </c>
      <c r="D125" s="181"/>
    </row>
    <row r="126" spans="1:4" ht="12.75" customHeight="1" outlineLevel="3" x14ac:dyDescent="0.3">
      <c r="A126" s="26" t="str">
        <f>'БазНорм (обр)'!A114</f>
        <v>Скотч 19*33</v>
      </c>
      <c r="B126" s="27" t="str">
        <f>'БазНорм (обр)'!B114</f>
        <v>шт.</v>
      </c>
      <c r="C126" s="52">
        <f>'БазНорм (обр)'!C114</f>
        <v>2.7242246437552388E-2</v>
      </c>
      <c r="D126" s="181"/>
    </row>
    <row r="127" spans="1:4" ht="12.75" customHeight="1" outlineLevel="3" x14ac:dyDescent="0.3">
      <c r="A127" s="26" t="str">
        <f>'БазНорм (обр)'!A115</f>
        <v>Скотч 50*66</v>
      </c>
      <c r="B127" s="27" t="str">
        <f>'БазНорм (обр)'!B115</f>
        <v>шт.</v>
      </c>
      <c r="C127" s="52">
        <f>'БазНорм (обр)'!C115</f>
        <v>2.9337803855825649E-2</v>
      </c>
      <c r="D127" s="181"/>
    </row>
    <row r="128" spans="1:4" ht="12.75" customHeight="1" outlineLevel="3" x14ac:dyDescent="0.3">
      <c r="A128" s="26" t="str">
        <f>'БазНорм (обр)'!A116</f>
        <v>Скотч 48*100</v>
      </c>
      <c r="B128" s="27" t="str">
        <f>'БазНорм (обр)'!B116</f>
        <v>шт.</v>
      </c>
      <c r="C128" s="52">
        <f>'БазНорм (обр)'!C116</f>
        <v>0</v>
      </c>
      <c r="D128" s="181"/>
    </row>
    <row r="129" spans="1:4" ht="12.75" customHeight="1" outlineLevel="3" x14ac:dyDescent="0.3">
      <c r="A129" s="26" t="str">
        <f>'БазНорм (обр)'!A117</f>
        <v>Клейкая лента 48*100</v>
      </c>
      <c r="B129" s="27" t="str">
        <f>'БазНорм (обр)'!B117</f>
        <v>шт.</v>
      </c>
      <c r="C129" s="52">
        <f>'БазНорм (обр)'!C117</f>
        <v>2.1606049693914296E-2</v>
      </c>
      <c r="D129" s="181"/>
    </row>
    <row r="130" spans="1:4" ht="12.75" customHeight="1" outlineLevel="3" x14ac:dyDescent="0.3">
      <c r="A130" s="26" t="str">
        <f>'БазНорм (обр)'!A118</f>
        <v>Клейкая лента 48*66</v>
      </c>
      <c r="B130" s="27" t="str">
        <f>'БазНорм (обр)'!B118</f>
        <v>шт.</v>
      </c>
      <c r="C130" s="52">
        <f>'БазНорм (обр)'!C118</f>
        <v>0.17382839660686969</v>
      </c>
      <c r="D130" s="181"/>
    </row>
    <row r="131" spans="1:4" ht="12.75" customHeight="1" outlineLevel="3" x14ac:dyDescent="0.3">
      <c r="A131" s="26" t="str">
        <f>'БазНорм (обр)'!A119</f>
        <v>Регистратор 50 мм</v>
      </c>
      <c r="B131" s="27" t="str">
        <f>'БазНорм (обр)'!B119</f>
        <v>шт.</v>
      </c>
      <c r="C131" s="52">
        <f>'БазНорм (обр)'!C119</f>
        <v>3.143336127409891E-2</v>
      </c>
      <c r="D131" s="181"/>
    </row>
    <row r="132" spans="1:4" ht="12.75" customHeight="1" outlineLevel="3" x14ac:dyDescent="0.3">
      <c r="A132" s="26" t="str">
        <f>'БазНорм (обр)'!A120</f>
        <v>Накопитель документов Лоток-коробка 150мм</v>
      </c>
      <c r="B132" s="27" t="str">
        <f>'БазНорм (обр)'!B120</f>
        <v>шт.</v>
      </c>
      <c r="C132" s="52">
        <f>'БазНорм (обр)'!C120</f>
        <v>1.2003360941063497E-2</v>
      </c>
      <c r="D132" s="181"/>
    </row>
    <row r="133" spans="1:4" ht="12.75" customHeight="1" outlineLevel="3" x14ac:dyDescent="0.3">
      <c r="A133" s="26" t="str">
        <f>'БазНорм (обр)'!A121</f>
        <v>Накопитель документов Лоток-коробка 75мм</v>
      </c>
      <c r="B133" s="27" t="str">
        <f>'БазНорм (обр)'!B121</f>
        <v>шт.</v>
      </c>
      <c r="C133" s="52">
        <f>'БазНорм (обр)'!C121</f>
        <v>2.4006721882126995E-2</v>
      </c>
      <c r="D133" s="181"/>
    </row>
    <row r="134" spans="1:4" ht="12.75" customHeight="1" outlineLevel="3" x14ac:dyDescent="0.3">
      <c r="A134" s="26" t="str">
        <f>'БазНорм (обр)'!A122</f>
        <v>Тетрадь 48л.</v>
      </c>
      <c r="B134" s="27" t="str">
        <f>'БазНорм (обр)'!B122</f>
        <v>шт.</v>
      </c>
      <c r="C134" s="52">
        <f>'БазНорм (обр)'!C122</f>
        <v>3.6010082823190494E-3</v>
      </c>
      <c r="D134" s="181"/>
    </row>
    <row r="135" spans="1:4" ht="12.75" customHeight="1" outlineLevel="3" x14ac:dyDescent="0.3">
      <c r="A135" s="26" t="str">
        <f>'БазНорм (обр)'!A123</f>
        <v>Скрепки 28 мм</v>
      </c>
      <c r="B135" s="27" t="str">
        <f>'БазНорм (обр)'!B123</f>
        <v>упак.</v>
      </c>
      <c r="C135" s="52">
        <f>'БазНорм (обр)'!C123</f>
        <v>2.7812543457099152E-2</v>
      </c>
      <c r="D135" s="181"/>
    </row>
    <row r="136" spans="1:4" ht="12.75" customHeight="1" outlineLevel="3" x14ac:dyDescent="0.3">
      <c r="A136" s="26" t="str">
        <f>'БазНорм (обр)'!A124</f>
        <v>Скобы № 10</v>
      </c>
      <c r="B136" s="27" t="str">
        <f>'БазНорм (обр)'!B124</f>
        <v>упак.</v>
      </c>
      <c r="C136" s="52">
        <f>'БазНорм (обр)'!C124</f>
        <v>4.8013443764253989E-2</v>
      </c>
      <c r="D136" s="181"/>
    </row>
    <row r="137" spans="1:4" ht="12.75" customHeight="1" outlineLevel="3" x14ac:dyDescent="0.3">
      <c r="A137" s="26" t="str">
        <f>'БазНорм (обр)'!A125</f>
        <v>Скобы № 24</v>
      </c>
      <c r="B137" s="27" t="str">
        <f>'БазНорм (обр)'!B125</f>
        <v>упак.</v>
      </c>
      <c r="C137" s="52">
        <f>'БазНорм (обр)'!C125</f>
        <v>2.4006721882126995E-2</v>
      </c>
      <c r="D137" s="181"/>
    </row>
    <row r="138" spans="1:4" ht="12.75" customHeight="1" outlineLevel="3" x14ac:dyDescent="0.3">
      <c r="A138" s="26" t="str">
        <f>'БазНорм (обр)'!A126</f>
        <v>Папка с файлами</v>
      </c>
      <c r="B138" s="27" t="str">
        <f>'БазНорм (обр)'!B126</f>
        <v>шт.</v>
      </c>
      <c r="C138" s="52">
        <f>'БазНорм (обр)'!C126</f>
        <v>6.953135864274787E-2</v>
      </c>
      <c r="D138" s="181"/>
    </row>
    <row r="139" spans="1:4" ht="12.75" customHeight="1" outlineLevel="3" x14ac:dyDescent="0.3">
      <c r="A139" s="26" t="str">
        <f>'БазНорм (обр)'!A127</f>
        <v>Папка - регистратор</v>
      </c>
      <c r="B139" s="27" t="str">
        <f>'БазНорм (обр)'!B127</f>
        <v>шт.</v>
      </c>
      <c r="C139" s="52">
        <f>'БазНорм (обр)'!C127</f>
        <v>4.1718815185648725E-2</v>
      </c>
      <c r="D139" s="181"/>
    </row>
    <row r="140" spans="1:4" ht="12.75" customHeight="1" outlineLevel="3" x14ac:dyDescent="0.3">
      <c r="A140" s="26" t="str">
        <f>'БазНорм (обр)'!A128</f>
        <v>Папка - уголок</v>
      </c>
      <c r="B140" s="27" t="str">
        <f>'БазНорм (обр)'!B128</f>
        <v>шт.</v>
      </c>
      <c r="C140" s="52">
        <f>'БазНорм (обр)'!C128</f>
        <v>6.953135864274787E-2</v>
      </c>
      <c r="D140" s="181"/>
    </row>
    <row r="141" spans="1:4" ht="12.75" customHeight="1" outlineLevel="3" x14ac:dyDescent="0.3">
      <c r="A141" s="26" t="str">
        <f>'БазНорм (обр)'!A129</f>
        <v>Папка с завязками карт</v>
      </c>
      <c r="B141" s="27" t="str">
        <f>'БазНорм (обр)'!B129</f>
        <v>упак.</v>
      </c>
      <c r="C141" s="52">
        <f>'БазНорм (обр)'!C129</f>
        <v>0.13906271728549574</v>
      </c>
      <c r="D141" s="181"/>
    </row>
    <row r="142" spans="1:4" ht="12.75" customHeight="1" outlineLevel="3" x14ac:dyDescent="0.3">
      <c r="A142" s="26" t="str">
        <f>'БазНорм (обр)'!A130</f>
        <v>Папка с мет. приж. 0,6 мм</v>
      </c>
      <c r="B142" s="27" t="str">
        <f>'БазНорм (обр)'!B130</f>
        <v>шт.</v>
      </c>
      <c r="C142" s="52">
        <f>'БазНорм (обр)'!C130</f>
        <v>2.4006721882126995E-2</v>
      </c>
      <c r="D142" s="181"/>
    </row>
    <row r="143" spans="1:4" ht="12.75" customHeight="1" outlineLevel="3" x14ac:dyDescent="0.3">
      <c r="A143" s="26" t="str">
        <f>'БазНорм (обр)'!A131</f>
        <v>Папка с мет. приж 0,7мм</v>
      </c>
      <c r="B143" s="27" t="str">
        <f>'БазНорм (обр)'!B131</f>
        <v>шт.</v>
      </c>
      <c r="C143" s="52">
        <f>'БазНорм (обр)'!C131</f>
        <v>1.2003360941063497E-2</v>
      </c>
      <c r="D143" s="181"/>
    </row>
    <row r="144" spans="1:4" ht="12.75" customHeight="1" outlineLevel="3" x14ac:dyDescent="0.3">
      <c r="A144" s="26" t="str">
        <f>'БазНорм (обр)'!A132</f>
        <v>Нож канцелярский</v>
      </c>
      <c r="B144" s="27" t="str">
        <f>'БазНорм (обр)'!B132</f>
        <v>шт.</v>
      </c>
      <c r="C144" s="52">
        <f>'БазНорм (обр)'!C132</f>
        <v>1.3906271728549576E-2</v>
      </c>
      <c r="D144" s="181"/>
    </row>
    <row r="145" spans="1:4" ht="12.75" customHeight="1" outlineLevel="3" x14ac:dyDescent="0.3">
      <c r="A145" s="26" t="str">
        <f>'БазНорм (обр)'!A133</f>
        <v>Ножницы канц.</v>
      </c>
      <c r="B145" s="27" t="str">
        <f>'БазНорм (обр)'!B133</f>
        <v>шт.</v>
      </c>
      <c r="C145" s="52">
        <f>'БазНорм (обр)'!C133</f>
        <v>6.9531358642747881E-3</v>
      </c>
      <c r="D145" s="181"/>
    </row>
    <row r="146" spans="1:4" ht="12.75" customHeight="1" outlineLevel="3" x14ac:dyDescent="0.3">
      <c r="A146" s="26" t="str">
        <f>'БазНорм (обр)'!A134</f>
        <v>Степлер</v>
      </c>
      <c r="B146" s="27" t="str">
        <f>'БазНорм (обр)'!B134</f>
        <v>шт.</v>
      </c>
      <c r="C146" s="52">
        <f>'БазНорм (обр)'!C134</f>
        <v>6.9531358642747881E-3</v>
      </c>
      <c r="D146" s="181"/>
    </row>
    <row r="147" spans="1:4" s="60" customFormat="1" ht="12.75" customHeight="1" outlineLevel="2" x14ac:dyDescent="0.3">
      <c r="A147" s="33" t="s">
        <v>67</v>
      </c>
      <c r="B147" s="34" t="s">
        <v>3</v>
      </c>
      <c r="C147" s="51" t="s">
        <v>3</v>
      </c>
      <c r="D147" s="181"/>
    </row>
    <row r="148" spans="1:4" ht="12.75" customHeight="1" outlineLevel="3" x14ac:dyDescent="0.3">
      <c r="A148" s="26" t="str">
        <f>'БазНорм (обр)'!A136</f>
        <v>Йод р-р 5%-10 мл.</v>
      </c>
      <c r="B148" s="27" t="str">
        <f>'БазНорм (обр)'!B136</f>
        <v>шт.</v>
      </c>
      <c r="C148" s="52">
        <f>'БазНорм (обр)'!C136</f>
        <v>2.4006721882126995E-2</v>
      </c>
      <c r="D148" s="181"/>
    </row>
    <row r="149" spans="1:4" ht="12.75" customHeight="1" outlineLevel="3" x14ac:dyDescent="0.3">
      <c r="A149" s="26" t="str">
        <f>'БазНорм (обр)'!A137</f>
        <v>Перекись водорода 3% 40 мл.</v>
      </c>
      <c r="B149" s="27" t="str">
        <f>'БазНорм (обр)'!B137</f>
        <v>шт.</v>
      </c>
      <c r="C149" s="52">
        <f>'БазНорм (обр)'!C137</f>
        <v>3.6010082823190494E-2</v>
      </c>
      <c r="D149" s="181"/>
    </row>
    <row r="150" spans="1:4" ht="12.75" customHeight="1" outlineLevel="3" x14ac:dyDescent="0.3">
      <c r="A150" s="26" t="str">
        <f>'БазНорм (обр)'!A138</f>
        <v>Аммиака р-р-100 мл</v>
      </c>
      <c r="B150" s="27" t="str">
        <f>'БазНорм (обр)'!B138</f>
        <v>шт.</v>
      </c>
      <c r="C150" s="52">
        <f>'БазНорм (обр)'!C138</f>
        <v>3.6010082823190494E-3</v>
      </c>
      <c r="D150" s="181"/>
    </row>
    <row r="151" spans="1:4" ht="12.75" customHeight="1" outlineLevel="3" x14ac:dyDescent="0.3">
      <c r="A151" s="26" t="str">
        <f>'БазНорм (обр)'!A139</f>
        <v>Уголь активированный 250мг №10</v>
      </c>
      <c r="B151" s="27" t="str">
        <f>'БазНорм (обр)'!B139</f>
        <v>шт.</v>
      </c>
      <c r="C151" s="52">
        <f>'БазНорм (обр)'!C139</f>
        <v>1.2003360941063497E-2</v>
      </c>
      <c r="D151" s="181"/>
    </row>
    <row r="152" spans="1:4" ht="12.75" customHeight="1" outlineLevel="3" x14ac:dyDescent="0.3">
      <c r="A152" s="26" t="str">
        <f>'БазНорм (обр)'!A140</f>
        <v>Бинт стерильный 5*10 см</v>
      </c>
      <c r="B152" s="27" t="str">
        <f>'БазНорм (обр)'!B140</f>
        <v>шт.</v>
      </c>
      <c r="C152" s="52">
        <f>'БазНорм (обр)'!C140</f>
        <v>4.2011763293722242E-2</v>
      </c>
      <c r="D152" s="181"/>
    </row>
    <row r="153" spans="1:4" ht="12.75" customHeight="1" outlineLevel="3" x14ac:dyDescent="0.3">
      <c r="A153" s="26" t="str">
        <f>'БазНорм (обр)'!A141</f>
        <v>Бинт стерильный 7-14 см</v>
      </c>
      <c r="B153" s="27" t="str">
        <f>'БазНорм (обр)'!B141</f>
        <v>шт.</v>
      </c>
      <c r="C153" s="52">
        <f>'БазНорм (обр)'!C141</f>
        <v>4.2011763293722242E-2</v>
      </c>
      <c r="D153" s="181"/>
    </row>
    <row r="154" spans="1:4" ht="12.75" customHeight="1" outlineLevel="3" x14ac:dyDescent="0.3">
      <c r="A154" s="26" t="str">
        <f>'БазНорм (обр)'!A142</f>
        <v>Вата хирург. стерильн. 250г</v>
      </c>
      <c r="B154" s="27" t="str">
        <f>'БазНорм (обр)'!B142</f>
        <v>шт.</v>
      </c>
      <c r="C154" s="52">
        <f>'БазНорм (обр)'!C142</f>
        <v>2.4006721882126993E-3</v>
      </c>
      <c r="D154" s="181"/>
    </row>
    <row r="155" spans="1:4" ht="12.75" customHeight="1" outlineLevel="3" x14ac:dyDescent="0.3">
      <c r="A155" s="26" t="str">
        <f>'БазНорм (обр)'!A143</f>
        <v>Салфетки стрерильные 16*14 №20</v>
      </c>
      <c r="B155" s="27" t="str">
        <f>'БазНорм (обр)'!B143</f>
        <v>шт.</v>
      </c>
      <c r="C155" s="52">
        <f>'БазНорм (обр)'!C143</f>
        <v>2.4006721882126995E-2</v>
      </c>
      <c r="D155" s="181"/>
    </row>
    <row r="156" spans="1:4" ht="12.75" customHeight="1" outlineLevel="3" x14ac:dyDescent="0.3">
      <c r="A156" s="26" t="str">
        <f>'БазНорм (обр)'!A144</f>
        <v>Л/пласт. бактериц. 2,5*7,2 №1</v>
      </c>
      <c r="B156" s="27" t="str">
        <f>'БазНорм (обр)'!B144</f>
        <v>шт.</v>
      </c>
      <c r="C156" s="52">
        <f>'БазНорм (обр)'!C144</f>
        <v>0.24006721882126994</v>
      </c>
      <c r="D156" s="181"/>
    </row>
    <row r="157" spans="1:4" ht="12.75" customHeight="1" outlineLevel="3" x14ac:dyDescent="0.3">
      <c r="A157" s="26" t="str">
        <f>'БазНорм (обр)'!A145</f>
        <v>Л/пласт,3*500</v>
      </c>
      <c r="B157" s="27" t="str">
        <f>'БазНорм (обр)'!B145</f>
        <v>шт.</v>
      </c>
      <c r="C157" s="52">
        <f>'БазНорм (обр)'!C145</f>
        <v>2.4006721882126993E-3</v>
      </c>
      <c r="D157" s="181"/>
    </row>
    <row r="158" spans="1:4" ht="12.75" customHeight="1" outlineLevel="3" x14ac:dyDescent="0.3">
      <c r="A158" s="26" t="str">
        <f>'БазНорм (обр)'!A146</f>
        <v>Маска трехсл.мед.№50</v>
      </c>
      <c r="B158" s="27" t="str">
        <f>'БазНорм (обр)'!B146</f>
        <v>шт.</v>
      </c>
      <c r="C158" s="52">
        <f>'БазНорм (обр)'!C146</f>
        <v>2.4006721882126993E-3</v>
      </c>
      <c r="D158" s="181"/>
    </row>
    <row r="159" spans="1:4" ht="12.75" customHeight="1" outlineLevel="3" x14ac:dyDescent="0.3">
      <c r="A159" s="26" t="str">
        <f>'БазНорм (обр)'!A147</f>
        <v>Губка гемостатическая 5*5</v>
      </c>
      <c r="B159" s="27" t="str">
        <f>'БазНорм (обр)'!B147</f>
        <v>шт.</v>
      </c>
      <c r="C159" s="52">
        <f>'БазНорм (обр)'!C147</f>
        <v>2.4006721882126993E-3</v>
      </c>
      <c r="D159" s="181"/>
    </row>
    <row r="160" spans="1:4" ht="12.75" customHeight="1" outlineLevel="3" x14ac:dyDescent="0.3">
      <c r="A160" s="26" t="str">
        <f>'БазНорм (обр)'!A148</f>
        <v>Левомеколь мазь 40г.</v>
      </c>
      <c r="B160" s="27" t="str">
        <f>'БазНорм (обр)'!B148</f>
        <v>шт.</v>
      </c>
      <c r="C160" s="52">
        <f>'БазНорм (обр)'!C148</f>
        <v>3.6010082823190494E-3</v>
      </c>
      <c r="D160" s="181"/>
    </row>
    <row r="161" spans="1:4" ht="12.75" customHeight="1" outlineLevel="3" x14ac:dyDescent="0.3">
      <c r="A161" s="26" t="str">
        <f>'БазНорм (обр)'!A149</f>
        <v>Напальчник резиновый №5</v>
      </c>
      <c r="B161" s="27" t="str">
        <f>'БазНорм (обр)'!B149</f>
        <v>упак.</v>
      </c>
      <c r="C161" s="52">
        <f>'БазНорм (обр)'!C149</f>
        <v>9.6026887528507972E-3</v>
      </c>
      <c r="D161" s="181"/>
    </row>
    <row r="162" spans="1:4" ht="12.75" customHeight="1" outlineLevel="3" x14ac:dyDescent="0.3">
      <c r="A162" s="26" t="str">
        <f>'БазНорм (обр)'!A150</f>
        <v>Пакет гипотермич. "Снежок"</v>
      </c>
      <c r="B162" s="27" t="str">
        <f>'БазНорм (обр)'!B150</f>
        <v>шт.</v>
      </c>
      <c r="C162" s="52">
        <f>'БазНорм (обр)'!C150</f>
        <v>0.18005041411595246</v>
      </c>
      <c r="D162" s="181"/>
    </row>
    <row r="163" spans="1:4" ht="12.75" customHeight="1" outlineLevel="3" x14ac:dyDescent="0.3">
      <c r="A163" s="26" t="str">
        <f>'БазНорм (обр)'!A151</f>
        <v>Сульфацил-натрия 20%-5мл</v>
      </c>
      <c r="B163" s="27" t="str">
        <f>'БазНорм (обр)'!B151</f>
        <v>шт.</v>
      </c>
      <c r="C163" s="52">
        <f>'БазНорм (обр)'!C151</f>
        <v>4.8013443764253986E-3</v>
      </c>
      <c r="D163" s="181"/>
    </row>
    <row r="164" spans="1:4" ht="12.75" customHeight="1" outlineLevel="3" x14ac:dyDescent="0.3">
      <c r="A164" s="26" t="str">
        <f>'БазНорм (обр)'!A152</f>
        <v>Перчатки латексные хир.стер.</v>
      </c>
      <c r="B164" s="27" t="str">
        <f>'БазНорм (обр)'!B152</f>
        <v>упак.</v>
      </c>
      <c r="C164" s="52">
        <f>'БазНорм (обр)'!C152</f>
        <v>2.4006721882126995E-2</v>
      </c>
      <c r="D164" s="181"/>
    </row>
    <row r="165" spans="1:4" ht="12.75" customHeight="1" outlineLevel="3" x14ac:dyDescent="0.3">
      <c r="A165" s="26" t="str">
        <f>'БазНорм (обр)'!A153</f>
        <v>Бриллиантовый зелен. 1%-10мл</v>
      </c>
      <c r="B165" s="27" t="str">
        <f>'БазНорм (обр)'!B153</f>
        <v>шт.</v>
      </c>
      <c r="C165" s="52">
        <f>'БазНорм (обр)'!C153</f>
        <v>1.2003360941063497E-2</v>
      </c>
      <c r="D165" s="181"/>
    </row>
    <row r="166" spans="1:4" ht="12.75" customHeight="1" x14ac:dyDescent="0.3">
      <c r="A166" s="179" t="s">
        <v>83</v>
      </c>
      <c r="B166" s="179"/>
      <c r="C166" s="179"/>
      <c r="D166" s="179"/>
    </row>
    <row r="167" spans="1:4" outlineLevel="1" x14ac:dyDescent="0.3">
      <c r="A167" s="179" t="s">
        <v>84</v>
      </c>
      <c r="B167" s="179"/>
      <c r="C167" s="179"/>
      <c r="D167" s="179"/>
    </row>
    <row r="168" spans="1:4" outlineLevel="2" x14ac:dyDescent="0.3">
      <c r="A168" s="26" t="str">
        <f>'БазНорм (обр)'!A156</f>
        <v>Теплоэнергия (город)</v>
      </c>
      <c r="B168" s="27" t="str">
        <f>'БазНорм (обр)'!B156</f>
        <v>Гкал</v>
      </c>
      <c r="C168" s="52">
        <f>'БазНорм (обр)'!C156</f>
        <v>1.6197030752916226</v>
      </c>
      <c r="D168" s="180" t="s">
        <v>135</v>
      </c>
    </row>
    <row r="169" spans="1:4" outlineLevel="2" x14ac:dyDescent="0.3">
      <c r="A169" s="26" t="str">
        <f>'БазНорм (обр)'!A157</f>
        <v>Теплоэнергия в горячей воде</v>
      </c>
      <c r="B169" s="27" t="str">
        <f>'БазНорм (обр)'!B157</f>
        <v>Гкал</v>
      </c>
      <c r="C169" s="52">
        <f>'БазНорм (обр)'!C157</f>
        <v>0</v>
      </c>
      <c r="D169" s="181"/>
    </row>
    <row r="170" spans="1:4" outlineLevel="2" x14ac:dyDescent="0.3">
      <c r="A170" s="26" t="str">
        <f>'БазНорм (обр)'!A158</f>
        <v>Теплоноситель</v>
      </c>
      <c r="B170" s="27" t="str">
        <f>'БазНорм (обр)'!B158</f>
        <v>м3</v>
      </c>
      <c r="C170" s="52">
        <f>'БазНорм (обр)'!C158</f>
        <v>3.4638388123011667</v>
      </c>
      <c r="D170" s="181"/>
    </row>
    <row r="171" spans="1:4" outlineLevel="2" x14ac:dyDescent="0.3">
      <c r="A171" s="26" t="str">
        <f>'БазНорм (обр)'!A159</f>
        <v>Электроэнергия (до 150)</v>
      </c>
      <c r="B171" s="27" t="str">
        <f>'БазНорм (обр)'!B159</f>
        <v>Квт*ч</v>
      </c>
      <c r="C171" s="52">
        <f>'БазНорм (обр)'!C159</f>
        <v>113.65853658536585</v>
      </c>
      <c r="D171" s="181"/>
    </row>
    <row r="172" spans="1:4" outlineLevel="2" x14ac:dyDescent="0.3">
      <c r="A172" s="26" t="str">
        <f>'БазНорм (обр)'!A160</f>
        <v>Электроэнергия (от 150 до 670)</v>
      </c>
      <c r="B172" s="27" t="str">
        <f>'БазНорм (обр)'!B160</f>
        <v>Квт*ч</v>
      </c>
      <c r="C172" s="52">
        <f>'БазНорм (обр)'!C160</f>
        <v>57.739130434782609</v>
      </c>
      <c r="D172" s="181"/>
    </row>
    <row r="173" spans="1:4" outlineLevel="2" x14ac:dyDescent="0.3">
      <c r="A173" s="26" t="str">
        <f>'БазНорм (обр)'!A161</f>
        <v>Холодное водоснабжение</v>
      </c>
      <c r="B173" s="27" t="str">
        <f>'БазНорм (обр)'!B161</f>
        <v>м3</v>
      </c>
      <c r="C173" s="52">
        <f>'БазНорм (обр)'!C161</f>
        <v>4.1823966065747618</v>
      </c>
      <c r="D173" s="181"/>
    </row>
    <row r="174" spans="1:4" outlineLevel="2" x14ac:dyDescent="0.3">
      <c r="A174" s="26" t="str">
        <f>'БазНорм (обр)'!A162</f>
        <v>Водоотведение</v>
      </c>
      <c r="B174" s="27" t="str">
        <f>'БазНорм (обр)'!B162</f>
        <v>м3</v>
      </c>
      <c r="C174" s="52">
        <f>'БазНорм (обр)'!C162</f>
        <v>6.7815482502651117</v>
      </c>
      <c r="D174" s="181"/>
    </row>
    <row r="175" spans="1:4" outlineLevel="2" x14ac:dyDescent="0.3">
      <c r="A175" s="26" t="str">
        <f>'БазНорм (обр)'!A163</f>
        <v>Сбросы загрязнений</v>
      </c>
      <c r="B175" s="27" t="str">
        <f>'БазНорм (обр)'!B163</f>
        <v>м3</v>
      </c>
      <c r="C175" s="52">
        <f>'БазНорм (обр)'!C163</f>
        <v>5.7232237539766704</v>
      </c>
      <c r="D175" s="187"/>
    </row>
    <row r="176" spans="1:4" ht="12.75" customHeight="1" outlineLevel="1" x14ac:dyDescent="0.3">
      <c r="A176" s="179" t="s">
        <v>85</v>
      </c>
      <c r="B176" s="179"/>
      <c r="C176" s="179"/>
      <c r="D176" s="179"/>
    </row>
    <row r="177" spans="1:4" ht="13.5" customHeight="1" outlineLevel="2" x14ac:dyDescent="0.3">
      <c r="A177" s="26" t="str">
        <f>'БазНорм (обр)'!A165</f>
        <v>Дератизация</v>
      </c>
      <c r="B177" s="27" t="str">
        <f>'БазНорм (обр)'!B165</f>
        <v>м2</v>
      </c>
      <c r="C177" s="52">
        <f>'БазНорм (обр)'!C165</f>
        <v>0.93864262990455993</v>
      </c>
      <c r="D177" s="180" t="s">
        <v>135</v>
      </c>
    </row>
    <row r="178" spans="1:4" ht="13.5" customHeight="1" outlineLevel="2" x14ac:dyDescent="0.3">
      <c r="A178" s="26" t="str">
        <f>'БазНорм (обр)'!A166</f>
        <v>Дезинсекция</v>
      </c>
      <c r="B178" s="27" t="str">
        <f>'БазНорм (обр)'!B166</f>
        <v>м2</v>
      </c>
      <c r="C178" s="52">
        <f>'БазНорм (обр)'!C166</f>
        <v>0.42417815482502652</v>
      </c>
      <c r="D178" s="181"/>
    </row>
    <row r="179" spans="1:4" ht="13.5" customHeight="1" outlineLevel="2" x14ac:dyDescent="0.3">
      <c r="A179" s="26" t="str">
        <f>'БазНорм (обр)'!A167</f>
        <v>ТО КТС</v>
      </c>
      <c r="B179" s="27" t="str">
        <f>'БазНорм (обр)'!B167</f>
        <v>усл. ед.</v>
      </c>
      <c r="C179" s="52">
        <f>'БазНорм (обр)'!C167</f>
        <v>2.1208907741251328E-3</v>
      </c>
      <c r="D179" s="181"/>
    </row>
    <row r="180" spans="1:4" ht="13.5" customHeight="1" outlineLevel="2" x14ac:dyDescent="0.3">
      <c r="A180" s="26" t="str">
        <f>'БазНорм (обр)'!A168</f>
        <v>Охрана КТС</v>
      </c>
      <c r="B180" s="27" t="str">
        <f>'БазНорм (обр)'!B168</f>
        <v>усл. ед.</v>
      </c>
      <c r="C180" s="52">
        <f>'БазНорм (обр)'!C168</f>
        <v>0</v>
      </c>
      <c r="D180" s="181"/>
    </row>
    <row r="181" spans="1:4" ht="13.5" customHeight="1" outlineLevel="2" x14ac:dyDescent="0.3">
      <c r="A181" s="26" t="str">
        <f>'БазНорм (обр)'!A169</f>
        <v>Охрана КТС</v>
      </c>
      <c r="B181" s="27" t="str">
        <f>'БазНорм (обр)'!B169</f>
        <v>усл. ед.</v>
      </c>
      <c r="C181" s="52">
        <f>'БазНорм (обр)'!C169</f>
        <v>18.579003181336162</v>
      </c>
      <c r="D181" s="181"/>
    </row>
    <row r="182" spans="1:4" ht="13.5" customHeight="1" outlineLevel="2" x14ac:dyDescent="0.3">
      <c r="A182" s="26" t="str">
        <f>'БазНорм (обр)'!A170</f>
        <v>Охрана КТС</v>
      </c>
      <c r="B182" s="27" t="str">
        <f>'БазНорм (обр)'!B170</f>
        <v>усл. ед.</v>
      </c>
      <c r="C182" s="52">
        <f>'БазНорм (обр)'!C170</f>
        <v>0</v>
      </c>
      <c r="D182" s="181"/>
    </row>
    <row r="183" spans="1:4" ht="13.5" customHeight="1" outlineLevel="2" x14ac:dyDescent="0.3">
      <c r="A183" s="26" t="str">
        <f>'БазНорм (обр)'!A171</f>
        <v>Охрана КТС</v>
      </c>
      <c r="B183" s="27" t="str">
        <f>'БазНорм (обр)'!B171</f>
        <v>усл. ед.</v>
      </c>
      <c r="C183" s="52">
        <f>'БазНорм (обр)'!C171</f>
        <v>0</v>
      </c>
      <c r="D183" s="181"/>
    </row>
    <row r="184" spans="1:4" ht="13.5" customHeight="1" outlineLevel="2" x14ac:dyDescent="0.3">
      <c r="A184" s="26" t="str">
        <f>'БазНорм (обр)'!A172</f>
        <v>Охрана КТС</v>
      </c>
      <c r="B184" s="27" t="str">
        <f>'БазНорм (обр)'!B172</f>
        <v>усл. ед.</v>
      </c>
      <c r="C184" s="52">
        <f>'БазНорм (обр)'!C172</f>
        <v>0</v>
      </c>
      <c r="D184" s="181"/>
    </row>
    <row r="185" spans="1:4" ht="13.5" customHeight="1" outlineLevel="2" x14ac:dyDescent="0.3">
      <c r="A185" s="26" t="str">
        <f>'БазНорм (обр)'!A173</f>
        <v>Пожарная охрана</v>
      </c>
      <c r="B185" s="27" t="str">
        <f>'БазНорм (обр)'!B173</f>
        <v>усл. ед.</v>
      </c>
      <c r="C185" s="52">
        <f>'БазНорм (обр)'!C173</f>
        <v>18.579003181336162</v>
      </c>
      <c r="D185" s="181"/>
    </row>
    <row r="186" spans="1:4" ht="13.5" customHeight="1" outlineLevel="2" x14ac:dyDescent="0.3">
      <c r="A186" s="26" t="str">
        <f>'БазНорм (обр)'!A174</f>
        <v>ТО пожарной сигнализации</v>
      </c>
      <c r="B186" s="27" t="str">
        <f>'БазНорм (обр)'!B174</f>
        <v>усл. ед.</v>
      </c>
      <c r="C186" s="52">
        <f>'БазНорм (обр)'!C174</f>
        <v>0</v>
      </c>
      <c r="D186" s="181"/>
    </row>
    <row r="187" spans="1:4" ht="13.5" customHeight="1" outlineLevel="2" x14ac:dyDescent="0.3">
      <c r="A187" s="26" t="str">
        <f>'БазНорм (обр)'!A175</f>
        <v>ТО пожарной сигнализации</v>
      </c>
      <c r="B187" s="27" t="str">
        <f>'БазНорм (обр)'!B175</f>
        <v>усл. ед.</v>
      </c>
      <c r="C187" s="52">
        <f>'БазНорм (обр)'!C175</f>
        <v>0</v>
      </c>
      <c r="D187" s="181"/>
    </row>
    <row r="188" spans="1:4" ht="13.5" customHeight="1" outlineLevel="2" x14ac:dyDescent="0.3">
      <c r="A188" s="26" t="str">
        <f>'БазНорм (обр)'!A176</f>
        <v>ТО пожарной сигнализации</v>
      </c>
      <c r="B188" s="27" t="str">
        <f>'БазНорм (обр)'!B176</f>
        <v>усл. ед.</v>
      </c>
      <c r="C188" s="52">
        <f>'БазНорм (обр)'!C176</f>
        <v>1.0604453870625664E-3</v>
      </c>
      <c r="D188" s="181"/>
    </row>
    <row r="189" spans="1:4" ht="13.5" customHeight="1" outlineLevel="2" x14ac:dyDescent="0.3">
      <c r="A189" s="26" t="str">
        <f>'БазНорм (обр)'!A177</f>
        <v>ТО пожарной сигнализации</v>
      </c>
      <c r="B189" s="27" t="str">
        <f>'БазНорм (обр)'!B177</f>
        <v>усл. ед.</v>
      </c>
      <c r="C189" s="52">
        <f>'БазНорм (обр)'!C177</f>
        <v>0</v>
      </c>
      <c r="D189" s="181"/>
    </row>
    <row r="190" spans="1:4" ht="13.5" customHeight="1" outlineLevel="2" x14ac:dyDescent="0.3">
      <c r="A190" s="26" t="str">
        <f>'БазНорм (обр)'!A178</f>
        <v>ТО пожарной сигнализации</v>
      </c>
      <c r="B190" s="27" t="str">
        <f>'БазНорм (обр)'!B178</f>
        <v>усл. ед.</v>
      </c>
      <c r="C190" s="52">
        <f>'БазНорм (обр)'!C178</f>
        <v>0</v>
      </c>
      <c r="D190" s="181"/>
    </row>
    <row r="191" spans="1:4" ht="13.5" customHeight="1" outlineLevel="2" x14ac:dyDescent="0.3">
      <c r="A191" s="26" t="str">
        <f>'БазНорм (обр)'!A179</f>
        <v>ТО пожарной сигнализации</v>
      </c>
      <c r="B191" s="27" t="str">
        <f>'БазНорм (обр)'!B179</f>
        <v>усл. ед.</v>
      </c>
      <c r="C191" s="52">
        <f>'БазНорм (обр)'!C179</f>
        <v>0</v>
      </c>
      <c r="D191" s="181"/>
    </row>
    <row r="192" spans="1:4" ht="13.5" customHeight="1" outlineLevel="2" x14ac:dyDescent="0.3">
      <c r="A192" s="26" t="str">
        <f>'БазНорм (обр)'!A180</f>
        <v>GSM Контакт</v>
      </c>
      <c r="B192" s="27" t="str">
        <f>'БазНорм (обр)'!B180</f>
        <v>усл. ед.</v>
      </c>
      <c r="C192" s="52">
        <f>'БазНорм (обр)'!C180</f>
        <v>0</v>
      </c>
      <c r="D192" s="181"/>
    </row>
    <row r="193" spans="1:4" ht="13.5" customHeight="1" outlineLevel="2" x14ac:dyDescent="0.3">
      <c r="A193" s="26" t="str">
        <f>'БазНорм (обр)'!A181</f>
        <v>ТО приборов учета тепла</v>
      </c>
      <c r="B193" s="27" t="str">
        <f>'БазНорм (обр)'!B181</f>
        <v>усл. ед.</v>
      </c>
      <c r="C193" s="52">
        <f>'БазНорм (обр)'!C181</f>
        <v>2.1208907741251328E-3</v>
      </c>
      <c r="D193" s="181"/>
    </row>
    <row r="194" spans="1:4" ht="13.5" customHeight="1" outlineLevel="2" x14ac:dyDescent="0.3">
      <c r="A194" s="26" t="str">
        <f>'БазНорм (обр)'!A182</f>
        <v>ТО автоматизированного теплового пункта</v>
      </c>
      <c r="B194" s="27" t="str">
        <f>'БазНорм (обр)'!B182</f>
        <v>усл. ед.</v>
      </c>
      <c r="C194" s="52">
        <f>'БазНорм (обр)'!C182</f>
        <v>2.1208907741251328E-3</v>
      </c>
      <c r="D194" s="181"/>
    </row>
    <row r="195" spans="1:4" ht="13.5" customHeight="1" outlineLevel="2" x14ac:dyDescent="0.3">
      <c r="A195" s="26" t="str">
        <f>'БазНорм (обр)'!A183</f>
        <v>ТО системы видеонаблюдения</v>
      </c>
      <c r="B195" s="27" t="str">
        <f>'БазНорм (обр)'!B183</f>
        <v>усл. ед.</v>
      </c>
      <c r="C195" s="52">
        <f>'БазНорм (обр)'!C183</f>
        <v>1.0604453870625664E-3</v>
      </c>
      <c r="D195" s="181"/>
    </row>
    <row r="196" spans="1:4" ht="13.5" customHeight="1" outlineLevel="2" x14ac:dyDescent="0.3">
      <c r="A196" s="26" t="str">
        <f>'БазНорм (обр)'!A184</f>
        <v>ТО системы видеонаблюдения</v>
      </c>
      <c r="B196" s="27" t="str">
        <f>'БазНорм (обр)'!B184</f>
        <v>усл. ед.</v>
      </c>
      <c r="C196" s="52">
        <f>'БазНорм (обр)'!C184</f>
        <v>0</v>
      </c>
      <c r="D196" s="181"/>
    </row>
    <row r="197" spans="1:4" ht="13.5" customHeight="1" outlineLevel="2" x14ac:dyDescent="0.3">
      <c r="A197" s="26" t="str">
        <f>'БазНорм (обр)'!A185</f>
        <v>ТО системы видеонаблюдения</v>
      </c>
      <c r="B197" s="27" t="str">
        <f>'БазНорм (обр)'!B185</f>
        <v>усл. ед.</v>
      </c>
      <c r="C197" s="52">
        <f>'БазНорм (обр)'!C185</f>
        <v>0</v>
      </c>
      <c r="D197" s="181"/>
    </row>
    <row r="198" spans="1:4" ht="13.5" customHeight="1" outlineLevel="2" x14ac:dyDescent="0.3">
      <c r="A198" s="26" t="str">
        <f>'БазНорм (обр)'!A186</f>
        <v>Вывоз ТБО</v>
      </c>
      <c r="B198" s="27" t="str">
        <f>'БазНорм (обр)'!B186</f>
        <v>м3</v>
      </c>
      <c r="C198" s="52">
        <f>'БазНорм (обр)'!C186</f>
        <v>0.30965005302226933</v>
      </c>
      <c r="D198" s="181"/>
    </row>
    <row r="199" spans="1:4" ht="13.5" customHeight="1" outlineLevel="2" x14ac:dyDescent="0.3">
      <c r="A199" s="26" t="str">
        <f>'БазНорм (обр)'!A187</f>
        <v>Уборка снега</v>
      </c>
      <c r="B199" s="27" t="str">
        <f>'БазНорм (обр)'!B187</f>
        <v>м2</v>
      </c>
      <c r="C199" s="52">
        <f>'БазНорм (обр)'!C187</f>
        <v>0</v>
      </c>
      <c r="D199" s="181"/>
    </row>
    <row r="200" spans="1:4" ht="13.5" customHeight="1" outlineLevel="2" x14ac:dyDescent="0.3">
      <c r="A200" s="26" t="str">
        <f>'БазНорм (обр)'!A188</f>
        <v>Замеры сопротивлений изоляции проводки</v>
      </c>
      <c r="B200" s="27" t="str">
        <f>'БазНорм (обр)'!B188</f>
        <v>усл. ед.</v>
      </c>
      <c r="C200" s="52">
        <f>'БазНорм (обр)'!C188</f>
        <v>2.1208907741251328E-3</v>
      </c>
      <c r="D200" s="181"/>
    </row>
    <row r="201" spans="1:4" ht="13.5" customHeight="1" outlineLevel="2" x14ac:dyDescent="0.3">
      <c r="A201" s="26" t="str">
        <f>'БазНорм (обр)'!A189</f>
        <v>Техническое обслуживание силового электрооборудования</v>
      </c>
      <c r="B201" s="27" t="str">
        <f>'БазНорм (обр)'!B189</f>
        <v>усл. ед.</v>
      </c>
      <c r="C201" s="52">
        <f>'БазНорм (обр)'!C189</f>
        <v>0</v>
      </c>
      <c r="D201" s="181"/>
    </row>
    <row r="202" spans="1:4" ht="13.5" customHeight="1" outlineLevel="2" x14ac:dyDescent="0.3">
      <c r="A202" s="26" t="str">
        <f>'БазНорм (обр)'!A190</f>
        <v>Прочистка канализации</v>
      </c>
      <c r="B202" s="27" t="str">
        <f>'БазНорм (обр)'!B190</f>
        <v>усл. Ед.</v>
      </c>
      <c r="C202" s="52">
        <f>'БазНорм (обр)'!C190</f>
        <v>4.2417815482502655E-3</v>
      </c>
      <c r="D202" s="181"/>
    </row>
    <row r="203" spans="1:4" ht="13.5" customHeight="1" outlineLevel="2" x14ac:dyDescent="0.3">
      <c r="A203" s="26" t="str">
        <f>'БазНорм (обр)'!A191</f>
        <v>Проверка качества огнезащиты</v>
      </c>
      <c r="B203" s="27" t="str">
        <f>'БазНорм (обр)'!B191</f>
        <v>усл. ед.</v>
      </c>
      <c r="C203" s="52">
        <f>'БазНорм (обр)'!C191</f>
        <v>2.1208907741251328E-3</v>
      </c>
      <c r="D203" s="181"/>
    </row>
    <row r="204" spans="1:4" ht="13.5" customHeight="1" outlineLevel="2" x14ac:dyDescent="0.3">
      <c r="A204" s="26" t="str">
        <f>'БазНорм (обр)'!A192</f>
        <v>Огнезащитная обработка чердачных деревянных конструкций</v>
      </c>
      <c r="B204" s="27" t="str">
        <f>'БазНорм (обр)'!B192</f>
        <v>м2</v>
      </c>
      <c r="C204" s="52">
        <f>'БазНорм (обр)'!C192</f>
        <v>3.9236479321314954</v>
      </c>
      <c r="D204" s="181"/>
    </row>
    <row r="205" spans="1:4" ht="13.5" customHeight="1" outlineLevel="2" x14ac:dyDescent="0.3">
      <c r="A205" s="26" t="str">
        <f>'БазНорм (обр)'!A193</f>
        <v>ТО грузового лифта</v>
      </c>
      <c r="B205" s="27" t="str">
        <f>'БазНорм (обр)'!B193</f>
        <v>усл. ед.</v>
      </c>
      <c r="C205" s="52">
        <f>'БазНорм (обр)'!C193</f>
        <v>1.0604453870625664E-3</v>
      </c>
      <c r="D205" s="181"/>
    </row>
    <row r="206" spans="1:4" ht="12.75" customHeight="1" outlineLevel="1" x14ac:dyDescent="0.3">
      <c r="A206" s="179" t="s">
        <v>86</v>
      </c>
      <c r="B206" s="179"/>
      <c r="C206" s="179"/>
      <c r="D206" s="179"/>
    </row>
    <row r="207" spans="1:4" ht="12.75" customHeight="1" outlineLevel="2" x14ac:dyDescent="0.3">
      <c r="A207" s="26" t="str">
        <f>'БазНорм (обр)'!A195</f>
        <v>Ремонт МФУ</v>
      </c>
      <c r="B207" s="27" t="str">
        <f>'БазНорм (обр)'!B195</f>
        <v>шт.</v>
      </c>
      <c r="C207" s="52">
        <f>'БазНорм (обр)'!C195</f>
        <v>2.6511134676564158E-2</v>
      </c>
      <c r="D207" s="118" t="s">
        <v>135</v>
      </c>
    </row>
    <row r="208" spans="1:4" outlineLevel="1" x14ac:dyDescent="0.3">
      <c r="A208" s="179" t="s">
        <v>87</v>
      </c>
      <c r="B208" s="179"/>
      <c r="C208" s="179"/>
      <c r="D208" s="179"/>
    </row>
    <row r="209" spans="1:4" ht="12.75" customHeight="1" outlineLevel="2" x14ac:dyDescent="0.3">
      <c r="A209" s="26" t="str">
        <f>'БазНорм (обр)'!A197</f>
        <v>Местная связь</v>
      </c>
      <c r="B209" s="27" t="str">
        <f>'БазНорм (обр)'!B197</f>
        <v>усл. ед.</v>
      </c>
      <c r="C209" s="52">
        <f>'БазНорм (обр)'!C197</f>
        <v>1.2725344644750797E-2</v>
      </c>
      <c r="D209" s="180" t="s">
        <v>135</v>
      </c>
    </row>
    <row r="210" spans="1:4" ht="12.75" customHeight="1" outlineLevel="2" x14ac:dyDescent="0.3">
      <c r="A210" s="26" t="str">
        <f>'БазНорм (обр)'!A198</f>
        <v>Связь МН и МГ</v>
      </c>
      <c r="B210" s="27" t="str">
        <f>'БазНорм (обр)'!B198</f>
        <v>усл. ед.</v>
      </c>
      <c r="C210" s="52">
        <f>'БазНорм (обр)'!C198</f>
        <v>1.2725344644750797E-2</v>
      </c>
      <c r="D210" s="181"/>
    </row>
    <row r="211" spans="1:4" ht="12.75" customHeight="1" outlineLevel="2" x14ac:dyDescent="0.3">
      <c r="A211" s="26" t="str">
        <f>'БазНорм (обр)'!A199</f>
        <v>Интернет</v>
      </c>
      <c r="B211" s="27" t="str">
        <f>'БазНорм (обр)'!B199</f>
        <v>усл. ед.</v>
      </c>
      <c r="C211" s="52">
        <f>'БазНорм (обр)'!C199</f>
        <v>1.2725344644750797E-2</v>
      </c>
      <c r="D211" s="181"/>
    </row>
    <row r="212" spans="1:4" outlineLevel="1" x14ac:dyDescent="0.3">
      <c r="A212" s="179" t="s">
        <v>88</v>
      </c>
      <c r="B212" s="179"/>
      <c r="C212" s="179"/>
      <c r="D212" s="179"/>
    </row>
    <row r="213" spans="1:4" ht="12.75" customHeight="1" outlineLevel="2" x14ac:dyDescent="0.3">
      <c r="A213" s="57"/>
      <c r="B213" s="57"/>
      <c r="C213" s="57"/>
      <c r="D213" s="57"/>
    </row>
    <row r="214" spans="1:4" ht="12.75" customHeight="1" outlineLevel="2" x14ac:dyDescent="0.3">
      <c r="A214" s="57"/>
      <c r="B214" s="57"/>
      <c r="C214" s="57"/>
      <c r="D214" s="57"/>
    </row>
    <row r="215" spans="1:4" ht="12.75" customHeight="1" outlineLevel="2" x14ac:dyDescent="0.3">
      <c r="A215" s="57"/>
      <c r="B215" s="57"/>
      <c r="C215" s="57"/>
      <c r="D215" s="57"/>
    </row>
    <row r="216" spans="1:4" ht="12.75" customHeight="1" outlineLevel="1" x14ac:dyDescent="0.3">
      <c r="A216" s="179" t="s">
        <v>89</v>
      </c>
      <c r="B216" s="179"/>
      <c r="C216" s="179"/>
      <c r="D216" s="179"/>
    </row>
    <row r="217" spans="1:4" ht="13.5" customHeight="1" outlineLevel="2" x14ac:dyDescent="0.3">
      <c r="A217" s="57"/>
      <c r="B217" s="57"/>
      <c r="C217" s="57"/>
      <c r="D217" s="57"/>
    </row>
    <row r="218" spans="1:4" ht="13.5" customHeight="1" outlineLevel="2" x14ac:dyDescent="0.3">
      <c r="A218" s="57"/>
      <c r="B218" s="57"/>
      <c r="C218" s="57"/>
      <c r="D218" s="57"/>
    </row>
    <row r="219" spans="1:4" ht="13.5" customHeight="1" outlineLevel="2" x14ac:dyDescent="0.3">
      <c r="A219" s="57"/>
      <c r="B219" s="57"/>
      <c r="C219" s="57"/>
      <c r="D219" s="57"/>
    </row>
    <row r="220" spans="1:4" ht="12.75" customHeight="1" outlineLevel="1" x14ac:dyDescent="0.3">
      <c r="A220" s="179" t="s">
        <v>90</v>
      </c>
      <c r="B220" s="179"/>
      <c r="C220" s="179"/>
      <c r="D220" s="179"/>
    </row>
    <row r="221" spans="1:4" ht="12.75" customHeight="1" outlineLevel="2" x14ac:dyDescent="0.3">
      <c r="A221" s="26" t="str">
        <f>'БазНорм (обр)'!A209</f>
        <v>Исследование воды после гидропромывки</v>
      </c>
      <c r="B221" s="27" t="str">
        <f>'БазНорм (обр)'!B209</f>
        <v>усл. ед.</v>
      </c>
      <c r="C221" s="52">
        <f>'БазНорм (обр)'!C209</f>
        <v>2.1208907741251328E-3</v>
      </c>
      <c r="D221" s="180" t="s">
        <v>135</v>
      </c>
    </row>
    <row r="222" spans="1:4" ht="25.5" customHeight="1" outlineLevel="2" x14ac:dyDescent="0.3">
      <c r="A222" s="26" t="str">
        <f>'БазНорм (обр)'!A210</f>
        <v>Исследование воды</v>
      </c>
      <c r="B222" s="27" t="str">
        <f>'БазНорм (обр)'!B210</f>
        <v>усл. ед.</v>
      </c>
      <c r="C222" s="52">
        <f>'БазНорм (обр)'!C210</f>
        <v>2.1208907741251328E-3</v>
      </c>
      <c r="D222" s="181"/>
    </row>
    <row r="223" spans="1:4" ht="12.75" customHeight="1" outlineLevel="2" x14ac:dyDescent="0.3">
      <c r="A223" s="26" t="str">
        <f>'БазНорм (обр)'!A211</f>
        <v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v>
      </c>
      <c r="B223" s="27" t="str">
        <f>'БазНорм (обр)'!B211</f>
        <v>усл. ед.</v>
      </c>
      <c r="C223" s="52">
        <f>'БазНорм (обр)'!C211</f>
        <v>0</v>
      </c>
      <c r="D223" s="181"/>
    </row>
    <row r="224" spans="1:4" ht="12.75" customHeight="1" outlineLevel="2" x14ac:dyDescent="0.3">
      <c r="A224" s="26" t="str">
        <f>'БазНорм (обр)'!A212</f>
        <v>Замеры ЭМП</v>
      </c>
      <c r="B224" s="27" t="str">
        <f>'БазНорм (обр)'!B212</f>
        <v>усл. ед.</v>
      </c>
      <c r="C224" s="52">
        <f>'БазНорм (обр)'!C212</f>
        <v>0</v>
      </c>
      <c r="D224" s="181"/>
    </row>
    <row r="225" spans="1:4" ht="12.75" customHeight="1" outlineLevel="2" x14ac:dyDescent="0.3">
      <c r="A225" s="26" t="str">
        <f>'БазНорм (обр)'!A213</f>
        <v>Зарядка огнетушителей</v>
      </c>
      <c r="B225" s="27" t="str">
        <f>'БазНорм (обр)'!B213</f>
        <v>усл. ед.</v>
      </c>
      <c r="C225" s="52">
        <f>'БазНорм (обр)'!C213</f>
        <v>0</v>
      </c>
      <c r="D225" s="181"/>
    </row>
    <row r="226" spans="1:4" ht="12.75" customHeight="1" outlineLevel="2" x14ac:dyDescent="0.3">
      <c r="A226" s="26" t="str">
        <f>'БазНорм (обр)'!A214</f>
        <v>Испытание эл/защитных средств (перчатки)</v>
      </c>
      <c r="B226" s="27" t="str">
        <f>'БазНорм (обр)'!B214</f>
        <v>усл. ед.</v>
      </c>
      <c r="C226" s="52">
        <f>'БазНорм (обр)'!C214</f>
        <v>0</v>
      </c>
      <c r="D226" s="181"/>
    </row>
    <row r="227" spans="1:4" ht="12.75" customHeight="1" outlineLevel="2" x14ac:dyDescent="0.3">
      <c r="A227" s="26" t="str">
        <f>'БазНорм (обр)'!A215</f>
        <v>Демеркуризация ламп</v>
      </c>
      <c r="B227" s="27" t="str">
        <f>'БазНорм (обр)'!B215</f>
        <v>шт.</v>
      </c>
      <c r="C227" s="52">
        <f>'БазНорм (обр)'!C215</f>
        <v>0</v>
      </c>
      <c r="D227" s="181"/>
    </row>
    <row r="228" spans="1:4" ht="12.75" customHeight="1" outlineLevel="2" x14ac:dyDescent="0.3">
      <c r="A228" s="26" t="str">
        <f>'БазНорм (обр)'!A216</f>
        <v>Испытание пожарных кранов</v>
      </c>
      <c r="B228" s="27" t="str">
        <f>'БазНорм (обр)'!B216</f>
        <v>шт.</v>
      </c>
      <c r="C228" s="52">
        <f>'БазНорм (обр)'!C216</f>
        <v>0</v>
      </c>
      <c r="D228" s="181"/>
    </row>
    <row r="229" spans="1:4" ht="25.5" customHeight="1" outlineLevel="2" x14ac:dyDescent="0.3">
      <c r="A229" s="26" t="str">
        <f>'БазНорм (обр)'!A217</f>
        <v>Поверка ростомеры металл.</v>
      </c>
      <c r="B229" s="27" t="str">
        <f>'БазНорм (обр)'!B217</f>
        <v>шт.</v>
      </c>
      <c r="C229" s="52">
        <f>'БазНорм (обр)'!C217</f>
        <v>0</v>
      </c>
      <c r="D229" s="181"/>
    </row>
    <row r="230" spans="1:4" ht="25.5" customHeight="1" outlineLevel="2" x14ac:dyDescent="0.3">
      <c r="A230" s="26" t="str">
        <f>'БазНорм (обр)'!A218</f>
        <v>Поверка приборов учета тепловой энергии</v>
      </c>
      <c r="B230" s="27" t="str">
        <f>'БазНорм (обр)'!B218</f>
        <v>шт.</v>
      </c>
      <c r="C230" s="52">
        <f>'БазНорм (обр)'!C218</f>
        <v>0</v>
      </c>
      <c r="D230" s="181"/>
    </row>
    <row r="231" spans="1:4" ht="25.5" customHeight="1" outlineLevel="2" x14ac:dyDescent="0.3">
      <c r="A231" s="26" t="str">
        <f>'БазНорм (обр)'!A219</f>
        <v>Поверка весы торговые</v>
      </c>
      <c r="B231" s="27" t="str">
        <f>'БазНорм (обр)'!B219</f>
        <v>шт.</v>
      </c>
      <c r="C231" s="52">
        <f>'БазНорм (обр)'!C219</f>
        <v>0</v>
      </c>
      <c r="D231" s="181"/>
    </row>
    <row r="232" spans="1:4" ht="12.75" customHeight="1" outlineLevel="2" x14ac:dyDescent="0.3">
      <c r="A232" s="26" t="str">
        <f>'БазНорм (обр)'!A220</f>
        <v>Поверка весы медицинские</v>
      </c>
      <c r="B232" s="27" t="str">
        <f>'БазНорм (обр)'!B220</f>
        <v>шт.</v>
      </c>
      <c r="C232" s="52">
        <f>'БазНорм (обр)'!C220</f>
        <v>0</v>
      </c>
      <c r="D232" s="181"/>
    </row>
    <row r="233" spans="1:4" ht="38.25" customHeight="1" outlineLevel="2" x14ac:dyDescent="0.3">
      <c r="A233" s="26" t="str">
        <f>'БазНорм (обр)'!A221</f>
        <v>Весы настольные циферблатные</v>
      </c>
      <c r="B233" s="27" t="str">
        <f>'БазНорм (обр)'!B221</f>
        <v>шт.</v>
      </c>
      <c r="C233" s="52">
        <f>'БазНорм (обр)'!C221</f>
        <v>0</v>
      </c>
      <c r="D233" s="181"/>
    </row>
    <row r="234" spans="1:4" ht="25.5" customHeight="1" outlineLevel="2" x14ac:dyDescent="0.3">
      <c r="A234" s="26" t="str">
        <f>'БазНорм (обр)'!A222</f>
        <v>Поверка торговые гири 5 и 6 класса</v>
      </c>
      <c r="B234" s="27" t="str">
        <f>'БазНорм (обр)'!B222</f>
        <v>шт.</v>
      </c>
      <c r="C234" s="52">
        <f>'БазНорм (обр)'!C222</f>
        <v>0</v>
      </c>
      <c r="D234" s="181"/>
    </row>
    <row r="235" spans="1:4" ht="25.5" customHeight="1" outlineLevel="2" x14ac:dyDescent="0.3">
      <c r="A235" s="26" t="str">
        <f>'БазНорм (обр)'!A223</f>
        <v>Поверка манометры</v>
      </c>
      <c r="B235" s="27" t="str">
        <f>'БазНорм (обр)'!B223</f>
        <v>шт.</v>
      </c>
      <c r="C235" s="52">
        <f>'БазНорм (обр)'!C223</f>
        <v>0</v>
      </c>
      <c r="D235" s="181"/>
    </row>
    <row r="236" spans="1:4" ht="25.5" customHeight="1" outlineLevel="2" x14ac:dyDescent="0.3">
      <c r="A236" s="26" t="str">
        <f>'БазНорм (обр)'!A224</f>
        <v>ТО медицинской техники</v>
      </c>
      <c r="B236" s="27" t="str">
        <f>'БазНорм (обр)'!B224</f>
        <v>ед.</v>
      </c>
      <c r="C236" s="52">
        <f>'БазНорм (обр)'!C224</f>
        <v>0</v>
      </c>
      <c r="D236" s="181"/>
    </row>
    <row r="237" spans="1:4" ht="25.5" customHeight="1" outlineLevel="2" x14ac:dyDescent="0.3">
      <c r="A237" s="26" t="str">
        <f>'БазНорм (обр)'!A225</f>
        <v>Поверка Гигрометры психрометрические</v>
      </c>
      <c r="B237" s="27" t="str">
        <f>'БазНорм (обр)'!B225</f>
        <v>шт.</v>
      </c>
      <c r="C237" s="52">
        <f>'БазНорм (обр)'!C225</f>
        <v>0</v>
      </c>
      <c r="D237" s="181"/>
    </row>
    <row r="238" spans="1:4" ht="12.75" customHeight="1" outlineLevel="2" x14ac:dyDescent="0.3">
      <c r="A238" s="26" t="str">
        <f>'БазНорм (обр)'!A226</f>
        <v>Поверка тонометры</v>
      </c>
      <c r="B238" s="27" t="str">
        <f>'БазНорм (обр)'!B226</f>
        <v>шт.</v>
      </c>
      <c r="C238" s="52">
        <f>'БазНорм (обр)'!C226</f>
        <v>0</v>
      </c>
      <c r="D238" s="181"/>
    </row>
    <row r="239" spans="1:4" ht="25.5" customHeight="1" outlineLevel="2" x14ac:dyDescent="0.3">
      <c r="A239" s="26" t="str">
        <f>'БазНорм (обр)'!A227</f>
        <v>Поверка весы электронные напольные</v>
      </c>
      <c r="B239" s="27" t="str">
        <f>'БазНорм (обр)'!B227</f>
        <v>шт.</v>
      </c>
      <c r="C239" s="52">
        <f>'БазНорм (обр)'!C227</f>
        <v>0</v>
      </c>
      <c r="D239" s="181"/>
    </row>
    <row r="240" spans="1:4" ht="25.5" customHeight="1" outlineLevel="2" x14ac:dyDescent="0.3">
      <c r="A240" s="26" t="str">
        <f>'БазНорм (обр)'!A228</f>
        <v>Поверка весы напольные</v>
      </c>
      <c r="B240" s="27" t="str">
        <f>'БазНорм (обр)'!B228</f>
        <v>шт.</v>
      </c>
      <c r="C240" s="52">
        <f>'БазНорм (обр)'!C228</f>
        <v>0</v>
      </c>
      <c r="D240" s="181"/>
    </row>
    <row r="241" spans="1:4" ht="25.5" customHeight="1" outlineLevel="2" x14ac:dyDescent="0.3">
      <c r="A241" s="26" t="str">
        <f>'БазНорм (обр)'!A229</f>
        <v>Поверка секундомеры механические</v>
      </c>
      <c r="B241" s="27" t="str">
        <f>'БазНорм (обр)'!B229</f>
        <v>шт.</v>
      </c>
      <c r="C241" s="52">
        <f>'БазНорм (обр)'!C229</f>
        <v>0</v>
      </c>
      <c r="D241" s="181"/>
    </row>
    <row r="242" spans="1:4" ht="25.5" customHeight="1" outlineLevel="2" x14ac:dyDescent="0.3">
      <c r="A242" s="26" t="str">
        <f>'БазНорм (обр)'!A230</f>
        <v>Поверка динамометры кистевые</v>
      </c>
      <c r="B242" s="27" t="str">
        <f>'БазНорм (обр)'!B230</f>
        <v>шт.</v>
      </c>
      <c r="C242" s="52">
        <f>'БазНорм (обр)'!C230</f>
        <v>0</v>
      </c>
      <c r="D242" s="181"/>
    </row>
    <row r="243" spans="1:4" ht="25.5" customHeight="1" outlineLevel="2" x14ac:dyDescent="0.3">
      <c r="A243" s="26" t="str">
        <f>'БазНорм (обр)'!A231</f>
        <v>Курсы по теплоустановкам</v>
      </c>
      <c r="B243" s="27" t="str">
        <f>'БазНорм (обр)'!B231</f>
        <v>чел.</v>
      </c>
      <c r="C243" s="52">
        <f>'БазНорм (обр)'!C231</f>
        <v>4.2417815482502655E-3</v>
      </c>
      <c r="D243" s="181"/>
    </row>
    <row r="244" spans="1:4" s="60" customFormat="1" ht="25.5" customHeight="1" outlineLevel="2" x14ac:dyDescent="0.3">
      <c r="A244" s="33" t="s">
        <v>64</v>
      </c>
      <c r="B244" s="34" t="s">
        <v>3</v>
      </c>
      <c r="C244" s="51" t="s">
        <v>3</v>
      </c>
      <c r="D244" s="181"/>
    </row>
    <row r="245" spans="1:4" ht="25.5" customHeight="1" outlineLevel="3" x14ac:dyDescent="0.3">
      <c r="A245" s="26" t="str">
        <f>'БазНорм (обр)'!A233</f>
        <v>Доска разделочная</v>
      </c>
      <c r="B245" s="27" t="str">
        <f>'БазНорм (обр)'!B233</f>
        <v>шт.</v>
      </c>
      <c r="C245" s="52">
        <f>'БазНорм (обр)'!C233</f>
        <v>0</v>
      </c>
      <c r="D245" s="181"/>
    </row>
    <row r="246" spans="1:4" ht="25.5" customHeight="1" outlineLevel="3" x14ac:dyDescent="0.3">
      <c r="A246" s="26" t="str">
        <f>'БазНорм (обр)'!A234</f>
        <v xml:space="preserve">Блюдце </v>
      </c>
      <c r="B246" s="27" t="str">
        <f>'БазНорм (обр)'!B234</f>
        <v>шт.</v>
      </c>
      <c r="C246" s="52">
        <f>'БазНорм (обр)'!C234</f>
        <v>0</v>
      </c>
      <c r="D246" s="181"/>
    </row>
    <row r="247" spans="1:4" ht="25.5" customHeight="1" outlineLevel="3" x14ac:dyDescent="0.3">
      <c r="A247" s="26" t="str">
        <f>'БазНорм (обр)'!A235</f>
        <v>Тарелка маленькая</v>
      </c>
      <c r="B247" s="27" t="str">
        <f>'БазНорм (обр)'!B235</f>
        <v>шт.</v>
      </c>
      <c r="C247" s="52">
        <f>'БазНорм (обр)'!C235</f>
        <v>0</v>
      </c>
      <c r="D247" s="181"/>
    </row>
    <row r="248" spans="1:4" ht="25.5" customHeight="1" outlineLevel="3" x14ac:dyDescent="0.3">
      <c r="A248" s="26" t="str">
        <f>'БазНорм (обр)'!A236</f>
        <v>Тарелка мелкая</v>
      </c>
      <c r="B248" s="27" t="str">
        <f>'БазНорм (обр)'!B236</f>
        <v>шт.</v>
      </c>
      <c r="C248" s="52">
        <f>'БазНорм (обр)'!C236</f>
        <v>0.53022269353128315</v>
      </c>
      <c r="D248" s="181"/>
    </row>
    <row r="249" spans="1:4" ht="25.5" customHeight="1" outlineLevel="3" x14ac:dyDescent="0.3">
      <c r="A249" s="26" t="str">
        <f>'БазНорм (обр)'!A237</f>
        <v>Тарелка глубокая</v>
      </c>
      <c r="B249" s="27" t="str">
        <f>'БазНорм (обр)'!B237</f>
        <v>шт.</v>
      </c>
      <c r="C249" s="52">
        <f>'БазНорм (обр)'!C237</f>
        <v>0.33934252386002123</v>
      </c>
      <c r="D249" s="181"/>
    </row>
    <row r="250" spans="1:4" ht="25.5" customHeight="1" outlineLevel="3" x14ac:dyDescent="0.3">
      <c r="A250" s="26" t="str">
        <f>'БазНорм (обр)'!A238</f>
        <v>Ложка столовая</v>
      </c>
      <c r="B250" s="27" t="str">
        <f>'БазНорм (обр)'!B238</f>
        <v>шт.</v>
      </c>
      <c r="C250" s="52">
        <f>'БазНорм (обр)'!C238</f>
        <v>0.21633085896076351</v>
      </c>
      <c r="D250" s="181"/>
    </row>
    <row r="251" spans="1:4" ht="25.5" customHeight="1" outlineLevel="3" x14ac:dyDescent="0.3">
      <c r="A251" s="26" t="str">
        <f>'БазНорм (обр)'!A239</f>
        <v>Вилка столовая</v>
      </c>
      <c r="B251" s="27" t="str">
        <f>'БазНорм (обр)'!B239</f>
        <v>шт.</v>
      </c>
      <c r="C251" s="52">
        <f>'БазНорм (обр)'!C239</f>
        <v>0.21633085896076351</v>
      </c>
      <c r="D251" s="181"/>
    </row>
    <row r="252" spans="1:4" ht="25.5" customHeight="1" outlineLevel="3" x14ac:dyDescent="0.3">
      <c r="A252" s="26" t="str">
        <f>'БазНорм (обр)'!A240</f>
        <v>Таз 12 л.</v>
      </c>
      <c r="B252" s="27" t="str">
        <f>'БазНорм (обр)'!B240</f>
        <v>шт.</v>
      </c>
      <c r="C252" s="52">
        <f>'БазНорм (обр)'!C240</f>
        <v>0</v>
      </c>
      <c r="D252" s="181"/>
    </row>
    <row r="253" spans="1:4" ht="25.5" customHeight="1" outlineLevel="3" x14ac:dyDescent="0.3">
      <c r="A253" s="26" t="str">
        <f>'БазНорм (обр)'!A241</f>
        <v>Таз 5 л</v>
      </c>
      <c r="B253" s="27" t="str">
        <f>'БазНорм (обр)'!B241</f>
        <v>шт.</v>
      </c>
      <c r="C253" s="52">
        <f>'БазНорм (обр)'!C241</f>
        <v>0</v>
      </c>
      <c r="D253" s="181"/>
    </row>
    <row r="254" spans="1:4" ht="25.5" customHeight="1" outlineLevel="3" x14ac:dyDescent="0.3">
      <c r="A254" s="26" t="str">
        <f>'БазНорм (обр)'!A242</f>
        <v>Противень</v>
      </c>
      <c r="B254" s="27" t="str">
        <f>'БазНорм (обр)'!B242</f>
        <v>шт.</v>
      </c>
      <c r="C254" s="52">
        <f>'БазНорм (обр)'!C242</f>
        <v>0</v>
      </c>
      <c r="D254" s="181"/>
    </row>
    <row r="255" spans="1:4" ht="25.5" customHeight="1" outlineLevel="3" x14ac:dyDescent="0.3">
      <c r="A255" s="26" t="str">
        <f>'БазНорм (обр)'!A243</f>
        <v>Лоток для мяса</v>
      </c>
      <c r="B255" s="27" t="str">
        <f>'БазНорм (обр)'!B243</f>
        <v>шт.</v>
      </c>
      <c r="C255" s="52">
        <f>'БазНорм (обр)'!C243</f>
        <v>0</v>
      </c>
      <c r="D255" s="181"/>
    </row>
    <row r="256" spans="1:4" ht="25.5" customHeight="1" outlineLevel="3" x14ac:dyDescent="0.3">
      <c r="A256" s="26" t="str">
        <f>'БазНорм (обр)'!A244</f>
        <v>Лоток глубокий</v>
      </c>
      <c r="B256" s="27" t="str">
        <f>'БазНорм (обр)'!B244</f>
        <v>шт.</v>
      </c>
      <c r="C256" s="52">
        <f>'БазНорм (обр)'!C244</f>
        <v>0</v>
      </c>
      <c r="D256" s="181"/>
    </row>
    <row r="257" spans="1:4" ht="25.5" customHeight="1" outlineLevel="3" x14ac:dyDescent="0.3">
      <c r="A257" s="26" t="str">
        <f>'БазНорм (обр)'!A245</f>
        <v>Кастрюля 15 л.</v>
      </c>
      <c r="B257" s="27" t="str">
        <f>'БазНорм (обр)'!B245</f>
        <v>шт.</v>
      </c>
      <c r="C257" s="52">
        <f>'БазНорм (обр)'!C245</f>
        <v>0</v>
      </c>
      <c r="D257" s="181"/>
    </row>
    <row r="258" spans="1:4" ht="25.5" customHeight="1" outlineLevel="3" x14ac:dyDescent="0.3">
      <c r="A258" s="26" t="str">
        <f>'БазНорм (обр)'!A246</f>
        <v>Кастрюля 20 л.</v>
      </c>
      <c r="B258" s="27" t="str">
        <f>'БазНорм (обр)'!B246</f>
        <v>шт.</v>
      </c>
      <c r="C258" s="52">
        <f>'БазНорм (обр)'!C246</f>
        <v>0</v>
      </c>
      <c r="D258" s="181"/>
    </row>
    <row r="259" spans="1:4" ht="25.5" customHeight="1" outlineLevel="3" x14ac:dyDescent="0.3">
      <c r="A259" s="26" t="str">
        <f>'БазНорм (обр)'!A247</f>
        <v>Корзина для стаканов и чашек</v>
      </c>
      <c r="B259" s="27" t="str">
        <f>'БазНорм (обр)'!B247</f>
        <v>шт.</v>
      </c>
      <c r="C259" s="52">
        <f>'БазНорм (обр)'!C247</f>
        <v>0</v>
      </c>
      <c r="D259" s="181"/>
    </row>
    <row r="260" spans="1:4" ht="25.5" customHeight="1" outlineLevel="3" x14ac:dyDescent="0.3">
      <c r="A260" s="26" t="str">
        <f>'БазНорм (обр)'!A248</f>
        <v>Стакан граненый</v>
      </c>
      <c r="B260" s="27" t="str">
        <f>'БазНорм (обр)'!B248</f>
        <v>шт.</v>
      </c>
      <c r="C260" s="52">
        <f>'БазНорм (обр)'!C248</f>
        <v>0.22905620360551432</v>
      </c>
      <c r="D260" s="181"/>
    </row>
    <row r="261" spans="1:4" ht="25.5" customHeight="1" outlineLevel="3" x14ac:dyDescent="0.3">
      <c r="A261" s="26" t="str">
        <f>'БазНорм (обр)'!A249</f>
        <v>Сито</v>
      </c>
      <c r="B261" s="27" t="str">
        <f>'БазНорм (обр)'!B249</f>
        <v>шт.</v>
      </c>
      <c r="C261" s="52">
        <f>'БазНорм (обр)'!C249</f>
        <v>0</v>
      </c>
      <c r="D261" s="181"/>
    </row>
    <row r="262" spans="1:4" ht="25.5" customHeight="1" outlineLevel="3" x14ac:dyDescent="0.3">
      <c r="A262" s="26" t="str">
        <f>'БазНорм (обр)'!A250</f>
        <v>Нож повара</v>
      </c>
      <c r="B262" s="27" t="str">
        <f>'БазНорм (обр)'!B250</f>
        <v>шт.</v>
      </c>
      <c r="C262" s="52">
        <f>'БазНорм (обр)'!C250</f>
        <v>6.3626723223753979E-3</v>
      </c>
      <c r="D262" s="181"/>
    </row>
    <row r="263" spans="1:4" s="60" customFormat="1" ht="25.5" customHeight="1" outlineLevel="2" x14ac:dyDescent="0.3">
      <c r="A263" s="33" t="s">
        <v>480</v>
      </c>
      <c r="B263" s="34" t="s">
        <v>3</v>
      </c>
      <c r="C263" s="51" t="s">
        <v>3</v>
      </c>
      <c r="D263" s="181"/>
    </row>
    <row r="264" spans="1:4" ht="25.5" customHeight="1" outlineLevel="3" x14ac:dyDescent="0.3">
      <c r="A264" s="26" t="str">
        <f>'БазНорм (обр)'!A252</f>
        <v>Посудомоечная машина</v>
      </c>
      <c r="B264" s="27" t="str">
        <f>'БазНорм (обр)'!B252</f>
        <v>шт.</v>
      </c>
      <c r="C264" s="52">
        <f>'БазНорм (обр)'!C252</f>
        <v>0</v>
      </c>
      <c r="D264" s="181"/>
    </row>
    <row r="265" spans="1:4" ht="25.5" customHeight="1" outlineLevel="3" x14ac:dyDescent="0.3">
      <c r="A265" s="26" t="str">
        <f>'БазНорм (обр)'!A253</f>
        <v>Холодильная камера 2х дверная Полюс-R 1400"</v>
      </c>
      <c r="B265" s="27" t="str">
        <f>'БазНорм (обр)'!B253</f>
        <v>шт.</v>
      </c>
      <c r="C265" s="52">
        <f>'БазНорм (обр)'!C253</f>
        <v>0</v>
      </c>
      <c r="D265" s="181"/>
    </row>
    <row r="266" spans="1:4" ht="25.5" customHeight="1" outlineLevel="3" x14ac:dyDescent="0.3">
      <c r="A266" s="26" t="str">
        <f>'БазНорм (обр)'!A254</f>
        <v>Холодильная камера 1 дверная, "Полюс-R700"</v>
      </c>
      <c r="B266" s="27" t="str">
        <f>'БазНорм (обр)'!B254</f>
        <v>шт.</v>
      </c>
      <c r="C266" s="52">
        <f>'БазНорм (обр)'!C254</f>
        <v>0</v>
      </c>
      <c r="D266" s="181"/>
    </row>
    <row r="267" spans="1:4" s="60" customFormat="1" ht="25.5" customHeight="1" outlineLevel="2" x14ac:dyDescent="0.3">
      <c r="A267" s="33" t="s">
        <v>68</v>
      </c>
      <c r="B267" s="34" t="s">
        <v>3</v>
      </c>
      <c r="C267" s="51" t="s">
        <v>3</v>
      </c>
      <c r="D267" s="181"/>
    </row>
    <row r="268" spans="1:4" ht="25.5" customHeight="1" outlineLevel="3" x14ac:dyDescent="0.3">
      <c r="A268" s="26" t="str">
        <f>'БазНорм (обр)'!A256</f>
        <v>Мыло хозяйственное</v>
      </c>
      <c r="B268" s="27" t="str">
        <f>'БазНорм (обр)'!B256</f>
        <v>шт.</v>
      </c>
      <c r="C268" s="52">
        <f>'БазНорм (обр)'!C256</f>
        <v>0.41911148365465217</v>
      </c>
      <c r="D268" s="181"/>
    </row>
    <row r="269" spans="1:4" ht="25.5" customHeight="1" outlineLevel="3" x14ac:dyDescent="0.3">
      <c r="A269" s="26" t="str">
        <f>'БазНорм (обр)'!A257</f>
        <v>Мыло детское</v>
      </c>
      <c r="B269" s="27" t="str">
        <f>'БазНорм (обр)'!B257</f>
        <v>шт.</v>
      </c>
      <c r="C269" s="52">
        <f>'БазНорм (обр)'!C257</f>
        <v>0.41911148365465217</v>
      </c>
      <c r="D269" s="181"/>
    </row>
    <row r="270" spans="1:4" ht="25.5" customHeight="1" outlineLevel="3" x14ac:dyDescent="0.3">
      <c r="A270" s="26" t="str">
        <f>'БазНорм (обр)'!A258</f>
        <v>Порошок стиральный 0,4 кг.</v>
      </c>
      <c r="B270" s="27" t="str">
        <f>'БазНорм (обр)'!B258</f>
        <v>пач.</v>
      </c>
      <c r="C270" s="52">
        <f>'БазНорм (обр)'!C258</f>
        <v>0.15088013411567477</v>
      </c>
      <c r="D270" s="181"/>
    </row>
    <row r="271" spans="1:4" ht="25.5" customHeight="1" outlineLevel="3" x14ac:dyDescent="0.3">
      <c r="A271" s="26" t="str">
        <f>'БазНорм (обр)'!A259</f>
        <v>Порошок стиральный 1,8 кг.</v>
      </c>
      <c r="B271" s="27" t="str">
        <f>'БазНорм (обр)'!B259</f>
        <v>пач.</v>
      </c>
      <c r="C271" s="52">
        <f>'БазНорм (обр)'!C259</f>
        <v>0</v>
      </c>
      <c r="D271" s="181"/>
    </row>
    <row r="272" spans="1:4" ht="25.5" customHeight="1" outlineLevel="3" x14ac:dyDescent="0.3">
      <c r="A272" s="26" t="str">
        <f>'БазНорм (обр)'!A260</f>
        <v>Сода кальценированная 0,4 кг</v>
      </c>
      <c r="B272" s="27" t="str">
        <f>'БазНорм (обр)'!B260</f>
        <v>шт.</v>
      </c>
      <c r="C272" s="52">
        <f>'БазНорм (обр)'!C260</f>
        <v>0.25146689019279128</v>
      </c>
      <c r="D272" s="181"/>
    </row>
    <row r="273" spans="1:4" ht="25.5" customHeight="1" outlineLevel="3" x14ac:dyDescent="0.3">
      <c r="A273" s="26" t="str">
        <f>'БазНорм (обр)'!A261</f>
        <v>Паста чистящая</v>
      </c>
      <c r="B273" s="27" t="str">
        <f>'БазНорм (обр)'!B261</f>
        <v>шт.</v>
      </c>
      <c r="C273" s="52">
        <f>'БазНорм (обр)'!C261</f>
        <v>0.16764459346186086</v>
      </c>
      <c r="D273" s="181"/>
    </row>
    <row r="274" spans="1:4" ht="25.5" customHeight="1" outlineLevel="3" x14ac:dyDescent="0.3">
      <c r="A274" s="26" t="str">
        <f>'БазНорм (обр)'!A262</f>
        <v>Средство для мытья плит 0,75 л.</v>
      </c>
      <c r="B274" s="27" t="str">
        <f>'БазНорм (обр)'!B262</f>
        <v>бут.</v>
      </c>
      <c r="C274" s="52">
        <f>'БазНорм (обр)'!C262</f>
        <v>0</v>
      </c>
      <c r="D274" s="181"/>
    </row>
    <row r="275" spans="1:4" ht="25.5" customHeight="1" outlineLevel="3" x14ac:dyDescent="0.3">
      <c r="A275" s="26" t="str">
        <f>'БазНорм (обр)'!A263</f>
        <v xml:space="preserve">Средсто для мытья посуды </v>
      </c>
      <c r="B275" s="27" t="str">
        <f>'БазНорм (обр)'!B263</f>
        <v>л.</v>
      </c>
      <c r="C275" s="52">
        <f>'БазНорм (обр)'!C263</f>
        <v>0</v>
      </c>
      <c r="D275" s="181"/>
    </row>
    <row r="276" spans="1:4" ht="25.5" customHeight="1" outlineLevel="3" x14ac:dyDescent="0.3">
      <c r="A276" s="26" t="str">
        <f>'БазНорм (обр)'!A264</f>
        <v>Чистящий порошок Пемолюкс 0,45 кг</v>
      </c>
      <c r="B276" s="27" t="str">
        <f>'БазНорм (обр)'!B264</f>
        <v>шт.</v>
      </c>
      <c r="C276" s="52">
        <f>'БазНорм (обр)'!C264</f>
        <v>0.16764459346186086</v>
      </c>
      <c r="D276" s="181"/>
    </row>
    <row r="277" spans="1:4" ht="25.5" customHeight="1" outlineLevel="3" x14ac:dyDescent="0.3">
      <c r="A277" s="26" t="str">
        <f>'БазНорм (обр)'!A265</f>
        <v>Моющее средство для посудомоечной машины 2,5 кг.</v>
      </c>
      <c r="B277" s="27" t="str">
        <f>'БазНорм (обр)'!B265</f>
        <v>упак.</v>
      </c>
      <c r="C277" s="52">
        <f>'БазНорм (обр)'!C265</f>
        <v>0</v>
      </c>
      <c r="D277" s="181"/>
    </row>
    <row r="278" spans="1:4" ht="25.5" customHeight="1" outlineLevel="3" x14ac:dyDescent="0.3">
      <c r="A278" s="26" t="str">
        <f>'БазНорм (обр)'!A266</f>
        <v>Чистящий псредство Доместос 1 л.</v>
      </c>
      <c r="B278" s="27" t="str">
        <f>'БазНорм (обр)'!B266</f>
        <v>бут.</v>
      </c>
      <c r="C278" s="52">
        <f>'БазНорм (обр)'!C266</f>
        <v>0</v>
      </c>
      <c r="D278" s="181"/>
    </row>
    <row r="279" spans="1:4" ht="25.5" customHeight="1" outlineLevel="3" x14ac:dyDescent="0.3">
      <c r="A279" s="26" t="str">
        <f>'БазНорм (обр)'!A267</f>
        <v>Чистящее средство 0,6 л.</v>
      </c>
      <c r="B279" s="27" t="str">
        <f>'БазНорм (обр)'!B267</f>
        <v>бут.</v>
      </c>
      <c r="C279" s="52">
        <f>'БазНорм (обр)'!C267</f>
        <v>0</v>
      </c>
      <c r="D279" s="181"/>
    </row>
    <row r="280" spans="1:4" ht="25.5" customHeight="1" outlineLevel="3" x14ac:dyDescent="0.3">
      <c r="A280" s="26" t="str">
        <f>'БазНорм (обр)'!A268</f>
        <v>Средство для мытья стекол 0,5 л.</v>
      </c>
      <c r="B280" s="27" t="str">
        <f>'БазНорм (обр)'!B268</f>
        <v>бут.</v>
      </c>
      <c r="C280" s="52">
        <f>'БазНорм (обр)'!C268</f>
        <v>0</v>
      </c>
      <c r="D280" s="181"/>
    </row>
    <row r="281" spans="1:4" ht="25.5" customHeight="1" outlineLevel="3" x14ac:dyDescent="0.3">
      <c r="A281" s="26" t="str">
        <f>'БазНорм (обр)'!A269</f>
        <v>Кондиционер для белья Ленор 1 л.</v>
      </c>
      <c r="B281" s="27" t="str">
        <f>'БазНорм (обр)'!B269</f>
        <v>бут.</v>
      </c>
      <c r="C281" s="52">
        <f>'БазНорм (обр)'!C269</f>
        <v>0</v>
      </c>
      <c r="D281" s="181"/>
    </row>
    <row r="282" spans="1:4" ht="25.5" customHeight="1" outlineLevel="3" x14ac:dyDescent="0.3">
      <c r="A282" s="26" t="str">
        <f>'БазНорм (обр)'!A270</f>
        <v>Отбеливатель 1 л.</v>
      </c>
      <c r="B282" s="27" t="str">
        <f>'БазНорм (обр)'!B270</f>
        <v>бут.</v>
      </c>
      <c r="C282" s="52">
        <f>'БазНорм (обр)'!C270</f>
        <v>0</v>
      </c>
      <c r="D282" s="181"/>
    </row>
    <row r="283" spans="1:4" ht="25.5" customHeight="1" outlineLevel="3" x14ac:dyDescent="0.3">
      <c r="A283" s="26" t="str">
        <f>'БазНорм (обр)'!A271</f>
        <v>Чистящее средсво для ванн 1 л.</v>
      </c>
      <c r="B283" s="27" t="str">
        <f>'БазНорм (обр)'!B271</f>
        <v>бут.</v>
      </c>
      <c r="C283" s="52">
        <f>'БазНорм (обр)'!C271</f>
        <v>0</v>
      </c>
      <c r="D283" s="181"/>
    </row>
    <row r="284" spans="1:4" ht="25.5" customHeight="1" outlineLevel="3" x14ac:dyDescent="0.3">
      <c r="A284" s="26" t="str">
        <f>'БазНорм (обр)'!A272</f>
        <v>Жидкое мыло детское</v>
      </c>
      <c r="B284" s="27" t="str">
        <f>'БазНорм (обр)'!B272</f>
        <v>бут.</v>
      </c>
      <c r="C284" s="52">
        <f>'БазНорм (обр)'!C272</f>
        <v>6.286672254819782E-2</v>
      </c>
      <c r="D284" s="181"/>
    </row>
    <row r="285" spans="1:4" ht="25.5" customHeight="1" outlineLevel="3" x14ac:dyDescent="0.3">
      <c r="A285" s="26" t="str">
        <f>'БазНорм (обр)'!A273</f>
        <v>Жидкое мыло детское 5 л.</v>
      </c>
      <c r="B285" s="27" t="str">
        <f>'БазНорм (обр)'!B273</f>
        <v>бут.</v>
      </c>
      <c r="C285" s="52">
        <f>'БазНорм (обр)'!C273</f>
        <v>0</v>
      </c>
      <c r="D285" s="181"/>
    </row>
    <row r="286" spans="1:4" ht="25.5" customHeight="1" outlineLevel="3" x14ac:dyDescent="0.3">
      <c r="A286" s="26" t="str">
        <f>'БазНорм (обр)'!A274</f>
        <v>Освежитель воздуха</v>
      </c>
      <c r="B286" s="27" t="str">
        <f>'БазНорм (обр)'!B274</f>
        <v>бут.</v>
      </c>
      <c r="C286" s="52">
        <f>'БазНорм (обр)'!C274</f>
        <v>0</v>
      </c>
      <c r="D286" s="181"/>
    </row>
    <row r="287" spans="1:4" ht="25.5" customHeight="1" outlineLevel="3" x14ac:dyDescent="0.3">
      <c r="A287" s="26" t="str">
        <f>'БазНорм (обр)'!A275</f>
        <v>Ди-хлор 300 шт.</v>
      </c>
      <c r="B287" s="27" t="str">
        <f>'БазНорм (обр)'!B275</f>
        <v>бан.</v>
      </c>
      <c r="C287" s="52">
        <f>'БазНорм (обр)'!C275</f>
        <v>3.7720033528918694E-2</v>
      </c>
      <c r="D287" s="181"/>
    </row>
    <row r="288" spans="1:4" ht="25.5" customHeight="1" outlineLevel="3" x14ac:dyDescent="0.3">
      <c r="A288" s="26" t="str">
        <f>'БазНорм (обр)'!A276</f>
        <v>Хлорамин</v>
      </c>
      <c r="B288" s="27" t="str">
        <f>'БазНорм (обр)'!B276</f>
        <v>пач.</v>
      </c>
      <c r="C288" s="52">
        <f>'БазНорм (обр)'!C276</f>
        <v>0</v>
      </c>
      <c r="D288" s="181"/>
    </row>
    <row r="289" spans="1:4" ht="25.5" customHeight="1" outlineLevel="3" x14ac:dyDescent="0.3">
      <c r="A289" s="26" t="str">
        <f>'БазНорм (обр)'!A277</f>
        <v>Средство для мытья окон</v>
      </c>
      <c r="B289" s="27" t="str">
        <f>'БазНорм (обр)'!B277</f>
        <v>шт.</v>
      </c>
      <c r="C289" s="52">
        <f>'БазНорм (обр)'!C277</f>
        <v>3.143336127409891E-2</v>
      </c>
      <c r="D289" s="181"/>
    </row>
    <row r="290" spans="1:4" ht="25.5" customHeight="1" outlineLevel="3" x14ac:dyDescent="0.3">
      <c r="A290" s="26" t="str">
        <f>'БазНорм (обр)'!A278</f>
        <v>Оптимакс 1 л.</v>
      </c>
      <c r="B290" s="27" t="str">
        <f>'БазНорм (обр)'!B278</f>
        <v>бан.</v>
      </c>
      <c r="C290" s="52">
        <f>'БазНорм (обр)'!C278</f>
        <v>6.286672254819782E-2</v>
      </c>
      <c r="D290" s="181"/>
    </row>
    <row r="291" spans="1:4" ht="25.5" customHeight="1" outlineLevel="3" x14ac:dyDescent="0.3">
      <c r="A291" s="26" t="str">
        <f>'БазНорм (обр)'!A279</f>
        <v>Жавель солид</v>
      </c>
      <c r="B291" s="27" t="str">
        <f>'БазНорм (обр)'!B279</f>
        <v>бут.</v>
      </c>
      <c r="C291" s="52">
        <f>'БазНорм (обр)'!C279</f>
        <v>0</v>
      </c>
      <c r="D291" s="181"/>
    </row>
    <row r="292" spans="1:4" ht="25.5" customHeight="1" outlineLevel="3" x14ac:dyDescent="0.3">
      <c r="A292" s="26" t="str">
        <f>'БазНорм (обр)'!A280</f>
        <v>Химический индикатор 50 шт.</v>
      </c>
      <c r="B292" s="27" t="str">
        <f>'БазНорм (обр)'!B280</f>
        <v>упак.</v>
      </c>
      <c r="C292" s="52">
        <f>'БазНорм (обр)'!C280</f>
        <v>0</v>
      </c>
      <c r="D292" s="181"/>
    </row>
    <row r="293" spans="1:4" ht="25.5" customHeight="1" outlineLevel="3" x14ac:dyDescent="0.3">
      <c r="A293" s="26" t="str">
        <f>'БазНорм (обр)'!A281</f>
        <v>Средство САНФОР 750 мл</v>
      </c>
      <c r="B293" s="27" t="str">
        <f>'БазНорм (обр)'!B281</f>
        <v>шт.</v>
      </c>
      <c r="C293" s="52">
        <f>'БазНорм (обр)'!C281</f>
        <v>6.286672254819782E-2</v>
      </c>
      <c r="D293" s="181"/>
    </row>
    <row r="294" spans="1:4" ht="25.5" customHeight="1" outlineLevel="3" x14ac:dyDescent="0.3">
      <c r="A294" s="26" t="str">
        <f>'БазНорм (обр)'!A282</f>
        <v>Средство для чистки туалетов (САНОКС)</v>
      </c>
      <c r="B294" s="27" t="str">
        <f>'БазНорм (обр)'!B282</f>
        <v>шт.</v>
      </c>
      <c r="C294" s="52">
        <f>'БазНорм (обр)'!C282</f>
        <v>0</v>
      </c>
      <c r="D294" s="181"/>
    </row>
    <row r="295" spans="1:4" ht="25.5" customHeight="1" outlineLevel="3" x14ac:dyDescent="0.3">
      <c r="A295" s="26" t="str">
        <f>'БазНорм (обр)'!A283</f>
        <v>Средство дизенфицирующее Дихлор(300 таблеток)</v>
      </c>
      <c r="B295" s="27" t="str">
        <f>'БазНорм (обр)'!B283</f>
        <v>шт.</v>
      </c>
      <c r="C295" s="52">
        <f>'БазНорм (обр)'!C283</f>
        <v>3.143336127409891E-2</v>
      </c>
      <c r="D295" s="181"/>
    </row>
    <row r="296" spans="1:4" ht="25.5" customHeight="1" outlineLevel="3" x14ac:dyDescent="0.3">
      <c r="A296" s="26" t="str">
        <f>'БазНорм (обр)'!A284</f>
        <v>Средство для мытья пола 5 л</v>
      </c>
      <c r="B296" s="27" t="str">
        <f>'БазНорм (обр)'!B284</f>
        <v>шт.</v>
      </c>
      <c r="C296" s="52">
        <f>'БазНорм (обр)'!C284</f>
        <v>6.286672254819782E-2</v>
      </c>
      <c r="D296" s="181"/>
    </row>
    <row r="297" spans="1:4" s="60" customFormat="1" ht="25.5" customHeight="1" outlineLevel="2" x14ac:dyDescent="0.3">
      <c r="A297" s="33" t="s">
        <v>31</v>
      </c>
      <c r="B297" s="34" t="s">
        <v>3</v>
      </c>
      <c r="C297" s="51" t="s">
        <v>3</v>
      </c>
      <c r="D297" s="181"/>
    </row>
    <row r="298" spans="1:4" ht="25.5" customHeight="1" outlineLevel="3" x14ac:dyDescent="0.3">
      <c r="A298" s="26" t="str">
        <f>'БазНорм (обр)'!A286</f>
        <v>Спец одежда. Костюм мужской</v>
      </c>
      <c r="B298" s="27" t="str">
        <f>'БазНорм (обр)'!B286</f>
        <v>шт.</v>
      </c>
      <c r="C298" s="52">
        <f>'БазНорм (обр)'!C286</f>
        <v>0</v>
      </c>
      <c r="D298" s="181"/>
    </row>
    <row r="299" spans="1:4" ht="25.5" customHeight="1" outlineLevel="3" x14ac:dyDescent="0.3">
      <c r="A299" s="26" t="str">
        <f>'БазНорм (обр)'!A287</f>
        <v>Спец одежда. Халат женскй</v>
      </c>
      <c r="B299" s="27" t="str">
        <f>'БазНорм (обр)'!B287</f>
        <v>шт.</v>
      </c>
      <c r="C299" s="52">
        <f>'БазНорм (обр)'!C287</f>
        <v>0</v>
      </c>
      <c r="D299" s="181"/>
    </row>
    <row r="300" spans="1:4" ht="25.5" customHeight="1" outlineLevel="3" x14ac:dyDescent="0.3">
      <c r="A300" s="26" t="str">
        <f>'БазНорм (обр)'!A288</f>
        <v>Халат капроновый рабочий</v>
      </c>
      <c r="B300" s="27" t="str">
        <f>'БазНорм (обр)'!B288</f>
        <v>шт.</v>
      </c>
      <c r="C300" s="52">
        <f>'БазНорм (обр)'!C288</f>
        <v>0</v>
      </c>
      <c r="D300" s="181"/>
    </row>
    <row r="301" spans="1:4" s="60" customFormat="1" ht="25.5" customHeight="1" outlineLevel="2" x14ac:dyDescent="0.3">
      <c r="A301" s="33" t="s">
        <v>479</v>
      </c>
      <c r="B301" s="34" t="s">
        <v>3</v>
      </c>
      <c r="C301" s="51" t="s">
        <v>3</v>
      </c>
      <c r="D301" s="181"/>
    </row>
    <row r="302" spans="1:4" ht="25.5" customHeight="1" outlineLevel="3" x14ac:dyDescent="0.3">
      <c r="A302" s="26" t="str">
        <f>'БазНорм (обр)'!A290</f>
        <v>Ножовка по металлу 300мм(5 см,полотен)</v>
      </c>
      <c r="B302" s="27" t="str">
        <f>'БазНорм (обр)'!B290</f>
        <v>шт.</v>
      </c>
      <c r="C302" s="52">
        <f>'БазНорм (обр)'!C290</f>
        <v>0</v>
      </c>
      <c r="D302" s="181"/>
    </row>
    <row r="303" spans="1:4" ht="25.5" customHeight="1" outlineLevel="3" x14ac:dyDescent="0.3">
      <c r="A303" s="26" t="str">
        <f>'БазНорм (обр)'!A291</f>
        <v>Ножовка по дереву 350мм</v>
      </c>
      <c r="B303" s="27" t="str">
        <f>'БазНорм (обр)'!B291</f>
        <v>шт.</v>
      </c>
      <c r="C303" s="52">
        <f>'БазНорм (обр)'!C291</f>
        <v>0</v>
      </c>
      <c r="D303" s="181"/>
    </row>
    <row r="304" spans="1:4" ht="25.5" customHeight="1" outlineLevel="3" x14ac:dyDescent="0.3">
      <c r="A304" s="26" t="str">
        <f>'БазНорм (обр)'!A292</f>
        <v>Стамеска  16мм</v>
      </c>
      <c r="B304" s="27" t="str">
        <f>'БазНорм (обр)'!B292</f>
        <v>шт.</v>
      </c>
      <c r="C304" s="52">
        <f>'БазНорм (обр)'!C292</f>
        <v>0</v>
      </c>
      <c r="D304" s="181"/>
    </row>
    <row r="305" spans="1:4" ht="25.5" customHeight="1" outlineLevel="3" x14ac:dyDescent="0.3">
      <c r="A305" s="26" t="str">
        <f>'БазНорм (обр)'!A293</f>
        <v>Молоток</v>
      </c>
      <c r="B305" s="27" t="str">
        <f>'БазНорм (обр)'!B293</f>
        <v>шт.</v>
      </c>
      <c r="C305" s="52">
        <f>'БазНорм (обр)'!C293</f>
        <v>0</v>
      </c>
      <c r="D305" s="181"/>
    </row>
    <row r="306" spans="1:4" ht="25.5" customHeight="1" outlineLevel="3" x14ac:dyDescent="0.3">
      <c r="A306" s="26" t="str">
        <f>'БазНорм (обр)'!A294</f>
        <v>Набор напильников</v>
      </c>
      <c r="B306" s="27" t="str">
        <f>'БазНорм (обр)'!B294</f>
        <v>шт.</v>
      </c>
      <c r="C306" s="52">
        <f>'БазНорм (обр)'!C294</f>
        <v>0</v>
      </c>
      <c r="D306" s="181"/>
    </row>
    <row r="307" spans="1:4" ht="25.5" customHeight="1" outlineLevel="3" x14ac:dyDescent="0.3">
      <c r="A307" s="26" t="str">
        <f>'БазНорм (обр)'!A295</f>
        <v>Ведро пластик 10л</v>
      </c>
      <c r="B307" s="27" t="str">
        <f>'БазНорм (обр)'!B295</f>
        <v>шт.</v>
      </c>
      <c r="C307" s="52">
        <f>'БазНорм (обр)'!C295</f>
        <v>0</v>
      </c>
      <c r="D307" s="181"/>
    </row>
    <row r="308" spans="1:4" ht="25.5" customHeight="1" outlineLevel="3" x14ac:dyDescent="0.3">
      <c r="A308" s="26" t="str">
        <f>'БазНорм (обр)'!A296</f>
        <v>Ведро оцинкованное 15л</v>
      </c>
      <c r="B308" s="27" t="str">
        <f>'БазНорм (обр)'!B296</f>
        <v>шт.</v>
      </c>
      <c r="C308" s="52">
        <f>'БазНорм (обр)'!C296</f>
        <v>0</v>
      </c>
      <c r="D308" s="181"/>
    </row>
    <row r="309" spans="1:4" ht="25.5" customHeight="1" outlineLevel="3" x14ac:dyDescent="0.3">
      <c r="A309" s="26" t="str">
        <f>'БазНорм (обр)'!A297</f>
        <v>Ерш унитазный</v>
      </c>
      <c r="B309" s="27" t="str">
        <f>'БазНорм (обр)'!B297</f>
        <v>шт.</v>
      </c>
      <c r="C309" s="52">
        <f>'БазНорм (обр)'!C297</f>
        <v>0</v>
      </c>
      <c r="D309" s="181"/>
    </row>
    <row r="310" spans="1:4" ht="25.5" customHeight="1" outlineLevel="3" x14ac:dyDescent="0.3">
      <c r="A310" s="26" t="str">
        <f>'БазНорм (обр)'!A298</f>
        <v xml:space="preserve">Замок врезной </v>
      </c>
      <c r="B310" s="27" t="str">
        <f>'БазНорм (обр)'!B298</f>
        <v>шт.</v>
      </c>
      <c r="C310" s="52">
        <f>'БазНорм (обр)'!C298</f>
        <v>0</v>
      </c>
      <c r="D310" s="181"/>
    </row>
    <row r="311" spans="1:4" ht="25.5" customHeight="1" outlineLevel="3" x14ac:dyDescent="0.3">
      <c r="A311" s="26" t="str">
        <f>'БазНорм (обр)'!A299</f>
        <v>Замок навесной</v>
      </c>
      <c r="B311" s="27" t="str">
        <f>'БазНорм (обр)'!B299</f>
        <v>шт.</v>
      </c>
      <c r="C311" s="52">
        <f>'БазНорм (обр)'!C299</f>
        <v>0</v>
      </c>
      <c r="D311" s="181"/>
    </row>
    <row r="312" spans="1:4" ht="25.5" customHeight="1" outlineLevel="3" x14ac:dyDescent="0.3">
      <c r="A312" s="26" t="str">
        <f>'БазНорм (обр)'!A300</f>
        <v>Изолента</v>
      </c>
      <c r="B312" s="27" t="str">
        <f>'БазНорм (обр)'!B300</f>
        <v>шт.</v>
      </c>
      <c r="C312" s="52">
        <f>'БазНорм (обр)'!C300</f>
        <v>0</v>
      </c>
      <c r="D312" s="181"/>
    </row>
    <row r="313" spans="1:4" ht="25.5" customHeight="1" outlineLevel="3" x14ac:dyDescent="0.3">
      <c r="A313" s="26" t="str">
        <f>'БазНорм (обр)'!A301</f>
        <v>Лопата снеговая с черенком</v>
      </c>
      <c r="B313" s="27" t="str">
        <f>'БазНорм (обр)'!B301</f>
        <v>шт.</v>
      </c>
      <c r="C313" s="52">
        <f>'БазНорм (обр)'!C301</f>
        <v>0</v>
      </c>
      <c r="D313" s="181"/>
    </row>
    <row r="314" spans="1:4" ht="25.5" customHeight="1" outlineLevel="3" x14ac:dyDescent="0.3">
      <c r="A314" s="26" t="str">
        <f>'БазНорм (обр)'!A302</f>
        <v>Лопата совковая с черенком</v>
      </c>
      <c r="B314" s="27" t="str">
        <f>'БазНорм (обр)'!B302</f>
        <v>шт.</v>
      </c>
      <c r="C314" s="52">
        <f>'БазНорм (обр)'!C302</f>
        <v>0</v>
      </c>
      <c r="D314" s="181"/>
    </row>
    <row r="315" spans="1:4" ht="25.5" customHeight="1" outlineLevel="3" x14ac:dyDescent="0.3">
      <c r="A315" s="26" t="str">
        <f>'БазНорм (обр)'!A303</f>
        <v>Лопата штыковая с черенком</v>
      </c>
      <c r="B315" s="27" t="str">
        <f>'БазНорм (обр)'!B303</f>
        <v>шт.</v>
      </c>
      <c r="C315" s="52">
        <f>'БазНорм (обр)'!C303</f>
        <v>0</v>
      </c>
      <c r="D315" s="181"/>
    </row>
    <row r="316" spans="1:4" ht="25.5" customHeight="1" outlineLevel="3" x14ac:dyDescent="0.3">
      <c r="A316" s="26" t="str">
        <f>'БазНорм (обр)'!A304</f>
        <v>Мешок п/п зеленый</v>
      </c>
      <c r="B316" s="27" t="str">
        <f>'БазНорм (обр)'!B304</f>
        <v>шт.</v>
      </c>
      <c r="C316" s="52">
        <f>'БазНорм (обр)'!C304</f>
        <v>0</v>
      </c>
      <c r="D316" s="181"/>
    </row>
    <row r="317" spans="1:4" ht="25.5" customHeight="1" outlineLevel="3" x14ac:dyDescent="0.3">
      <c r="A317" s="26" t="str">
        <f>'БазНорм (обр)'!A305</f>
        <v>Насадка на швабру</v>
      </c>
      <c r="B317" s="27" t="str">
        <f>'БазНорм (обр)'!B305</f>
        <v>шт.</v>
      </c>
      <c r="C317" s="52">
        <f>'БазНорм (обр)'!C305</f>
        <v>0</v>
      </c>
      <c r="D317" s="181"/>
    </row>
    <row r="318" spans="1:4" ht="25.5" customHeight="1" outlineLevel="3" x14ac:dyDescent="0.3">
      <c r="A318" s="26" t="str">
        <f>'БазНорм (обр)'!A306</f>
        <v>Швабра для пола</v>
      </c>
      <c r="B318" s="27" t="str">
        <f>'БазНорм (обр)'!B306</f>
        <v>шт.</v>
      </c>
      <c r="C318" s="52">
        <f>'БазНорм (обр)'!C306</f>
        <v>0</v>
      </c>
      <c r="D318" s="181"/>
    </row>
    <row r="319" spans="1:4" ht="25.5" customHeight="1" outlineLevel="3" x14ac:dyDescent="0.3">
      <c r="A319" s="26" t="str">
        <f>'БазНорм (обр)'!A307</f>
        <v>Веник пластик</v>
      </c>
      <c r="B319" s="27" t="str">
        <f>'БазНорм (обр)'!B307</f>
        <v>шт.</v>
      </c>
      <c r="C319" s="52">
        <f>'БазНорм (обр)'!C307</f>
        <v>0</v>
      </c>
      <c r="D319" s="181"/>
    </row>
    <row r="320" spans="1:4" ht="25.5" customHeight="1" outlineLevel="3" x14ac:dyDescent="0.3">
      <c r="A320" s="26" t="str">
        <f>'БазНорм (обр)'!A308</f>
        <v>Пакеты для мусора 120 л черные</v>
      </c>
      <c r="B320" s="27" t="str">
        <f>'БазНорм (обр)'!B308</f>
        <v>шт.</v>
      </c>
      <c r="C320" s="52">
        <f>'БазНорм (обр)'!C308</f>
        <v>0</v>
      </c>
      <c r="D320" s="181"/>
    </row>
    <row r="321" spans="1:4" ht="25.5" customHeight="1" outlineLevel="3" x14ac:dyDescent="0.3">
      <c r="A321" s="26" t="str">
        <f>'БазНорм (обр)'!A309</f>
        <v>Пакеты для мусора 30л.*50 шт.</v>
      </c>
      <c r="B321" s="27" t="str">
        <f>'БазНорм (обр)'!B309</f>
        <v>ролик</v>
      </c>
      <c r="C321" s="52">
        <f>'БазНорм (обр)'!C309</f>
        <v>0</v>
      </c>
      <c r="D321" s="181"/>
    </row>
    <row r="322" spans="1:4" ht="25.5" customHeight="1" outlineLevel="3" x14ac:dyDescent="0.3">
      <c r="A322" s="26" t="str">
        <f>'БазНорм (обр)'!A310</f>
        <v>Пакеты для мусора 120 л. *10 шт.</v>
      </c>
      <c r="B322" s="27" t="str">
        <f>'БазНорм (обр)'!B310</f>
        <v>ролик</v>
      </c>
      <c r="C322" s="52">
        <f>'БазНорм (обр)'!C310</f>
        <v>0</v>
      </c>
      <c r="D322" s="181"/>
    </row>
    <row r="323" spans="1:4" ht="25.5" customHeight="1" outlineLevel="3" x14ac:dyDescent="0.3">
      <c r="A323" s="26" t="str">
        <f>'БазНорм (обр)'!A311</f>
        <v>Перчатки латексные</v>
      </c>
      <c r="B323" s="27" t="str">
        <f>'БазНорм (обр)'!B311</f>
        <v>пар.</v>
      </c>
      <c r="C323" s="52">
        <f>'БазНорм (обр)'!C311</f>
        <v>0</v>
      </c>
      <c r="D323" s="181"/>
    </row>
    <row r="324" spans="1:4" ht="25.5" customHeight="1" outlineLevel="3" x14ac:dyDescent="0.3">
      <c r="A324" s="26" t="str">
        <f>'БазНорм (обр)'!A312</f>
        <v>Перчатки резиновые НЭП</v>
      </c>
      <c r="B324" s="27" t="str">
        <f>'БазНорм (обр)'!B312</f>
        <v>пар.</v>
      </c>
      <c r="C324" s="52">
        <f>'БазНорм (обр)'!C312</f>
        <v>0</v>
      </c>
      <c r="D324" s="181"/>
    </row>
    <row r="325" spans="1:4" ht="25.5" customHeight="1" outlineLevel="3" x14ac:dyDescent="0.3">
      <c r="A325" s="26" t="str">
        <f>'БазНорм (обр)'!A313</f>
        <v>Перчатки ХБ ПВХ</v>
      </c>
      <c r="B325" s="27" t="str">
        <f>'БазНорм (обр)'!B313</f>
        <v>пар.</v>
      </c>
      <c r="C325" s="52">
        <f>'БазНорм (обр)'!C313</f>
        <v>0</v>
      </c>
      <c r="D325" s="181"/>
    </row>
    <row r="326" spans="1:4" ht="25.5" customHeight="1" outlineLevel="3" x14ac:dyDescent="0.3">
      <c r="A326" s="26" t="str">
        <f>'БазНорм (обр)'!A314</f>
        <v>Полотно вафельное</v>
      </c>
      <c r="B326" s="27" t="str">
        <f>'БазНорм (обр)'!B314</f>
        <v>шт.</v>
      </c>
      <c r="C326" s="52">
        <f>'БазНорм (обр)'!C314</f>
        <v>0</v>
      </c>
      <c r="D326" s="181"/>
    </row>
    <row r="327" spans="1:4" ht="25.5" customHeight="1" outlineLevel="3" x14ac:dyDescent="0.3">
      <c r="A327" s="26" t="str">
        <f>'БазНорм (обр)'!A315</f>
        <v>Полотенечная ткань</v>
      </c>
      <c r="B327" s="27" t="str">
        <f>'БазНорм (обр)'!B315</f>
        <v>м</v>
      </c>
      <c r="C327" s="52">
        <f>'БазНорм (обр)'!C315</f>
        <v>0</v>
      </c>
      <c r="D327" s="181"/>
    </row>
    <row r="328" spans="1:4" ht="25.5" customHeight="1" outlineLevel="3" x14ac:dyDescent="0.3">
      <c r="A328" s="26" t="str">
        <f>'БазНорм (обр)'!A316</f>
        <v>Полотно для мытья пола</v>
      </c>
      <c r="B328" s="27" t="str">
        <f>'БазНорм (обр)'!B316</f>
        <v>шт.</v>
      </c>
      <c r="C328" s="52">
        <f>'БазНорм (обр)'!C316</f>
        <v>0</v>
      </c>
      <c r="D328" s="181"/>
    </row>
    <row r="329" spans="1:4" ht="25.5" customHeight="1" outlineLevel="3" x14ac:dyDescent="0.3">
      <c r="A329" s="26" t="str">
        <f>'БазНорм (обр)'!A317</f>
        <v>Швабра отжим. губ с ведром</v>
      </c>
      <c r="B329" s="27" t="str">
        <f>'БазНорм (обр)'!B317</f>
        <v>шт.</v>
      </c>
      <c r="C329" s="52">
        <f>'БазНорм (обр)'!C317</f>
        <v>0</v>
      </c>
      <c r="D329" s="181"/>
    </row>
    <row r="330" spans="1:4" ht="25.5" customHeight="1" outlineLevel="3" x14ac:dyDescent="0.3">
      <c r="A330" s="26" t="str">
        <f>'БазНорм (обр)'!A318</f>
        <v>Перфоратор аккумуляторный</v>
      </c>
      <c r="B330" s="27" t="str">
        <f>'БазНорм (обр)'!B318</f>
        <v>шт.</v>
      </c>
      <c r="C330" s="52">
        <f>'БазНорм (обр)'!C318</f>
        <v>0</v>
      </c>
      <c r="D330" s="181"/>
    </row>
    <row r="331" spans="1:4" ht="25.5" customHeight="1" outlineLevel="3" x14ac:dyDescent="0.3">
      <c r="A331" s="26" t="str">
        <f>'БазНорм (обр)'!A319</f>
        <v>Бензиновый триммер</v>
      </c>
      <c r="B331" s="27" t="str">
        <f>'БазНорм (обр)'!B319</f>
        <v>шт.</v>
      </c>
      <c r="C331" s="52">
        <f>'БазНорм (обр)'!C319</f>
        <v>0</v>
      </c>
      <c r="D331" s="181"/>
    </row>
    <row r="332" spans="1:4" ht="25.5" customHeight="1" outlineLevel="3" x14ac:dyDescent="0.3">
      <c r="A332" s="26" t="str">
        <f>'БазНорм (обр)'!A320</f>
        <v xml:space="preserve">Рубанок HAMMER </v>
      </c>
      <c r="B332" s="27" t="str">
        <f>'БазНорм (обр)'!B320</f>
        <v>шт.</v>
      </c>
      <c r="C332" s="52">
        <f>'БазНорм (обр)'!C320</f>
        <v>0</v>
      </c>
      <c r="D332" s="181"/>
    </row>
    <row r="333" spans="1:4" ht="25.5" customHeight="1" outlineLevel="3" x14ac:dyDescent="0.3">
      <c r="A333" s="26" t="str">
        <f>'БазНорм (обр)'!A321</f>
        <v>Пила циркулярная HAMMER</v>
      </c>
      <c r="B333" s="27" t="str">
        <f>'БазНорм (обр)'!B321</f>
        <v>шт.</v>
      </c>
      <c r="C333" s="52">
        <f>'БазНорм (обр)'!C321</f>
        <v>0</v>
      </c>
      <c r="D333" s="181"/>
    </row>
    <row r="334" spans="1:4" ht="25.5" customHeight="1" outlineLevel="3" x14ac:dyDescent="0.3">
      <c r="A334" s="26" t="str">
        <f>'БазНорм (обр)'!A322</f>
        <v>Точило HAMMER</v>
      </c>
      <c r="B334" s="27" t="str">
        <f>'БазНорм (обр)'!B322</f>
        <v>шт.</v>
      </c>
      <c r="C334" s="52">
        <f>'БазНорм (обр)'!C322</f>
        <v>0</v>
      </c>
      <c r="D334" s="181"/>
    </row>
    <row r="335" spans="1:4" ht="25.5" customHeight="1" outlineLevel="3" x14ac:dyDescent="0.3">
      <c r="A335" s="26" t="str">
        <f>'БазНорм (обр)'!A323</f>
        <v>Набор сверл по металлу от 1 до 10(19шт)</v>
      </c>
      <c r="B335" s="27" t="str">
        <f>'БазНорм (обр)'!B323</f>
        <v>шт.</v>
      </c>
      <c r="C335" s="52">
        <f>'БазНорм (обр)'!C323</f>
        <v>0</v>
      </c>
      <c r="D335" s="181"/>
    </row>
    <row r="336" spans="1:4" ht="25.5" customHeight="1" outlineLevel="3" x14ac:dyDescent="0.3">
      <c r="A336" s="26" t="str">
        <f>'БазНорм (обр)'!A324</f>
        <v>Тряпкодержатель с салфеткой для пола усиленный</v>
      </c>
      <c r="B336" s="27" t="str">
        <f>'БазНорм (обр)'!B324</f>
        <v>шт.</v>
      </c>
      <c r="C336" s="52">
        <f>'БазНорм (обр)'!C324</f>
        <v>0</v>
      </c>
      <c r="D336" s="181"/>
    </row>
    <row r="337" spans="1:4" ht="25.5" customHeight="1" outlineLevel="3" x14ac:dyDescent="0.3">
      <c r="A337" s="26" t="str">
        <f>'БазНорм (обр)'!A325</f>
        <v>Замки навесные маленькие</v>
      </c>
      <c r="B337" s="27" t="str">
        <f>'БазНорм (обр)'!B325</f>
        <v>шт.</v>
      </c>
      <c r="C337" s="52">
        <f>'БазНорм (обр)'!C325</f>
        <v>0</v>
      </c>
      <c r="D337" s="181"/>
    </row>
    <row r="338" spans="1:4" ht="25.5" customHeight="1" outlineLevel="3" x14ac:dyDescent="0.3">
      <c r="A338" s="26" t="str">
        <f>'БазНорм (обр)'!A326</f>
        <v>Замки навесные большие</v>
      </c>
      <c r="B338" s="27" t="str">
        <f>'БазНорм (обр)'!B326</f>
        <v>шт.</v>
      </c>
      <c r="C338" s="52">
        <f>'БазНорм (обр)'!C326</f>
        <v>0</v>
      </c>
      <c r="D338" s="181"/>
    </row>
    <row r="339" spans="1:4" ht="25.5" customHeight="1" outlineLevel="3" x14ac:dyDescent="0.3">
      <c r="A339" s="26" t="str">
        <f>'БазНорм (обр)'!A327</f>
        <v>Знаки вспомогательные</v>
      </c>
      <c r="B339" s="27" t="str">
        <f>'БазНорм (обр)'!B327</f>
        <v>шт.</v>
      </c>
      <c r="C339" s="52">
        <f>'БазНорм (обр)'!C327</f>
        <v>0</v>
      </c>
      <c r="D339" s="181"/>
    </row>
    <row r="340" spans="1:4" ht="25.5" customHeight="1" outlineLevel="3" x14ac:dyDescent="0.3">
      <c r="A340" s="26" t="str">
        <f>'БазНорм (обр)'!A328</f>
        <v>Знаки эвакуационные</v>
      </c>
      <c r="B340" s="27" t="str">
        <f>'БазНорм (обр)'!B328</f>
        <v>шт.</v>
      </c>
      <c r="C340" s="52">
        <f>'БазНорм (обр)'!C328</f>
        <v>0</v>
      </c>
      <c r="D340" s="181"/>
    </row>
    <row r="341" spans="1:4" ht="25.5" customHeight="1" outlineLevel="3" x14ac:dyDescent="0.3">
      <c r="A341" s="26" t="str">
        <f>'БазНорм (обр)'!A329</f>
        <v>Бумага туалетная</v>
      </c>
      <c r="B341" s="27" t="str">
        <f>'БазНорм (обр)'!B329</f>
        <v>рулон</v>
      </c>
      <c r="C341" s="52">
        <f>'БазНорм (обр)'!C329</f>
        <v>0</v>
      </c>
      <c r="D341" s="181"/>
    </row>
    <row r="342" spans="1:4" ht="25.5" customHeight="1" outlineLevel="3" x14ac:dyDescent="0.3">
      <c r="A342" s="26" t="str">
        <f>'БазНорм (обр)'!A330</f>
        <v>Бумажные полотенца 2 шт.</v>
      </c>
      <c r="B342" s="27" t="str">
        <f>'БазНорм (обр)'!B330</f>
        <v>упак.</v>
      </c>
      <c r="C342" s="52">
        <f>'БазНорм (обр)'!C330</f>
        <v>0</v>
      </c>
      <c r="D342" s="181"/>
    </row>
    <row r="343" spans="1:4" ht="25.5" customHeight="1" outlineLevel="3" x14ac:dyDescent="0.3">
      <c r="A343" s="26" t="str">
        <f>'БазНорм (обр)'!A331</f>
        <v>Салфетки</v>
      </c>
      <c r="B343" s="27" t="str">
        <f>'БазНорм (обр)'!B331</f>
        <v>пач.</v>
      </c>
      <c r="C343" s="52">
        <f>'БазНорм (обр)'!C331</f>
        <v>0</v>
      </c>
      <c r="D343" s="181"/>
    </row>
    <row r="344" spans="1:4" ht="25.5" customHeight="1" outlineLevel="3" x14ac:dyDescent="0.3">
      <c r="A344" s="26" t="str">
        <f>'БазНорм (обр)'!A332</f>
        <v>Салфетки из микрофибры</v>
      </c>
      <c r="B344" s="27" t="str">
        <f>'БазНорм (обр)'!B332</f>
        <v>пач.</v>
      </c>
      <c r="C344" s="52">
        <f>'БазНорм (обр)'!C332</f>
        <v>0</v>
      </c>
      <c r="D344" s="181"/>
    </row>
    <row r="345" spans="1:4" ht="25.5" customHeight="1" outlineLevel="3" x14ac:dyDescent="0.3">
      <c r="A345" s="26" t="str">
        <f>'БазНорм (обр)'!A333</f>
        <v>Платочки бумажные</v>
      </c>
      <c r="B345" s="27" t="str">
        <f>'БазНорм (обр)'!B333</f>
        <v>упак.</v>
      </c>
      <c r="C345" s="52">
        <f>'БазНорм (обр)'!C333</f>
        <v>0</v>
      </c>
      <c r="D345" s="181"/>
    </row>
    <row r="346" spans="1:4" x14ac:dyDescent="0.3">
      <c r="A346" s="8"/>
    </row>
    <row r="347" spans="1:4" ht="37.5" customHeight="1" x14ac:dyDescent="0.3">
      <c r="A347" s="8" t="s">
        <v>91</v>
      </c>
      <c r="B347" s="58"/>
      <c r="C347" s="58"/>
    </row>
    <row r="348" spans="1:4" ht="17.25" customHeight="1" x14ac:dyDescent="0.3">
      <c r="A348" s="188" t="s">
        <v>92</v>
      </c>
      <c r="B348" s="188"/>
      <c r="C348" s="188"/>
      <c r="D348" s="188"/>
    </row>
    <row r="349" spans="1:4" ht="44.25" customHeight="1" x14ac:dyDescent="0.3">
      <c r="A349" s="188" t="s">
        <v>93</v>
      </c>
      <c r="B349" s="188"/>
      <c r="C349" s="188"/>
      <c r="D349" s="188"/>
    </row>
    <row r="350" spans="1:4" ht="42.75" customHeight="1" x14ac:dyDescent="0.3">
      <c r="A350" s="188" t="s">
        <v>93</v>
      </c>
      <c r="B350" s="188"/>
      <c r="C350" s="188"/>
      <c r="D350" s="188"/>
    </row>
    <row r="351" spans="1:4" ht="19.899999999999999" customHeight="1" x14ac:dyDescent="0.3">
      <c r="A351" s="188" t="s">
        <v>94</v>
      </c>
      <c r="B351" s="188"/>
      <c r="C351" s="188"/>
      <c r="D351" s="188"/>
    </row>
    <row r="352" spans="1:4" ht="36.65" customHeight="1" x14ac:dyDescent="0.3">
      <c r="A352" s="188" t="s">
        <v>95</v>
      </c>
      <c r="B352" s="188"/>
      <c r="C352" s="188"/>
      <c r="D352" s="188"/>
    </row>
  </sheetData>
  <mergeCells count="31">
    <mergeCell ref="A352:D352"/>
    <mergeCell ref="A220:D220"/>
    <mergeCell ref="D221:D345"/>
    <mergeCell ref="A348:D348"/>
    <mergeCell ref="A349:D349"/>
    <mergeCell ref="A350:D350"/>
    <mergeCell ref="A351:D351"/>
    <mergeCell ref="A216:D216"/>
    <mergeCell ref="A91:D91"/>
    <mergeCell ref="D92:D165"/>
    <mergeCell ref="A166:D166"/>
    <mergeCell ref="A167:D167"/>
    <mergeCell ref="D209:D211"/>
    <mergeCell ref="A208:D208"/>
    <mergeCell ref="A212:D212"/>
    <mergeCell ref="D177:D205"/>
    <mergeCell ref="A206:D206"/>
    <mergeCell ref="D168:D175"/>
    <mergeCell ref="A176:D176"/>
    <mergeCell ref="A4:D4"/>
    <mergeCell ref="A5:D5"/>
    <mergeCell ref="A6:D6"/>
    <mergeCell ref="A7:D7"/>
    <mergeCell ref="A16:D16"/>
    <mergeCell ref="A19:D19"/>
    <mergeCell ref="D20:D90"/>
    <mergeCell ref="A11:D11"/>
    <mergeCell ref="A12:D12"/>
    <mergeCell ref="A13:D13"/>
    <mergeCell ref="A14:D14"/>
    <mergeCell ref="A15:D15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25</vt:i4>
      </vt:variant>
    </vt:vector>
  </HeadingPairs>
  <TitlesOfParts>
    <vt:vector size="42" baseType="lpstr">
      <vt:lpstr>Черновик</vt:lpstr>
      <vt:lpstr>БазНорм (обр)</vt:lpstr>
      <vt:lpstr>БазНорм (лагеря)</vt:lpstr>
      <vt:lpstr>Внимание!</vt:lpstr>
      <vt:lpstr>1.1.</vt:lpstr>
      <vt:lpstr>1.2.</vt:lpstr>
      <vt:lpstr>2.1.</vt:lpstr>
      <vt:lpstr>2.2.</vt:lpstr>
      <vt:lpstr>3.1.</vt:lpstr>
      <vt:lpstr>3.2.</vt:lpstr>
      <vt:lpstr>4.1.</vt:lpstr>
      <vt:lpstr>4.2.</vt:lpstr>
      <vt:lpstr>5.1.</vt:lpstr>
      <vt:lpstr>5.2.</vt:lpstr>
      <vt:lpstr>6.</vt:lpstr>
      <vt:lpstr>7.</vt:lpstr>
      <vt:lpstr>8.</vt:lpstr>
      <vt:lpstr>'1.1.'!Заголовки_для_печати</vt:lpstr>
      <vt:lpstr>'1.2.'!Заголовки_для_печати</vt:lpstr>
      <vt:lpstr>'2.1.'!Заголовки_для_печати</vt:lpstr>
      <vt:lpstr>'2.2.'!Заголовки_для_печати</vt:lpstr>
      <vt:lpstr>'3.1.'!Заголовки_для_печати</vt:lpstr>
      <vt:lpstr>'3.2.'!Заголовки_для_печати</vt:lpstr>
      <vt:lpstr>'4.1.'!Заголовки_для_печати</vt:lpstr>
      <vt:lpstr>'4.2.'!Заголовки_для_печати</vt:lpstr>
      <vt:lpstr>'5.1.'!Заголовки_для_печати</vt:lpstr>
      <vt:lpstr>'5.2.'!Заголовки_для_печати</vt:lpstr>
      <vt:lpstr>'7.'!Заголовки_для_печати</vt:lpstr>
      <vt:lpstr>Черновик!Заголовки_для_печати</vt:lpstr>
      <vt:lpstr>'1.1.'!Область_печати</vt:lpstr>
      <vt:lpstr>'1.2.'!Область_печати</vt:lpstr>
      <vt:lpstr>'2.1.'!Область_печати</vt:lpstr>
      <vt:lpstr>'2.2.'!Область_печати</vt:lpstr>
      <vt:lpstr>'3.1.'!Область_печати</vt:lpstr>
      <vt:lpstr>'3.2.'!Область_печати</vt:lpstr>
      <vt:lpstr>'4.1.'!Область_печати</vt:lpstr>
      <vt:lpstr>'4.2.'!Область_печати</vt:lpstr>
      <vt:lpstr>'5.1.'!Область_печати</vt:lpstr>
      <vt:lpstr>'5.2.'!Область_печати</vt:lpstr>
      <vt:lpstr>'6.'!Область_печати</vt:lpstr>
      <vt:lpstr>'7.'!Область_печати</vt:lpstr>
      <vt:lpstr>Черновик!Область_печати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Тимакова А.И.</cp:lastModifiedBy>
  <cp:lastPrinted>2017-01-24T11:57:50Z</cp:lastPrinted>
  <dcterms:created xsi:type="dcterms:W3CDTF">2016-09-21T07:32:32Z</dcterms:created>
  <dcterms:modified xsi:type="dcterms:W3CDTF">2017-03-02T08:48:58Z</dcterms:modified>
</cp:coreProperties>
</file>